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DieseArbeitsmappe" defaultThemeVersion="124226"/>
  <mc:AlternateContent xmlns:mc="http://schemas.openxmlformats.org/markup-compatibility/2006">
    <mc:Choice Requires="x15">
      <x15ac:absPath xmlns:x15ac="http://schemas.microsoft.com/office/spreadsheetml/2010/11/ac" url="C:\Users\kbasa\Dropbox (Ecolibrium Solar)\C Customers\Proposals\Gexpro\Atlanta\807 Main Ecofoot3 (Hannah)\"/>
    </mc:Choice>
  </mc:AlternateContent>
  <bookViews>
    <workbookView xWindow="10530" yWindow="195" windowWidth="14025" windowHeight="11550" tabRatio="662" activeTab="1"/>
  </bookViews>
  <sheets>
    <sheet name="Changelog" sheetId="41" r:id="rId1"/>
    <sheet name="1-Eng Inputs" sheetId="37" r:id="rId2"/>
    <sheet name="2-Quote Inputs" sheetId="42" r:id="rId3"/>
    <sheet name="3-Quote" sheetId="44" r:id="rId4"/>
    <sheet name="building data" sheetId="4" state="hidden" r:id="rId5"/>
    <sheet name="ASCE 7-05 (US)" sheetId="18" state="hidden" r:id="rId6"/>
    <sheet name="ASCE 7-10 (US)" sheetId="28" state="hidden" r:id="rId7"/>
    <sheet name="Friction Data" sheetId="40" state="hidden" r:id="rId8"/>
    <sheet name="wind load calc_10d" sheetId="26" r:id="rId9"/>
    <sheet name="int. presets cp_10d" sheetId="51" state="hidden" r:id="rId10"/>
    <sheet name="int. presets cp_10d+wd" sheetId="57" state="hidden" r:id="rId11"/>
    <sheet name="wind load calc_5d" sheetId="36" r:id="rId12"/>
    <sheet name="int. presets cp_5d+wd" sheetId="35" state="hidden" r:id="rId13"/>
  </sheets>
  <externalReferences>
    <externalReference r:id="rId14"/>
    <externalReference r:id="rId15"/>
    <externalReference r:id="rId16"/>
    <externalReference r:id="rId17"/>
  </externalReferences>
  <definedNames>
    <definedName name="ASCE">'1-Eng Inputs'!$L$40:$L$41</definedName>
    <definedName name="Bild">INDIRECT("Bilder!A"&amp;[1]Auflastberechnung!$B$202)</definedName>
    <definedName name="Date">'1-Eng Inputs'!$L$40:$L$41</definedName>
    <definedName name="Exp">'1-Eng Inputs'!$H$40:$H$42</definedName>
    <definedName name="Exposure">'1-Eng Inputs'!$H$40:$H$42</definedName>
    <definedName name="Hoehe">[2]Eingabe!$E$17</definedName>
    <definedName name="Master_Matrix">'[3]Master Matrix'!$C$4:$AW$242</definedName>
    <definedName name="Occ">'1-Eng Inputs'!$I$40:$I$43</definedName>
    <definedName name="Ori">'1-Eng Inputs'!$K$40:$K$41</definedName>
    <definedName name="_xlnm.Print_Area" localSheetId="5">'ASCE 7-05 (US)'!$B$2:$M$34</definedName>
    <definedName name="_xlnm.Print_Area" localSheetId="6">'ASCE 7-10 (US)'!$B$2:$M$33</definedName>
    <definedName name="_xlnm.Print_Area" localSheetId="4">'building data'!$B$2:$S$52</definedName>
    <definedName name="_xlnm.Print_Area" localSheetId="8">'wind load calc_10d'!$B$2:$EF$95</definedName>
    <definedName name="_xlnm.Print_Area" localSheetId="11">'wind load calc_5d'!$B$2:$DP$97</definedName>
    <definedName name="Roof">'1-Eng Inputs'!$J$40:$J$45</definedName>
    <definedName name="Sei">'1-Eng Inputs'!$M$40:$M$41</definedName>
    <definedName name="Soil">'1-Eng Inputs'!$H$42:$H$43</definedName>
    <definedName name="Standort" localSheetId="6">#REF!</definedName>
    <definedName name="Standort" localSheetId="9">#REF!</definedName>
    <definedName name="Standort" localSheetId="10">#REF!</definedName>
    <definedName name="Standort" localSheetId="12">#REF!</definedName>
    <definedName name="Standort" localSheetId="8">#REF!</definedName>
    <definedName name="Standort" localSheetId="11">#REF!</definedName>
    <definedName name="Standort">'[4]NP EN 1991-1-4 (PT)'!$F$69:$F$71</definedName>
    <definedName name="Standort2" localSheetId="9">#REF!</definedName>
    <definedName name="Standort2" localSheetId="10">#REF!</definedName>
    <definedName name="Standort2" localSheetId="12">#REF!</definedName>
    <definedName name="Standort2" localSheetId="11">#REF!</definedName>
    <definedName name="Standort2">#REF!</definedName>
    <definedName name="YesNo">'1-Eng Inputs'!$G$40:$G$41</definedName>
  </definedNames>
  <calcPr calcId="171027"/>
</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F20" i="36"/>
  <c r="F19" i="36"/>
  <c r="C21" i="26"/>
  <c r="C40" i="26"/>
  <c r="O175" i="57" l="1"/>
  <c r="L168" i="57"/>
  <c r="L108" i="51"/>
  <c r="F126" i="57"/>
  <c r="F122" i="51"/>
  <c r="L122" i="51"/>
  <c r="I143" i="51"/>
  <c r="I175" i="57"/>
  <c r="I115" i="51"/>
  <c r="L201" i="51"/>
  <c r="F140" i="57"/>
  <c r="C212" i="57"/>
  <c r="I180" i="51"/>
  <c r="L140" i="57"/>
  <c r="I212" i="57"/>
  <c r="F108" i="51"/>
  <c r="C194" i="51"/>
  <c r="F168" i="57"/>
  <c r="O212" i="57"/>
  <c r="I108" i="51"/>
  <c r="O194" i="51"/>
  <c r="L205" i="57"/>
  <c r="C226" i="57"/>
  <c r="L173" i="51"/>
  <c r="C198" i="57"/>
  <c r="I226" i="57"/>
  <c r="F136" i="51"/>
  <c r="L126" i="57"/>
  <c r="F154" i="57"/>
  <c r="F184" i="57"/>
  <c r="I198" i="57"/>
  <c r="O226" i="57"/>
  <c r="L136" i="51"/>
  <c r="C166" i="51"/>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F19" i="26" l="1"/>
  <c r="F20" i="26"/>
  <c r="G18" i="57" l="1"/>
  <c r="G17" i="57"/>
  <c r="G18" i="51"/>
  <c r="G17" i="51"/>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D16" i="57" l="1"/>
  <c r="E23" i="44"/>
  <c r="D23" i="44"/>
  <c r="F23" i="44" s="1"/>
  <c r="A23" i="44"/>
  <c r="B23" i="44"/>
  <c r="I15" i="42"/>
  <c r="E27" i="44"/>
  <c r="D27" i="44"/>
  <c r="F27" i="44" s="1"/>
  <c r="A27" i="44"/>
  <c r="B27" i="44"/>
  <c r="B14" i="44"/>
  <c r="A14" i="44"/>
  <c r="L7" i="42"/>
  <c r="C22" i="26"/>
  <c r="C22" i="36"/>
  <c r="M88" i="57"/>
  <c r="L87" i="57"/>
  <c r="M87" i="57"/>
  <c r="L88" i="57"/>
  <c r="D16" i="51"/>
  <c r="D14" i="44"/>
  <c r="E14" i="44"/>
  <c r="I6" i="42"/>
  <c r="B16" i="44" l="1"/>
  <c r="E16" i="44"/>
  <c r="D16" i="44"/>
  <c r="F16" i="44" s="1"/>
  <c r="A16" i="44"/>
  <c r="G8" i="42"/>
  <c r="I8" i="42"/>
  <c r="E15" i="44"/>
  <c r="D15" i="44"/>
  <c r="F15" i="44" s="1"/>
  <c r="A15" i="44"/>
  <c r="B15" i="44"/>
  <c r="G7" i="42"/>
  <c r="I7" i="42"/>
  <c r="B24" i="44"/>
  <c r="E24" i="44"/>
  <c r="D24" i="44"/>
  <c r="F24" i="44" s="1"/>
  <c r="A24" i="44"/>
  <c r="B17" i="44"/>
  <c r="E17" i="44"/>
  <c r="D17" i="44"/>
  <c r="F17" i="44" s="1"/>
  <c r="A17" i="44"/>
  <c r="I9" i="42"/>
  <c r="G9" i="42"/>
  <c r="I249" i="57"/>
  <c r="K249" i="57"/>
  <c r="L248" i="57"/>
  <c r="K248" i="57"/>
  <c r="M248" i="57"/>
  <c r="L249" i="57"/>
  <c r="I248" i="57"/>
  <c r="M249" i="57"/>
  <c r="J248" i="57"/>
  <c r="J249" i="57"/>
  <c r="M217" i="51"/>
  <c r="J216" i="51"/>
  <c r="J217" i="51"/>
  <c r="I217" i="51"/>
  <c r="K217" i="51"/>
  <c r="L216" i="51"/>
  <c r="K216" i="51"/>
  <c r="M216" i="51"/>
  <c r="L217" i="51"/>
  <c r="I216" i="51"/>
  <c r="F14" i="44"/>
  <c r="L16" i="42"/>
  <c r="I16" i="42"/>
  <c r="G16" i="42"/>
  <c r="L8" i="42"/>
  <c r="L9" i="42"/>
  <c r="J16" i="42" l="1"/>
  <c r="J7" i="42"/>
  <c r="J9" i="42"/>
  <c r="J8" i="42"/>
  <c r="D6" i="42"/>
  <c r="E6" i="42"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AX102" i="57"/>
  <c r="BI115" i="57"/>
  <c r="BR102" i="57"/>
  <c r="AN101" i="57"/>
  <c r="BR101" i="57"/>
  <c r="BH101" i="57"/>
  <c r="BH116" i="57"/>
  <c r="BS101" i="57"/>
  <c r="BI102" i="57"/>
  <c r="BI116" i="57"/>
  <c r="AO116" i="57"/>
  <c r="BS116" i="57"/>
  <c r="AO115" i="57"/>
  <c r="AY101" i="57"/>
  <c r="AX116" i="57"/>
  <c r="AY115" i="57"/>
  <c r="AN102" i="57"/>
  <c r="BS115" i="57"/>
  <c r="BH102" i="57"/>
  <c r="BH115" i="57"/>
  <c r="BR115" i="57"/>
  <c r="AY116" i="57"/>
  <c r="AX115" i="57"/>
  <c r="AN115" i="57"/>
  <c r="BR116" i="57"/>
  <c r="AO101" i="57"/>
  <c r="AO102" i="57"/>
  <c r="AN116" i="57"/>
  <c r="BI101" i="57"/>
  <c r="BS102" i="57"/>
  <c r="AX101" i="57"/>
  <c r="AY102"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I20" i="26" l="1"/>
  <c r="D5" i="40"/>
  <c r="D6" i="40"/>
  <c r="D7" i="40"/>
  <c r="D8" i="40"/>
  <c r="D9" i="40"/>
  <c r="D10" i="40"/>
  <c r="D11" i="40"/>
  <c r="D12" i="40"/>
  <c r="D13" i="40"/>
  <c r="D14" i="40"/>
  <c r="D15" i="40"/>
  <c r="D4" i="40"/>
  <c r="C16" i="40"/>
  <c r="B16" i="40"/>
  <c r="I20" i="36"/>
  <c r="C20" i="4"/>
  <c r="C28" i="28"/>
  <c r="C28" i="18"/>
  <c r="C26" i="28"/>
  <c r="C24" i="28"/>
  <c r="C24" i="18"/>
  <c r="C26" i="18"/>
  <c r="C21" i="4"/>
  <c r="C16" i="4"/>
  <c r="C18" i="4"/>
  <c r="H11" i="4"/>
  <c r="H10" i="4"/>
  <c r="C12" i="4"/>
  <c r="C11" i="4"/>
  <c r="C10" i="4"/>
  <c r="C9" i="4"/>
  <c r="D18" i="42"/>
  <c r="E18" i="42" s="1"/>
  <c r="E26" i="44" s="1"/>
  <c r="F26" i="44" s="1"/>
  <c r="F31" i="44" s="1"/>
  <c r="C21" i="36"/>
  <c r="H33" i="37"/>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C23" i="4"/>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C30" i="2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AU101" i="57"/>
  <c r="BI86" i="51"/>
  <c r="AW70" i="51"/>
  <c r="BF119" i="57"/>
  <c r="BE122" i="57"/>
  <c r="BH108" i="57"/>
  <c r="AU104" i="57"/>
  <c r="BR69" i="51"/>
  <c r="AY86" i="51"/>
  <c r="BQ122" i="57"/>
  <c r="AL108" i="57"/>
  <c r="AK103" i="57"/>
  <c r="BP70" i="51"/>
  <c r="AM116" i="57"/>
  <c r="BP107" i="57"/>
  <c r="BQ119" i="57"/>
  <c r="AK75" i="51"/>
  <c r="BO102" i="57"/>
  <c r="AX88" i="51"/>
  <c r="AX108" i="57"/>
  <c r="BQ85" i="51"/>
  <c r="AY72" i="51"/>
  <c r="AY121" i="57"/>
  <c r="AO84" i="51"/>
  <c r="BP102" i="57"/>
  <c r="AK90" i="51"/>
  <c r="AW119" i="57"/>
  <c r="AY106" i="57"/>
  <c r="BG76" i="51"/>
  <c r="BF73" i="51"/>
  <c r="BP121" i="57"/>
  <c r="BO84" i="51"/>
  <c r="AN122" i="57"/>
  <c r="BR89" i="51"/>
  <c r="BE86" i="51"/>
  <c r="BR103" i="57"/>
  <c r="BF84" i="51"/>
  <c r="AW74" i="51"/>
  <c r="BE76" i="51"/>
  <c r="AN74" i="51"/>
  <c r="BI117" i="57"/>
  <c r="AK118" i="57"/>
  <c r="AK115" i="57"/>
  <c r="AU116" i="57"/>
  <c r="AK105" i="57"/>
  <c r="BH75" i="51"/>
  <c r="AY105" i="57"/>
  <c r="AU103" i="57"/>
  <c r="AL83" i="51"/>
  <c r="AW90" i="51"/>
  <c r="BO83" i="51"/>
  <c r="BH72" i="51"/>
  <c r="BQ86" i="51"/>
  <c r="AK86" i="51"/>
  <c r="AM83" i="51"/>
  <c r="BP73" i="51"/>
  <c r="BO106" i="57"/>
  <c r="BI73" i="51"/>
  <c r="AW73" i="51"/>
  <c r="AO118" i="57"/>
  <c r="BR86" i="51"/>
  <c r="AO69" i="51"/>
  <c r="AO107" i="57"/>
  <c r="AO88" i="51"/>
  <c r="BP69" i="51"/>
  <c r="AK119" i="57"/>
  <c r="AY83" i="51"/>
  <c r="BS105" i="57"/>
  <c r="AW69" i="51"/>
  <c r="AK102" i="57"/>
  <c r="BS74" i="51"/>
  <c r="AL117" i="57"/>
  <c r="BI84" i="51"/>
  <c r="BI83" i="51"/>
  <c r="AM69" i="51"/>
  <c r="BF101" i="57"/>
  <c r="AK101" i="57"/>
  <c r="BO73" i="51"/>
  <c r="AX85" i="51"/>
  <c r="BR108" i="57"/>
  <c r="BO87" i="51"/>
  <c r="BH83" i="51"/>
  <c r="BS119" i="57"/>
  <c r="AK89" i="51"/>
  <c r="BQ74" i="51"/>
  <c r="BS84" i="51"/>
  <c r="AO74" i="51"/>
  <c r="AN103" i="57"/>
  <c r="AU74" i="51"/>
  <c r="BH119" i="57"/>
  <c r="BF118" i="57"/>
  <c r="AK121" i="57"/>
  <c r="BE115" i="57"/>
  <c r="BR105" i="57"/>
  <c r="BE104" i="57"/>
  <c r="BS70" i="51"/>
  <c r="BR83" i="51"/>
  <c r="AW102" i="57"/>
  <c r="BO74" i="51"/>
  <c r="AK76" i="51"/>
  <c r="BH84" i="51"/>
  <c r="BG84" i="51"/>
  <c r="BI85" i="51"/>
  <c r="AW85" i="51"/>
  <c r="AY120" i="57"/>
  <c r="BP116" i="57"/>
  <c r="BS108" i="57"/>
  <c r="AN83" i="51"/>
  <c r="AK71" i="51"/>
  <c r="BF120" i="57"/>
  <c r="BG102" i="57"/>
  <c r="BR106" i="57"/>
  <c r="AO122" i="57"/>
  <c r="AY122" i="57"/>
  <c r="AU108" i="57"/>
  <c r="BG107" i="57"/>
  <c r="AN105" i="57"/>
  <c r="AK106" i="57"/>
  <c r="AU106" i="57"/>
  <c r="BG86" i="51"/>
  <c r="AW122" i="57"/>
  <c r="BP106" i="57"/>
  <c r="AV70" i="51"/>
  <c r="AW107" i="57"/>
  <c r="AL104" i="57"/>
  <c r="BQ103" i="57"/>
  <c r="AN106" i="57"/>
  <c r="AO103" i="57"/>
  <c r="AN71" i="51"/>
  <c r="BS88" i="51"/>
  <c r="BI107" i="57"/>
  <c r="AW106" i="57"/>
  <c r="BQ89" i="51"/>
  <c r="AM115" i="57"/>
  <c r="AL101" i="57"/>
  <c r="AW101" i="57"/>
  <c r="AL72" i="51"/>
  <c r="BS89" i="51"/>
  <c r="AM75" i="51"/>
  <c r="BO88" i="51"/>
  <c r="BH88" i="51"/>
  <c r="AK69" i="51"/>
  <c r="BR74" i="51"/>
  <c r="BR75" i="51"/>
  <c r="AU120" i="57"/>
  <c r="BH103" i="57"/>
  <c r="BR70" i="51"/>
  <c r="AN89" i="51"/>
  <c r="BE88" i="51"/>
  <c r="AN87" i="51"/>
  <c r="AW108" i="57"/>
  <c r="AN72" i="51"/>
  <c r="AX107" i="57"/>
  <c r="BP105" i="57"/>
  <c r="AV86" i="51"/>
  <c r="BF106" i="57"/>
  <c r="BO72" i="51"/>
  <c r="AV87" i="51"/>
  <c r="AU72" i="51"/>
  <c r="AO85" i="51"/>
  <c r="BP85" i="51"/>
  <c r="BS87" i="51"/>
  <c r="AL88" i="51"/>
  <c r="AO87" i="51"/>
  <c r="BF69" i="51"/>
  <c r="AM76" i="51"/>
  <c r="BO121" i="57"/>
  <c r="AV117" i="57"/>
  <c r="AU71" i="51"/>
  <c r="AN117" i="57"/>
  <c r="BO69" i="51"/>
  <c r="BG70" i="51"/>
  <c r="BQ84" i="51"/>
  <c r="AO106" i="57"/>
  <c r="BS71" i="51"/>
  <c r="AN118" i="57"/>
  <c r="AU89" i="51"/>
  <c r="BP101" i="57"/>
  <c r="BF87" i="51"/>
  <c r="BP115" i="57"/>
  <c r="AX90" i="51"/>
  <c r="BG72" i="51"/>
  <c r="BQ121" i="57"/>
  <c r="AM107" i="57"/>
  <c r="BH107" i="57"/>
  <c r="BP88" i="51"/>
  <c r="BG69" i="51"/>
  <c r="AN76" i="51"/>
  <c r="BI106" i="57"/>
  <c r="AW71" i="51"/>
  <c r="AO117" i="57"/>
  <c r="BR104" i="57"/>
  <c r="BG115" i="57"/>
  <c r="AV122" i="57"/>
  <c r="BO105" i="57"/>
  <c r="AK108" i="57"/>
  <c r="AU121" i="57"/>
  <c r="BF121" i="57"/>
  <c r="AV69" i="51"/>
  <c r="BI90" i="51"/>
  <c r="AL103" i="57"/>
  <c r="AY90" i="51"/>
  <c r="BP120" i="57"/>
  <c r="AL86" i="51"/>
  <c r="BE89" i="51"/>
  <c r="AV108" i="57"/>
  <c r="BR119" i="57"/>
  <c r="AM105" i="57"/>
  <c r="AM103" i="57"/>
  <c r="AL122" i="57"/>
  <c r="BH105" i="57"/>
  <c r="AO70" i="51"/>
  <c r="BQ102" i="57"/>
  <c r="BQ120" i="57"/>
  <c r="BS75" i="51"/>
  <c r="AN88" i="51"/>
  <c r="AN104" i="57"/>
  <c r="AX105" i="57"/>
  <c r="BI119" i="57"/>
  <c r="AV90" i="51"/>
  <c r="BQ115" i="57"/>
  <c r="AM122" i="57"/>
  <c r="AV106" i="57"/>
  <c r="BF108" i="57"/>
  <c r="AX71" i="51"/>
  <c r="BG106" i="57"/>
  <c r="AN121" i="57"/>
  <c r="BF104" i="57"/>
  <c r="BH85" i="51"/>
  <c r="AX106" i="57"/>
  <c r="AO72" i="51"/>
  <c r="BE85" i="51"/>
  <c r="BO75" i="51"/>
  <c r="AU87" i="51"/>
  <c r="BI87" i="51"/>
  <c r="BF76" i="51"/>
  <c r="AN108" i="57"/>
  <c r="AN84" i="51"/>
  <c r="BF89" i="51"/>
  <c r="AK116" i="57"/>
  <c r="AY76" i="51"/>
  <c r="AM73" i="51"/>
  <c r="BH73" i="51"/>
  <c r="AY119" i="57"/>
  <c r="AY89" i="51"/>
  <c r="BH70" i="51"/>
  <c r="BF107" i="57"/>
  <c r="AY70" i="51"/>
  <c r="AO83" i="51"/>
  <c r="AV71" i="51"/>
  <c r="BQ76" i="51"/>
  <c r="AY117" i="57"/>
  <c r="AL121" i="57"/>
  <c r="BE102" i="57"/>
  <c r="AO119" i="57"/>
  <c r="BH74" i="51"/>
  <c r="BS103" i="57"/>
  <c r="AX72" i="51"/>
  <c r="BO107" i="57"/>
  <c r="BH117" i="57"/>
  <c r="BF72" i="51"/>
  <c r="BE83" i="51"/>
  <c r="AV72" i="51"/>
  <c r="AX74" i="51"/>
  <c r="BQ69" i="51"/>
  <c r="AL87" i="51"/>
  <c r="BI104" i="57"/>
  <c r="AW72" i="51"/>
  <c r="BO115" i="57"/>
  <c r="BS117" i="57"/>
  <c r="AM86" i="51"/>
  <c r="BE84" i="51"/>
  <c r="BE72" i="51"/>
  <c r="BI88" i="51"/>
  <c r="BO71" i="51"/>
  <c r="BR90" i="51"/>
  <c r="AO105" i="57"/>
  <c r="AU119" i="57"/>
  <c r="AW87" i="51"/>
  <c r="BR88" i="51"/>
  <c r="BQ106" i="57"/>
  <c r="BE73" i="51"/>
  <c r="AY85" i="51"/>
  <c r="AO73" i="51"/>
  <c r="AL116" i="57"/>
  <c r="BO119" i="57"/>
  <c r="AY84" i="51"/>
  <c r="BF75" i="51"/>
  <c r="BS122" i="57"/>
  <c r="BF105" i="57"/>
  <c r="BO85" i="51"/>
  <c r="AW84" i="51"/>
  <c r="AN86" i="51"/>
  <c r="AV120" i="57"/>
  <c r="AK84" i="51"/>
  <c r="BP104" i="57"/>
  <c r="AV88" i="51"/>
  <c r="BO104" i="57"/>
  <c r="AU107" i="57"/>
  <c r="BQ70" i="51"/>
  <c r="AX121" i="57"/>
  <c r="BP122" i="57"/>
  <c r="AW103" i="57"/>
  <c r="BR120" i="57"/>
  <c r="BO103" i="57"/>
  <c r="AU118" i="57"/>
  <c r="AM121" i="57"/>
  <c r="BO117" i="57"/>
  <c r="AL84" i="51"/>
  <c r="AW88" i="51"/>
  <c r="AY71" i="51"/>
  <c r="AV105" i="57"/>
  <c r="BR73" i="51"/>
  <c r="AN73" i="51"/>
  <c r="BI122" i="57"/>
  <c r="AL85" i="51"/>
  <c r="AX76" i="51"/>
  <c r="AM72" i="51"/>
  <c r="AK104" i="57"/>
  <c r="BP90" i="51"/>
  <c r="BP117" i="57"/>
  <c r="AM118" i="57"/>
  <c r="AY107" i="57"/>
  <c r="BP71" i="51"/>
  <c r="AL120" i="57"/>
  <c r="BS107" i="57"/>
  <c r="AN90" i="51"/>
  <c r="BQ108" i="57"/>
  <c r="BR84" i="51"/>
  <c r="BI108" i="57"/>
  <c r="AL89" i="51"/>
  <c r="BO116" i="57"/>
  <c r="BH87" i="51"/>
  <c r="AV107" i="57"/>
  <c r="AW105" i="57"/>
  <c r="AK70" i="51"/>
  <c r="AY69" i="51"/>
  <c r="BF70" i="51"/>
  <c r="AY118" i="57"/>
  <c r="AV118" i="57"/>
  <c r="AL75" i="51"/>
  <c r="AM101" i="57"/>
  <c r="AK83" i="51"/>
  <c r="BP74" i="51"/>
  <c r="AO90" i="51"/>
  <c r="AW89" i="51"/>
  <c r="AL76" i="51"/>
  <c r="AL105" i="57"/>
  <c r="BS73" i="51"/>
  <c r="AL115" i="57"/>
  <c r="BP86" i="51"/>
  <c r="AU88" i="51"/>
  <c r="AV84" i="51"/>
  <c r="BF117" i="57"/>
  <c r="BE90" i="51"/>
  <c r="BH69" i="51"/>
  <c r="BI89" i="51"/>
  <c r="BE119" i="57"/>
  <c r="BE87" i="51"/>
  <c r="AV76" i="51"/>
  <c r="AV103" i="57"/>
  <c r="AV85" i="51"/>
  <c r="BH71" i="51"/>
  <c r="BE120" i="57"/>
  <c r="AO104" i="57"/>
  <c r="AK72" i="51"/>
  <c r="BO90" i="51"/>
  <c r="AL107" i="57"/>
  <c r="BH90" i="51"/>
  <c r="AL118" i="57"/>
  <c r="BG104" i="57"/>
  <c r="AY88" i="51"/>
  <c r="BR121" i="57"/>
  <c r="AM120" i="57"/>
  <c r="BO108" i="57"/>
  <c r="AK117" i="57"/>
  <c r="AN85" i="51"/>
  <c r="BQ118" i="57"/>
  <c r="AM108" i="57"/>
  <c r="BG75" i="51"/>
  <c r="BR72" i="51"/>
  <c r="BR117" i="57"/>
  <c r="BG118" i="57"/>
  <c r="AX70" i="51"/>
  <c r="BP84" i="51"/>
  <c r="AV74" i="51"/>
  <c r="BG88" i="51"/>
  <c r="BH106" i="57"/>
  <c r="AY108" i="57"/>
  <c r="BG105" i="57"/>
  <c r="BP72" i="51"/>
  <c r="AY73" i="51"/>
  <c r="AV121" i="57"/>
  <c r="BE71" i="51"/>
  <c r="BE108" i="57"/>
  <c r="AU86" i="51"/>
  <c r="BI71" i="51"/>
  <c r="BG89" i="51"/>
  <c r="AU76" i="51"/>
  <c r="AW117" i="57"/>
  <c r="BG108" i="57"/>
  <c r="BF122" i="57"/>
  <c r="BI76" i="51"/>
  <c r="AM74" i="51"/>
  <c r="AX86" i="51"/>
  <c r="AW115" i="57"/>
  <c r="AL70" i="51"/>
  <c r="BG120" i="57"/>
  <c r="BO122" i="57"/>
  <c r="AU73" i="51"/>
  <c r="AU85" i="51"/>
  <c r="BP87" i="51"/>
  <c r="BG74" i="51"/>
  <c r="BO118" i="57"/>
  <c r="BG122" i="57"/>
  <c r="BE107" i="57"/>
  <c r="AN119" i="57"/>
  <c r="AK87" i="51"/>
  <c r="BS85" i="51"/>
  <c r="BH122" i="57"/>
  <c r="BG101" i="57"/>
  <c r="BP83" i="51"/>
  <c r="BQ75" i="51"/>
  <c r="BE103" i="57"/>
  <c r="AL106" i="57"/>
  <c r="AY74" i="51"/>
  <c r="BR76" i="51"/>
  <c r="AN120" i="57"/>
  <c r="BI75" i="51"/>
  <c r="BE74" i="51"/>
  <c r="AW83" i="51"/>
  <c r="AW86" i="51"/>
  <c r="AL74" i="51"/>
  <c r="BI121" i="57"/>
  <c r="BS104" i="57"/>
  <c r="BQ72" i="51"/>
  <c r="BP118" i="57"/>
  <c r="BP103" i="57"/>
  <c r="AX103" i="57"/>
  <c r="AV119" i="57"/>
  <c r="BI74" i="51"/>
  <c r="BS86" i="51"/>
  <c r="AX120" i="57"/>
  <c r="AN69" i="51"/>
  <c r="BG117" i="57"/>
  <c r="AV89" i="51"/>
  <c r="BP89" i="51"/>
  <c r="AW118" i="57"/>
  <c r="AN70" i="51"/>
  <c r="BQ73" i="51"/>
  <c r="BS90" i="51"/>
  <c r="BE70" i="51"/>
  <c r="BG83" i="51"/>
  <c r="AX83" i="51"/>
  <c r="AX89" i="51"/>
  <c r="AU75" i="51"/>
  <c r="BP119" i="57"/>
  <c r="AY87" i="51"/>
  <c r="AV101" i="57"/>
  <c r="BS76" i="51"/>
  <c r="AW104" i="57"/>
  <c r="AK88" i="51"/>
  <c r="AU84" i="51"/>
  <c r="BF83" i="51"/>
  <c r="AK74" i="51"/>
  <c r="BF102" i="57"/>
  <c r="AU102" i="57"/>
  <c r="AV115" i="57"/>
  <c r="AX118" i="57"/>
  <c r="AU105" i="57"/>
  <c r="BR122" i="57"/>
  <c r="BF74" i="51"/>
  <c r="AO75" i="51"/>
  <c r="BQ87" i="51"/>
  <c r="AM88" i="51"/>
  <c r="BG121" i="57"/>
  <c r="BF103" i="57"/>
  <c r="BI105" i="57"/>
  <c r="AO89" i="51"/>
  <c r="AN107" i="57"/>
  <c r="AY75" i="51"/>
  <c r="BS118" i="57"/>
  <c r="AN75" i="51"/>
  <c r="BH104" i="57"/>
  <c r="AL71" i="51"/>
  <c r="AK107" i="57"/>
  <c r="BE116" i="57"/>
  <c r="BQ107" i="57"/>
  <c r="BS83" i="51"/>
  <c r="AL119" i="57"/>
  <c r="BR85" i="51"/>
  <c r="BQ101" i="57"/>
  <c r="BE118" i="57"/>
  <c r="BS72" i="51"/>
  <c r="AK85" i="51"/>
  <c r="AX117" i="57"/>
  <c r="BH118" i="57"/>
  <c r="BQ83" i="51"/>
  <c r="AX87" i="51"/>
  <c r="BG90" i="51"/>
  <c r="BI70" i="51"/>
  <c r="AO86" i="51"/>
  <c r="AX119" i="57"/>
  <c r="AX122" i="57"/>
  <c r="BO101" i="57"/>
  <c r="AW121" i="57"/>
  <c r="AU117" i="57"/>
  <c r="BH120" i="57"/>
  <c r="BQ117" i="57"/>
  <c r="AM102" i="57"/>
  <c r="AO108" i="57"/>
  <c r="AM85" i="51"/>
  <c r="AX75" i="51"/>
  <c r="BF71" i="51"/>
  <c r="AV75" i="51"/>
  <c r="AW75" i="51"/>
  <c r="AM119" i="57"/>
  <c r="BH121" i="57"/>
  <c r="BO76" i="51"/>
  <c r="BF86" i="51"/>
  <c r="AU122" i="57"/>
  <c r="AK122" i="57"/>
  <c r="BG71" i="51"/>
  <c r="BQ116" i="57"/>
  <c r="BQ88" i="51"/>
  <c r="AU90" i="51"/>
  <c r="BQ71" i="51"/>
  <c r="BH89" i="51"/>
  <c r="BE117" i="57"/>
  <c r="BI69" i="51"/>
  <c r="AL69" i="51"/>
  <c r="AM84" i="51"/>
  <c r="AY103" i="57"/>
  <c r="AX104" i="57"/>
  <c r="AM89" i="51"/>
  <c r="AK73" i="51"/>
  <c r="BS121" i="57"/>
  <c r="BE69" i="51"/>
  <c r="AU83" i="51"/>
  <c r="AO71" i="51"/>
  <c r="BF90" i="51"/>
  <c r="AV102" i="57"/>
  <c r="AU70" i="51"/>
  <c r="BR107" i="57"/>
  <c r="BF116" i="57"/>
  <c r="BP76" i="51"/>
  <c r="BR87" i="51"/>
  <c r="BH86" i="51"/>
  <c r="BE75" i="51"/>
  <c r="BG73" i="51"/>
  <c r="BF88" i="51"/>
  <c r="AM87" i="51"/>
  <c r="BH76" i="51"/>
  <c r="AM104" i="57"/>
  <c r="AU69" i="51"/>
  <c r="AO120" i="57"/>
  <c r="BI72" i="51"/>
  <c r="BS106" i="57"/>
  <c r="BI103" i="57"/>
  <c r="AL73" i="51"/>
  <c r="BO70" i="51"/>
  <c r="BS69" i="51"/>
  <c r="AM90" i="51"/>
  <c r="BG87" i="51"/>
  <c r="BQ90" i="51"/>
  <c r="AW76" i="51"/>
  <c r="AM71" i="51"/>
  <c r="BF85" i="51"/>
  <c r="AV73" i="51"/>
  <c r="BP75" i="51"/>
  <c r="BQ104" i="57"/>
  <c r="BI118" i="57"/>
  <c r="AV116" i="57"/>
  <c r="BS120" i="57"/>
  <c r="BO120" i="57"/>
  <c r="AV83" i="51"/>
  <c r="AW116" i="57"/>
  <c r="BG103" i="57"/>
  <c r="BE101" i="57"/>
  <c r="AM106" i="57"/>
  <c r="BG116" i="57"/>
  <c r="AW120" i="57"/>
  <c r="AL90" i="51"/>
  <c r="BE105" i="57"/>
  <c r="AM70" i="51"/>
  <c r="AX69" i="51"/>
  <c r="AK120" i="57"/>
  <c r="BG85" i="51"/>
  <c r="BO86" i="51"/>
  <c r="AX84" i="51"/>
  <c r="AY104" i="57"/>
  <c r="AO121" i="57"/>
  <c r="BQ105" i="57"/>
  <c r="AM117" i="57"/>
  <c r="BP108" i="57"/>
  <c r="BE106" i="57"/>
  <c r="BE121" i="57"/>
  <c r="BR71" i="51"/>
  <c r="BG119" i="57"/>
  <c r="BO89" i="51"/>
  <c r="AU115" i="57"/>
  <c r="AL102" i="57"/>
  <c r="BF115" i="57"/>
  <c r="BR118" i="57"/>
  <c r="BI120" i="57"/>
  <c r="AV104" i="57"/>
  <c r="AO76" i="51"/>
  <c r="AX73" i="51"/>
  <c r="J73" i="51" l="1"/>
  <c r="J45" i="51" s="1"/>
  <c r="J30" i="51" s="1"/>
  <c r="M105" i="57"/>
  <c r="M54" i="57" s="1"/>
  <c r="M30" i="57" s="1"/>
  <c r="J107" i="57"/>
  <c r="J56" i="57" s="1"/>
  <c r="J32" i="57" s="1"/>
  <c r="M75" i="51"/>
  <c r="M47" i="51" s="1"/>
  <c r="M32" i="51" s="1"/>
  <c r="M85" i="51"/>
  <c r="L118" i="57"/>
  <c r="K76" i="51"/>
  <c r="K48" i="51" s="1"/>
  <c r="K33" i="51" s="1"/>
  <c r="K87" i="51"/>
  <c r="I86" i="51"/>
  <c r="J115" i="57"/>
  <c r="M118" i="57"/>
  <c r="I102" i="57"/>
  <c r="I51" i="57" s="1"/>
  <c r="I27" i="57" s="1"/>
  <c r="J118" i="57"/>
  <c r="I84" i="51"/>
  <c r="M117" i="57"/>
  <c r="M73" i="51"/>
  <c r="M45" i="51" s="1"/>
  <c r="M30" i="51" s="1"/>
  <c r="J103" i="57"/>
  <c r="J52" i="57" s="1"/>
  <c r="J28" i="57" s="1"/>
  <c r="J117" i="57"/>
  <c r="K83" i="51"/>
  <c r="I74" i="51"/>
  <c r="I46" i="51" s="1"/>
  <c r="I31" i="51" s="1"/>
  <c r="K69" i="51"/>
  <c r="K41" i="51" s="1"/>
  <c r="K26" i="51" s="1"/>
  <c r="K86" i="51"/>
  <c r="J71" i="51"/>
  <c r="J43" i="51" s="1"/>
  <c r="J28" i="51" s="1"/>
  <c r="M119" i="57"/>
  <c r="J121" i="57"/>
  <c r="J79" i="57" s="1"/>
  <c r="J65" i="57" s="1"/>
  <c r="J41" i="57" s="1"/>
  <c r="M76" i="51"/>
  <c r="M48" i="51" s="1"/>
  <c r="M33" i="51" s="1"/>
  <c r="K104" i="57"/>
  <c r="K53" i="57" s="1"/>
  <c r="K29" i="57" s="1"/>
  <c r="J87" i="51"/>
  <c r="L117" i="57"/>
  <c r="M88" i="51"/>
  <c r="I70" i="51"/>
  <c r="I42" i="51" s="1"/>
  <c r="I27" i="51" s="1"/>
  <c r="I72" i="51"/>
  <c r="I44" i="51" s="1"/>
  <c r="I29" i="51" s="1"/>
  <c r="K90" i="51"/>
  <c r="M74" i="51"/>
  <c r="M46" i="51" s="1"/>
  <c r="M31" i="51" s="1"/>
  <c r="I116" i="57"/>
  <c r="I119" i="57"/>
  <c r="I88" i="51"/>
  <c r="L70" i="51"/>
  <c r="L42" i="51" s="1"/>
  <c r="L27" i="51" s="1"/>
  <c r="K88" i="51"/>
  <c r="J105" i="57"/>
  <c r="J54" i="57" s="1"/>
  <c r="J30" i="57" s="1"/>
  <c r="M106" i="57"/>
  <c r="M55" i="57" s="1"/>
  <c r="M31" i="57" s="1"/>
  <c r="M107" i="57"/>
  <c r="M56" i="57" s="1"/>
  <c r="M32" i="57" s="1"/>
  <c r="M90" i="51"/>
  <c r="M83" i="51"/>
  <c r="J88" i="51"/>
  <c r="L86" i="51"/>
  <c r="K120" i="57"/>
  <c r="L103" i="57"/>
  <c r="L52" i="57" s="1"/>
  <c r="L28" i="57" s="1"/>
  <c r="L87" i="51"/>
  <c r="L75" i="51"/>
  <c r="L47" i="51" s="1"/>
  <c r="L32" i="51" s="1"/>
  <c r="M120" i="57"/>
  <c r="I76" i="51"/>
  <c r="I48" i="51" s="1"/>
  <c r="I33" i="51" s="1"/>
  <c r="L72" i="51"/>
  <c r="L44" i="51" s="1"/>
  <c r="L29" i="51" s="1"/>
  <c r="J75" i="51"/>
  <c r="J47" i="51" s="1"/>
  <c r="J32" i="51" s="1"/>
  <c r="M71" i="51"/>
  <c r="M43" i="51" s="1"/>
  <c r="M28" i="51" s="1"/>
  <c r="M121" i="57"/>
  <c r="M87" i="51"/>
  <c r="I115" i="57"/>
  <c r="K71" i="51"/>
  <c r="K43" i="51" s="1"/>
  <c r="K28" i="51" s="1"/>
  <c r="J102" i="57"/>
  <c r="J51" i="57" s="1"/>
  <c r="J27" i="57" s="1"/>
  <c r="I73" i="51"/>
  <c r="I45" i="51" s="1"/>
  <c r="I30" i="51" s="1"/>
  <c r="K73" i="51"/>
  <c r="K45" i="51" s="1"/>
  <c r="K30" i="51" s="1"/>
  <c r="L69" i="51"/>
  <c r="L41" i="51" s="1"/>
  <c r="L26" i="51" s="1"/>
  <c r="J76" i="51"/>
  <c r="J48" i="51" s="1"/>
  <c r="J33" i="51" s="1"/>
  <c r="L74" i="51"/>
  <c r="L46" i="51" s="1"/>
  <c r="L31" i="51" s="1"/>
  <c r="L84" i="51"/>
  <c r="I83" i="51"/>
  <c r="K118" i="57"/>
  <c r="J69" i="51"/>
  <c r="J41" i="51" s="1"/>
  <c r="J26" i="51" s="1"/>
  <c r="J83" i="51"/>
  <c r="L90" i="51"/>
  <c r="M84" i="51"/>
  <c r="M72" i="51"/>
  <c r="M44" i="51" s="1"/>
  <c r="M29" i="51" s="1"/>
  <c r="I69" i="51"/>
  <c r="I41" i="51" s="1"/>
  <c r="I26" i="51" s="1"/>
  <c r="M104" i="57"/>
  <c r="M53" i="57" s="1"/>
  <c r="M29" i="57" s="1"/>
  <c r="J101" i="57"/>
  <c r="J50" i="57" s="1"/>
  <c r="J26" i="57" s="1"/>
  <c r="I105" i="57"/>
  <c r="I54" i="57" s="1"/>
  <c r="I30" i="57" s="1"/>
  <c r="J106" i="57"/>
  <c r="J55" i="57" s="1"/>
  <c r="J31" i="57" s="1"/>
  <c r="M69" i="51"/>
  <c r="M41" i="51" s="1"/>
  <c r="M26" i="51" s="1"/>
  <c r="J74" i="51"/>
  <c r="J46" i="51" s="1"/>
  <c r="J31" i="51" s="1"/>
  <c r="J116" i="57"/>
  <c r="J72" i="51"/>
  <c r="J44" i="51" s="1"/>
  <c r="J29" i="51" s="1"/>
  <c r="L71" i="51"/>
  <c r="L43" i="51" s="1"/>
  <c r="L28" i="51" s="1"/>
  <c r="L89" i="51"/>
  <c r="I107" i="57"/>
  <c r="I56" i="57" s="1"/>
  <c r="I32" i="57" s="1"/>
  <c r="I90" i="51"/>
  <c r="K115" i="57"/>
  <c r="I120" i="57"/>
  <c r="K70" i="51"/>
  <c r="K42" i="51" s="1"/>
  <c r="K27" i="51" s="1"/>
  <c r="M89" i="51"/>
  <c r="J90" i="51"/>
  <c r="I118" i="57"/>
  <c r="K89" i="51"/>
  <c r="J89" i="51"/>
  <c r="I85" i="51"/>
  <c r="K108" i="57"/>
  <c r="K57" i="57" s="1"/>
  <c r="K33" i="57" s="1"/>
  <c r="I122" i="57"/>
  <c r="K75" i="51"/>
  <c r="K47" i="51" s="1"/>
  <c r="K32" i="51" s="1"/>
  <c r="L122" i="57"/>
  <c r="J120" i="57"/>
  <c r="L121" i="57"/>
  <c r="I89" i="51"/>
  <c r="L85" i="51"/>
  <c r="I87" i="51"/>
  <c r="J104" i="57"/>
  <c r="J53" i="57" s="1"/>
  <c r="J29" i="57" s="1"/>
  <c r="M103" i="57"/>
  <c r="M52" i="57" s="1"/>
  <c r="M28" i="57" s="1"/>
  <c r="K84" i="51"/>
  <c r="I104" i="57"/>
  <c r="I53" i="57" s="1"/>
  <c r="I29" i="57" s="1"/>
  <c r="K106" i="57"/>
  <c r="K55" i="57" s="1"/>
  <c r="K31" i="57" s="1"/>
  <c r="I75" i="51"/>
  <c r="I47" i="51" s="1"/>
  <c r="I32" i="51" s="1"/>
  <c r="L106" i="57"/>
  <c r="L55" i="57" s="1"/>
  <c r="L31" i="57" s="1"/>
  <c r="L119" i="57"/>
  <c r="L76" i="51"/>
  <c r="L48" i="51" s="1"/>
  <c r="L33" i="51" s="1"/>
  <c r="K101" i="57"/>
  <c r="K50" i="57" s="1"/>
  <c r="K26" i="57" s="1"/>
  <c r="J85" i="51"/>
  <c r="K107" i="57"/>
  <c r="K56" i="57" s="1"/>
  <c r="K32" i="57" s="1"/>
  <c r="L104" i="57"/>
  <c r="L53" i="57" s="1"/>
  <c r="L29" i="57" s="1"/>
  <c r="L108" i="57"/>
  <c r="L57" i="57" s="1"/>
  <c r="L33" i="57" s="1"/>
  <c r="J119" i="57"/>
  <c r="K85" i="51"/>
  <c r="L73" i="51"/>
  <c r="L45" i="51" s="1"/>
  <c r="L30" i="51" s="1"/>
  <c r="L107" i="57"/>
  <c r="L56" i="57" s="1"/>
  <c r="L32" i="57" s="1"/>
  <c r="L88" i="51"/>
  <c r="K72" i="51"/>
  <c r="K44" i="51" s="1"/>
  <c r="K29" i="51" s="1"/>
  <c r="M86" i="51"/>
  <c r="I106" i="57"/>
  <c r="I55" i="57" s="1"/>
  <c r="I31" i="57" s="1"/>
  <c r="K119" i="57"/>
  <c r="I103" i="57"/>
  <c r="I52" i="57" s="1"/>
  <c r="I28" i="57" s="1"/>
  <c r="K122" i="57"/>
  <c r="K103" i="57"/>
  <c r="K52" i="57" s="1"/>
  <c r="K28" i="57" s="1"/>
  <c r="J86" i="51"/>
  <c r="I117" i="57"/>
  <c r="M108" i="57"/>
  <c r="M57" i="57" s="1"/>
  <c r="M33" i="57" s="1"/>
  <c r="M122" i="57"/>
  <c r="J84" i="51"/>
  <c r="L83" i="51"/>
  <c r="I121" i="57"/>
  <c r="K117" i="57"/>
  <c r="L105" i="57"/>
  <c r="L54" i="57" s="1"/>
  <c r="L30" i="57" s="1"/>
  <c r="J70" i="51"/>
  <c r="J42" i="51" s="1"/>
  <c r="J27" i="51" s="1"/>
  <c r="J108" i="57"/>
  <c r="J57" i="57" s="1"/>
  <c r="J33" i="57" s="1"/>
  <c r="K105" i="57"/>
  <c r="K54" i="57" s="1"/>
  <c r="K30" i="57" s="1"/>
  <c r="K102" i="57"/>
  <c r="K51" i="57" s="1"/>
  <c r="K27" i="57" s="1"/>
  <c r="L120" i="57"/>
  <c r="I71" i="51"/>
  <c r="I43" i="51" s="1"/>
  <c r="I28" i="51" s="1"/>
  <c r="J122" i="57"/>
  <c r="M70" i="51"/>
  <c r="M42" i="51" s="1"/>
  <c r="M27" i="51" s="1"/>
  <c r="K74" i="51"/>
  <c r="K46" i="51" s="1"/>
  <c r="K31" i="51" s="1"/>
  <c r="I108" i="57"/>
  <c r="I57" i="57" s="1"/>
  <c r="I33" i="57" s="1"/>
  <c r="K121" i="57"/>
  <c r="K116" i="57"/>
  <c r="I101" i="57"/>
  <c r="I50" i="57" s="1"/>
  <c r="I26" i="57" s="1"/>
  <c r="K76" i="57"/>
  <c r="K62" i="57" s="1"/>
  <c r="K38" i="57" s="1"/>
  <c r="K80" i="57" l="1"/>
  <c r="K66" i="57" s="1"/>
  <c r="K42" i="57" s="1"/>
  <c r="M79" i="57"/>
  <c r="M65" i="57" s="1"/>
  <c r="M41" i="57" s="1"/>
  <c r="M77" i="57"/>
  <c r="M63" i="57" s="1"/>
  <c r="M39" i="57" s="1"/>
  <c r="K79" i="57"/>
  <c r="K65" i="57" s="1"/>
  <c r="K41" i="57" s="1"/>
  <c r="J74" i="57"/>
  <c r="J60" i="57" s="1"/>
  <c r="J36" i="57" s="1"/>
  <c r="L76" i="57"/>
  <c r="L62" i="57" s="1"/>
  <c r="L38" i="57" s="1"/>
  <c r="L75" i="57"/>
  <c r="L61" i="57" s="1"/>
  <c r="L37" i="57" s="1"/>
  <c r="I75" i="57"/>
  <c r="I61" i="57" s="1"/>
  <c r="I37" i="57" s="1"/>
  <c r="M80" i="57"/>
  <c r="M66" i="57" s="1"/>
  <c r="M42" i="57" s="1"/>
  <c r="L80" i="57"/>
  <c r="L66" i="57" s="1"/>
  <c r="L42" i="57" s="1"/>
  <c r="J78" i="57"/>
  <c r="J64" i="57" s="1"/>
  <c r="J40" i="57" s="1"/>
  <c r="L79" i="57"/>
  <c r="L65" i="57" s="1"/>
  <c r="L41" i="57" s="1"/>
  <c r="K78" i="57"/>
  <c r="K64" i="57" s="1"/>
  <c r="K40" i="57" s="1"/>
  <c r="I79" i="57"/>
  <c r="I65" i="57" s="1"/>
  <c r="I41" i="57" s="1"/>
  <c r="I74" i="57"/>
  <c r="I60" i="57" s="1"/>
  <c r="I36" i="57" s="1"/>
  <c r="K75" i="57"/>
  <c r="K61" i="57" s="1"/>
  <c r="K37" i="57" s="1"/>
  <c r="J80" i="57"/>
  <c r="J66" i="57" s="1"/>
  <c r="J42" i="57" s="1"/>
  <c r="I76" i="57"/>
  <c r="I62" i="57" s="1"/>
  <c r="I38" i="57" s="1"/>
  <c r="J73" i="57"/>
  <c r="J59" i="57" s="1"/>
  <c r="J35" i="57" s="1"/>
  <c r="K74" i="57"/>
  <c r="K60" i="57" s="1"/>
  <c r="K36" i="57" s="1"/>
  <c r="K77" i="57"/>
  <c r="K63" i="57" s="1"/>
  <c r="K39" i="57" s="1"/>
  <c r="L77" i="57"/>
  <c r="L63" i="57" s="1"/>
  <c r="L39" i="57" s="1"/>
  <c r="I73" i="57"/>
  <c r="I59" i="57" s="1"/>
  <c r="I35" i="57" s="1"/>
  <c r="M75" i="57"/>
  <c r="M61" i="57" s="1"/>
  <c r="M37" i="57" s="1"/>
  <c r="I80" i="57"/>
  <c r="I66" i="57" s="1"/>
  <c r="I42" i="57" s="1"/>
  <c r="K73" i="57"/>
  <c r="K59" i="57" s="1"/>
  <c r="K35" i="57" s="1"/>
  <c r="J75" i="57"/>
  <c r="J61" i="57" s="1"/>
  <c r="J37" i="57" s="1"/>
  <c r="M76" i="57"/>
  <c r="M62" i="57" s="1"/>
  <c r="M38" i="57" s="1"/>
  <c r="L78" i="57"/>
  <c r="L64" i="57" s="1"/>
  <c r="L40" i="57" s="1"/>
  <c r="M78" i="57"/>
  <c r="M64" i="57" s="1"/>
  <c r="M40" i="57" s="1"/>
  <c r="I77" i="57"/>
  <c r="I63" i="57" s="1"/>
  <c r="I39" i="57" s="1"/>
  <c r="J76" i="57"/>
  <c r="J62" i="57" s="1"/>
  <c r="J38" i="57" s="1"/>
  <c r="J77" i="57"/>
  <c r="J63" i="57" s="1"/>
  <c r="J39" i="57" s="1"/>
  <c r="I78" i="57"/>
  <c r="I64" i="57" s="1"/>
  <c r="I40" i="57" s="1"/>
  <c r="J197" i="26"/>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G92" i="35"/>
  <c r="M91" i="35"/>
  <c r="K90" i="35"/>
  <c r="J94" i="35"/>
  <c r="L93" i="35"/>
  <c r="D93" i="35"/>
  <c r="J92" i="35"/>
  <c r="L91" i="35"/>
  <c r="J90" i="35"/>
  <c r="F90" i="35"/>
  <c r="L89" i="35"/>
  <c r="J88" i="35"/>
  <c r="L87" i="35"/>
  <c r="I90" i="35"/>
  <c r="K89" i="35"/>
  <c r="G87" i="35"/>
  <c r="I94" i="35"/>
  <c r="K93" i="35"/>
  <c r="G93" i="35"/>
  <c r="M92" i="35"/>
  <c r="I92" i="35"/>
  <c r="E92" i="35"/>
  <c r="K91" i="35"/>
  <c r="G91" i="35"/>
  <c r="G89" i="35"/>
  <c r="I88" i="35"/>
  <c r="K87" i="35"/>
  <c r="L94" i="35"/>
  <c r="D94" i="35"/>
  <c r="J93" i="35"/>
  <c r="F93" i="35"/>
  <c r="L92" i="35"/>
  <c r="H92" i="35"/>
  <c r="D92" i="35"/>
  <c r="J91" i="35"/>
  <c r="F91" i="35"/>
  <c r="L90" i="35"/>
  <c r="D90" i="35"/>
  <c r="J89" i="35"/>
  <c r="F89" i="35"/>
  <c r="L88" i="35"/>
  <c r="D88" i="35"/>
  <c r="J87" i="35"/>
  <c r="F87" i="35"/>
  <c r="I91" i="35"/>
  <c r="G90" i="35"/>
  <c r="I89" i="35"/>
  <c r="K88" i="35"/>
  <c r="D19" i="35"/>
  <c r="E249" i="35" s="1"/>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AY118" i="35"/>
  <c r="BS104" i="35"/>
  <c r="BS116" i="35"/>
  <c r="AO118" i="35"/>
  <c r="BI116" i="35"/>
  <c r="BI115" i="35"/>
  <c r="AY104" i="35"/>
  <c r="AY103" i="35"/>
  <c r="BS103" i="35"/>
  <c r="AO115" i="35"/>
  <c r="AY116" i="35"/>
  <c r="BI102" i="35"/>
  <c r="BI103" i="35"/>
  <c r="BI117" i="35"/>
  <c r="BI118" i="35"/>
  <c r="BS101" i="35"/>
  <c r="AY101" i="35"/>
  <c r="AO102" i="35"/>
  <c r="AY115" i="35"/>
  <c r="BI101" i="35"/>
  <c r="BS117" i="35"/>
  <c r="AO116" i="35"/>
  <c r="BI104" i="35"/>
  <c r="AO104" i="35"/>
  <c r="BS115" i="35"/>
  <c r="AO117" i="35"/>
  <c r="AO101" i="35"/>
  <c r="AY102" i="35"/>
  <c r="AY117" i="35"/>
  <c r="BS102" i="35"/>
  <c r="BS118" i="35"/>
  <c r="AO103" i="35"/>
  <c r="D91" i="35" l="1"/>
  <c r="H91" i="35"/>
  <c r="F88" i="35"/>
  <c r="E88" i="35"/>
  <c r="E87" i="35"/>
  <c r="H93" i="35"/>
  <c r="E91" i="35"/>
  <c r="F94" i="35"/>
  <c r="E90" i="35"/>
  <c r="E94" i="35"/>
  <c r="F92" i="35"/>
  <c r="G88" i="35"/>
  <c r="D89" i="35"/>
  <c r="E89" i="35"/>
  <c r="G94" i="35"/>
  <c r="H87" i="35"/>
  <c r="H88" i="35"/>
  <c r="H90" i="35"/>
  <c r="H248" i="35"/>
  <c r="M116" i="35"/>
  <c r="M102" i="35"/>
  <c r="M51" i="35" s="1"/>
  <c r="M27" i="35" s="1"/>
  <c r="E93" i="35"/>
  <c r="M103" i="35"/>
  <c r="M52" i="35" s="1"/>
  <c r="M28" i="35" s="1"/>
  <c r="M117" i="35"/>
  <c r="M118" i="35"/>
  <c r="M104" i="35"/>
  <c r="M53" i="35" s="1"/>
  <c r="M29" i="35" s="1"/>
  <c r="M115" i="35"/>
  <c r="M101" i="35"/>
  <c r="M50" i="35" s="1"/>
  <c r="M26" i="35" s="1"/>
  <c r="AZ100" i="35"/>
  <c r="AF100" i="35"/>
  <c r="BJ114" i="35"/>
  <c r="AP114" i="35"/>
  <c r="V114" i="35"/>
  <c r="BJ100" i="35"/>
  <c r="AP100" i="35"/>
  <c r="V100" i="35"/>
  <c r="AZ114" i="35"/>
  <c r="AF114" i="35"/>
  <c r="BL99" i="35"/>
  <c r="AR99" i="35"/>
  <c r="X99" i="35"/>
  <c r="BB113" i="35"/>
  <c r="AH113" i="35"/>
  <c r="BB99" i="35"/>
  <c r="AH99" i="35"/>
  <c r="BL113" i="35"/>
  <c r="AR113" i="35"/>
  <c r="X113" i="35"/>
  <c r="F249"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F248" i="35"/>
  <c r="F246" i="35" s="1"/>
  <c r="E51" i="36"/>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E248" i="35"/>
  <c r="E246" i="35" s="1"/>
  <c r="D249" i="35"/>
  <c r="G248" i="35"/>
  <c r="G249" i="35"/>
  <c r="D248" i="35"/>
  <c r="H249" i="35"/>
  <c r="H94" i="35"/>
  <c r="D87" i="35"/>
  <c r="L248" i="35"/>
  <c r="I249" i="35"/>
  <c r="J249" i="35"/>
  <c r="M248" i="35"/>
  <c r="M249" i="35"/>
  <c r="I248" i="35"/>
  <c r="K249" i="35"/>
  <c r="K246" i="35" s="1"/>
  <c r="E87" i="36"/>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B64" i="36" l="1"/>
  <c r="B87" i="36"/>
  <c r="B78" i="36"/>
  <c r="B60" i="36"/>
  <c r="BX40" i="36" s="1"/>
  <c r="BE29" i="36"/>
  <c r="BS29" i="36" s="1"/>
  <c r="E88" i="36"/>
  <c r="B91" i="36"/>
  <c r="B73" i="36"/>
  <c r="AZ29" i="36"/>
  <c r="BX29" i="36" s="1"/>
  <c r="D246" i="35"/>
  <c r="E79" i="36"/>
  <c r="AF29" i="36" s="1"/>
  <c r="CR29" i="36" s="1"/>
  <c r="J246" i="35"/>
  <c r="E70" i="36"/>
  <c r="AP29" i="36" s="1"/>
  <c r="CH29" i="36" s="1"/>
  <c r="G246" i="35"/>
  <c r="L246" i="35"/>
  <c r="M246" i="35"/>
  <c r="H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AK29" i="36" s="1"/>
  <c r="CM29" i="36" s="1"/>
  <c r="E69" i="36"/>
  <c r="AU29" i="36" s="1"/>
  <c r="CC29" i="36" s="1"/>
  <c r="E60" i="36"/>
  <c r="BS40" i="36" s="1"/>
  <c r="AA29" i="36"/>
  <c r="CW29" i="36" s="1"/>
  <c r="C161" i="35"/>
  <c r="L219" i="35" s="1"/>
  <c r="C154" i="35"/>
  <c r="C212" i="35" s="1"/>
  <c r="V29" i="36"/>
  <c r="DB29" i="36" s="1"/>
  <c r="E83" i="36"/>
  <c r="E74" i="36"/>
  <c r="E65" i="36"/>
  <c r="E92" i="36"/>
  <c r="C147" i="35"/>
  <c r="I147" i="35" s="1"/>
  <c r="E54" i="36"/>
  <c r="C175" i="35"/>
  <c r="C233" i="35" s="1"/>
  <c r="E58" i="36"/>
  <c r="C140" i="35"/>
  <c r="L198" i="35" s="1"/>
  <c r="E53" i="36"/>
  <c r="E91" i="36"/>
  <c r="E73" i="36"/>
  <c r="E82" i="36"/>
  <c r="E64" i="36"/>
  <c r="C168" i="35"/>
  <c r="C226" i="35" s="1"/>
  <c r="E57" i="36"/>
  <c r="M76" i="35"/>
  <c r="M62" i="35" s="1"/>
  <c r="M38" i="35" s="1"/>
  <c r="M74" i="35"/>
  <c r="M60" i="35" s="1"/>
  <c r="M36" i="35" s="1"/>
  <c r="M75" i="35"/>
  <c r="M61" i="35" s="1"/>
  <c r="M37" i="35" s="1"/>
  <c r="M73" i="35"/>
  <c r="M59" i="35" s="1"/>
  <c r="M35" i="35" s="1"/>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F140" i="35" l="1"/>
  <c r="C198" i="35"/>
  <c r="O198" i="35"/>
  <c r="F205" i="35"/>
  <c r="L140" i="35"/>
  <c r="I198" i="35"/>
  <c r="F147" i="35"/>
  <c r="F212" i="35"/>
  <c r="L205" i="35"/>
  <c r="C205" i="35"/>
  <c r="I154" i="35"/>
  <c r="O226" i="35"/>
  <c r="L212" i="35"/>
  <c r="O175" i="35"/>
  <c r="O212" i="35"/>
  <c r="F233" i="35"/>
  <c r="I175" i="35"/>
  <c r="O168" i="35"/>
  <c r="L233" i="35"/>
  <c r="F226" i="35"/>
  <c r="O233" i="35"/>
  <c r="O154" i="35"/>
  <c r="I168" i="35"/>
  <c r="L226" i="35"/>
  <c r="Q29" i="36"/>
  <c r="DG29" i="36" s="1"/>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AF49" i="36" l="1"/>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AL115" i="35"/>
  <c r="AZ122" i="35"/>
  <c r="AX116" i="35"/>
  <c r="AQ115" i="35"/>
  <c r="BO116" i="35"/>
  <c r="BA108" i="35"/>
  <c r="BP106" i="35"/>
  <c r="BM116" i="35"/>
  <c r="BC104" i="35"/>
  <c r="AV107" i="35"/>
  <c r="AX122" i="35"/>
  <c r="BP108" i="35"/>
  <c r="AW117" i="35"/>
  <c r="AI119" i="35"/>
  <c r="AM115" i="35"/>
  <c r="AJ121" i="35"/>
  <c r="BM120" i="35"/>
  <c r="AX102" i="35"/>
  <c r="AN121" i="35"/>
  <c r="BE102" i="35"/>
  <c r="BA117" i="35"/>
  <c r="AF121" i="35"/>
  <c r="BB122" i="35"/>
  <c r="AM119" i="35"/>
  <c r="BC102" i="35"/>
  <c r="AF105" i="35"/>
  <c r="AX115" i="35"/>
  <c r="AX101" i="35"/>
  <c r="BO119" i="35"/>
  <c r="BO115" i="35"/>
  <c r="AS122" i="35"/>
  <c r="AR105" i="35"/>
  <c r="AY122" i="35"/>
  <c r="AO122" i="35"/>
  <c r="AP115" i="35"/>
  <c r="BE121" i="35"/>
  <c r="AS101" i="35"/>
  <c r="BM107" i="35"/>
  <c r="BC118" i="35"/>
  <c r="BC108" i="35"/>
  <c r="AJ102" i="35"/>
  <c r="BE122" i="35"/>
  <c r="BK121" i="35"/>
  <c r="BG122" i="35"/>
  <c r="BC117" i="35"/>
  <c r="AU119" i="35"/>
  <c r="BO104" i="35"/>
  <c r="BQ103" i="35"/>
  <c r="AN117" i="35"/>
  <c r="AJ103" i="35"/>
  <c r="BP116" i="35"/>
  <c r="AO119" i="35"/>
  <c r="AZ115" i="35"/>
  <c r="BN104" i="35"/>
  <c r="BG117" i="35"/>
  <c r="AS104" i="35"/>
  <c r="AI121" i="35"/>
  <c r="BC103" i="35"/>
  <c r="BJ108" i="35"/>
  <c r="BB115" i="35"/>
  <c r="BJ119" i="35"/>
  <c r="BM117" i="35"/>
  <c r="AM108" i="35"/>
  <c r="AN104" i="35"/>
  <c r="BS119" i="35"/>
  <c r="BE105" i="35"/>
  <c r="AZ121" i="35"/>
  <c r="BE115" i="35"/>
  <c r="BN116" i="35"/>
  <c r="AI117" i="35"/>
  <c r="BM105" i="35"/>
  <c r="BR115" i="35"/>
  <c r="AV106" i="35"/>
  <c r="BA118" i="35"/>
  <c r="BC101" i="35"/>
  <c r="AG105" i="35"/>
  <c r="AI120" i="35"/>
  <c r="AZ101" i="35"/>
  <c r="AG116" i="35"/>
  <c r="BD102" i="35"/>
  <c r="BL122" i="35"/>
  <c r="BO120" i="35"/>
  <c r="BQ122" i="35"/>
  <c r="AZ107" i="35"/>
  <c r="BJ105" i="35"/>
  <c r="AM102" i="35"/>
  <c r="BG107" i="35"/>
  <c r="BM118" i="35"/>
  <c r="BK108" i="35"/>
  <c r="BE116" i="35"/>
  <c r="AJ116" i="35"/>
  <c r="AW106" i="35"/>
  <c r="BN119" i="35"/>
  <c r="AI116" i="35"/>
  <c r="BI108" i="35"/>
  <c r="BO121" i="35"/>
  <c r="BN120" i="35"/>
  <c r="BC116" i="35"/>
  <c r="AQ119" i="35"/>
  <c r="AR104" i="35"/>
  <c r="BJ103" i="35"/>
  <c r="AL105" i="35"/>
  <c r="AO105" i="35"/>
  <c r="BL105" i="35"/>
  <c r="BG103" i="35"/>
  <c r="AO121" i="35"/>
  <c r="BO118" i="35"/>
  <c r="AM105" i="35"/>
  <c r="BF117" i="35"/>
  <c r="BS122" i="35"/>
  <c r="AZ103" i="35"/>
  <c r="AW101" i="35"/>
  <c r="BQ107" i="35"/>
  <c r="AV101" i="35"/>
  <c r="AK103" i="35"/>
  <c r="BA104" i="35"/>
  <c r="AJ115" i="35"/>
  <c r="AK106" i="35"/>
  <c r="BM115" i="35"/>
  <c r="AX119" i="35"/>
  <c r="AR120" i="35"/>
  <c r="AY107" i="35"/>
  <c r="BA116" i="35"/>
  <c r="BD122" i="35"/>
  <c r="BF120" i="35"/>
  <c r="BB121" i="35"/>
  <c r="BH107" i="35"/>
  <c r="AV120" i="35"/>
  <c r="BA102" i="35"/>
  <c r="BA105" i="35"/>
  <c r="AH107" i="35"/>
  <c r="BK118" i="35"/>
  <c r="AP118" i="35"/>
  <c r="BA106" i="35"/>
  <c r="BN115" i="35"/>
  <c r="BC115" i="35"/>
  <c r="AN101" i="35"/>
  <c r="BA120" i="35"/>
  <c r="AO108" i="35"/>
  <c r="AK107" i="35"/>
  <c r="BN122" i="35"/>
  <c r="AH119" i="35"/>
  <c r="BB102" i="35"/>
  <c r="AM120" i="35"/>
  <c r="AV117" i="35"/>
  <c r="AL118" i="35"/>
  <c r="AU107" i="35"/>
  <c r="AX104" i="35"/>
  <c r="BH101" i="35"/>
  <c r="AG103" i="35"/>
  <c r="AF117" i="35"/>
  <c r="AU103" i="35"/>
  <c r="BB119" i="35"/>
  <c r="AN115" i="35"/>
  <c r="AR103" i="35"/>
  <c r="AR117" i="35"/>
  <c r="AU120" i="35"/>
  <c r="AH121" i="35"/>
  <c r="BG115" i="35"/>
  <c r="BE108" i="35"/>
  <c r="BR117" i="35"/>
  <c r="BO101" i="35"/>
  <c r="BN102" i="35"/>
  <c r="AX105" i="35"/>
  <c r="AN106" i="35"/>
  <c r="BL107" i="35"/>
  <c r="AZ117" i="35"/>
  <c r="AP102" i="35"/>
  <c r="AW118" i="35"/>
  <c r="AI108" i="35"/>
  <c r="AH102" i="35"/>
  <c r="AQ121" i="35"/>
  <c r="AH117" i="35"/>
  <c r="BG120" i="35"/>
  <c r="BE118" i="35"/>
  <c r="AU106" i="35"/>
  <c r="AL116" i="35"/>
  <c r="AL106" i="35"/>
  <c r="BK119" i="35"/>
  <c r="AS106" i="35"/>
  <c r="BP102" i="35"/>
  <c r="AZ108" i="35"/>
  <c r="BL117" i="35"/>
  <c r="AX118" i="35"/>
  <c r="AG120" i="35"/>
  <c r="BR107" i="35"/>
  <c r="AV105" i="35"/>
  <c r="BK102" i="35"/>
  <c r="AQ120" i="35"/>
  <c r="AL104" i="35"/>
  <c r="AY106" i="35"/>
  <c r="AJ119" i="35"/>
  <c r="AT107" i="35"/>
  <c r="AF119" i="35"/>
  <c r="BM119" i="35"/>
  <c r="AK104" i="35"/>
  <c r="AU116" i="35"/>
  <c r="BB103" i="35"/>
  <c r="BH122" i="35"/>
  <c r="AG102" i="35"/>
  <c r="BI106" i="35"/>
  <c r="BE120" i="35"/>
  <c r="AH122" i="35"/>
  <c r="BC107" i="35"/>
  <c r="AN122" i="35"/>
  <c r="AZ102" i="35"/>
  <c r="AL101" i="35"/>
  <c r="BN106" i="35"/>
  <c r="BF102" i="35"/>
  <c r="AU121" i="35"/>
  <c r="BO117" i="35"/>
  <c r="BS107" i="35"/>
  <c r="BM102" i="35"/>
  <c r="BF121" i="35"/>
  <c r="AF108" i="35"/>
  <c r="BP121" i="35"/>
  <c r="AL119" i="35"/>
  <c r="AK108" i="35"/>
  <c r="AL122" i="35"/>
  <c r="BH106" i="35"/>
  <c r="BC120" i="35"/>
  <c r="BM108" i="35"/>
  <c r="AZ105" i="35"/>
  <c r="AS116" i="35"/>
  <c r="AQ105" i="35"/>
  <c r="AP106" i="35"/>
  <c r="BR122" i="35"/>
  <c r="BQ106" i="35"/>
  <c r="BO102" i="35"/>
  <c r="BM103" i="35"/>
  <c r="AU108" i="35"/>
  <c r="AS102" i="35"/>
  <c r="AH118" i="35"/>
  <c r="AX107" i="35"/>
  <c r="BJ118" i="35"/>
  <c r="BA121" i="35"/>
  <c r="AG119" i="35"/>
  <c r="AS115" i="35"/>
  <c r="AG118" i="35"/>
  <c r="BQ105" i="35"/>
  <c r="AQ118" i="35"/>
  <c r="AS105" i="35"/>
  <c r="BL102" i="35"/>
  <c r="AI104" i="35"/>
  <c r="AO106" i="35"/>
  <c r="BF103" i="35"/>
  <c r="AV102" i="35"/>
  <c r="BJ116" i="35"/>
  <c r="BB120" i="35"/>
  <c r="BG118" i="35"/>
  <c r="BR118" i="35"/>
  <c r="AY119" i="35"/>
  <c r="BR106" i="35"/>
  <c r="BE103" i="35"/>
  <c r="BE119" i="35"/>
  <c r="BK104" i="35"/>
  <c r="AM104" i="35"/>
  <c r="AP108" i="35"/>
  <c r="AT120" i="35"/>
  <c r="AQ102" i="35"/>
  <c r="AM116" i="35"/>
  <c r="BK117" i="35"/>
  <c r="AK119" i="35"/>
  <c r="BK103" i="35"/>
  <c r="AF103" i="35"/>
  <c r="AL117" i="35"/>
  <c r="AX120" i="35"/>
  <c r="BE104" i="35"/>
  <c r="BL104" i="35"/>
  <c r="BG119" i="35"/>
  <c r="AS108" i="35"/>
  <c r="AJ117" i="35"/>
  <c r="AW105" i="35"/>
  <c r="AS121" i="35"/>
  <c r="BD118" i="35"/>
  <c r="BN118" i="35"/>
  <c r="AM117" i="35"/>
  <c r="BD115" i="35"/>
  <c r="AK122" i="35"/>
  <c r="AW121" i="35"/>
  <c r="BR119" i="35"/>
  <c r="BQ102" i="35"/>
  <c r="BK120" i="35"/>
  <c r="AJ122" i="35"/>
  <c r="AU117" i="35"/>
  <c r="BR104" i="35"/>
  <c r="BN117" i="35"/>
  <c r="AR102" i="35"/>
  <c r="BQ108" i="35"/>
  <c r="BF116" i="35"/>
  <c r="BB108" i="35"/>
  <c r="BK107" i="35"/>
  <c r="AF102" i="35"/>
  <c r="AT115" i="35"/>
  <c r="AR116" i="35"/>
  <c r="AV116" i="35"/>
  <c r="AQ116" i="35"/>
  <c r="BQ120" i="35"/>
  <c r="AO120" i="35"/>
  <c r="AI107" i="35"/>
  <c r="AS103" i="35"/>
  <c r="AV108" i="35"/>
  <c r="BD103" i="35"/>
  <c r="BB106" i="35"/>
  <c r="AX117" i="35"/>
  <c r="AP101" i="35"/>
  <c r="BF115" i="35"/>
  <c r="AF116" i="35"/>
  <c r="BH119" i="35"/>
  <c r="AI118" i="35"/>
  <c r="BO108" i="35"/>
  <c r="AG104" i="35"/>
  <c r="BQ121" i="35"/>
  <c r="AQ101" i="35"/>
  <c r="AP105" i="35"/>
  <c r="AL102" i="35"/>
  <c r="AV103" i="35"/>
  <c r="BP118" i="35"/>
  <c r="AU102" i="35"/>
  <c r="BC105" i="35"/>
  <c r="BE106" i="35"/>
  <c r="BQ104" i="35"/>
  <c r="AJ101" i="35"/>
  <c r="AR115" i="35"/>
  <c r="AJ118" i="35"/>
  <c r="BR105" i="35"/>
  <c r="BG105" i="35"/>
  <c r="BL103" i="35"/>
  <c r="BJ115" i="35"/>
  <c r="AT103" i="35"/>
  <c r="BM104" i="35"/>
  <c r="BP105" i="35"/>
  <c r="AW103" i="35"/>
  <c r="BG116" i="35"/>
  <c r="BQ119" i="35"/>
  <c r="AQ122" i="35"/>
  <c r="BK105" i="35"/>
  <c r="AH104" i="35"/>
  <c r="AT102" i="35"/>
  <c r="AM107" i="35"/>
  <c r="AV119" i="35"/>
  <c r="BD117" i="35"/>
  <c r="AF115" i="35"/>
  <c r="AO107" i="35"/>
  <c r="AV115" i="35"/>
  <c r="AP119" i="35"/>
  <c r="BL119" i="35"/>
  <c r="BG121" i="35"/>
  <c r="AW120" i="35"/>
  <c r="BS105" i="35"/>
  <c r="AS119" i="35"/>
  <c r="BA103" i="35"/>
  <c r="BL108" i="35"/>
  <c r="AL121" i="35"/>
  <c r="BL106" i="35"/>
  <c r="AP120" i="35"/>
  <c r="AR107" i="35"/>
  <c r="AM118" i="35"/>
  <c r="BH105" i="35"/>
  <c r="BG104" i="35"/>
  <c r="AI101" i="35"/>
  <c r="BR108" i="35"/>
  <c r="AK118" i="35"/>
  <c r="AN119" i="35"/>
  <c r="AH106" i="35"/>
  <c r="AI115" i="35"/>
  <c r="BH121" i="35"/>
  <c r="BK101" i="35"/>
  <c r="AH116" i="35"/>
  <c r="AY108" i="35"/>
  <c r="AM101" i="35"/>
  <c r="BD107" i="35"/>
  <c r="AZ106" i="35"/>
  <c r="AM106" i="35"/>
  <c r="BG108" i="35"/>
  <c r="AX103" i="35"/>
  <c r="AF118" i="35"/>
  <c r="BS120" i="35"/>
  <c r="AU104" i="35"/>
  <c r="BF101" i="35"/>
  <c r="AT106" i="35"/>
  <c r="BS121" i="35"/>
  <c r="AK121" i="35"/>
  <c r="BD104" i="35"/>
  <c r="BL120" i="35"/>
  <c r="BB118" i="35"/>
  <c r="AH115" i="35"/>
  <c r="BC121" i="35"/>
  <c r="BD101" i="35"/>
  <c r="AI106" i="35"/>
  <c r="AJ106" i="35"/>
  <c r="BL121" i="35"/>
  <c r="AL120" i="35"/>
  <c r="AW102" i="35"/>
  <c r="AR106" i="35"/>
  <c r="AQ104" i="35"/>
  <c r="AF107" i="35"/>
  <c r="BH108" i="35"/>
  <c r="AG108" i="35"/>
  <c r="BJ107" i="35"/>
  <c r="AU115" i="35"/>
  <c r="BA101" i="35"/>
  <c r="AI105" i="35"/>
  <c r="AW122" i="35"/>
  <c r="BB116" i="35"/>
  <c r="AQ108" i="35"/>
  <c r="AW115" i="35"/>
  <c r="BC122" i="35"/>
  <c r="BS108" i="35"/>
  <c r="AZ116" i="35"/>
  <c r="AP103" i="35"/>
  <c r="BI105" i="35"/>
  <c r="BM106" i="35"/>
  <c r="BD116" i="35"/>
  <c r="AP121" i="35"/>
  <c r="AK102" i="35"/>
  <c r="AJ105" i="35"/>
  <c r="AQ106" i="35"/>
  <c r="AN108" i="35"/>
  <c r="BH118" i="35"/>
  <c r="AV122" i="35"/>
  <c r="AS107" i="35"/>
  <c r="BJ102" i="35"/>
  <c r="AF104" i="35"/>
  <c r="AR122" i="35"/>
  <c r="AP117" i="35"/>
  <c r="AP122" i="35"/>
  <c r="AR101" i="35"/>
  <c r="AN103" i="35"/>
  <c r="AJ120" i="35"/>
  <c r="BR121" i="35"/>
  <c r="AN107" i="35"/>
  <c r="BF104" i="35"/>
  <c r="BF106" i="35"/>
  <c r="BD121" i="35"/>
  <c r="BC106" i="35"/>
  <c r="BR102" i="35"/>
  <c r="AU118" i="35"/>
  <c r="BQ118" i="35"/>
  <c r="AU101" i="35"/>
  <c r="BO107" i="35"/>
  <c r="AR108" i="35"/>
  <c r="AK115" i="35"/>
  <c r="AH108" i="35"/>
  <c r="BM101" i="35"/>
  <c r="AU122" i="35"/>
  <c r="BE107" i="35"/>
  <c r="BJ106" i="35"/>
  <c r="BL101" i="35"/>
  <c r="AT105" i="35"/>
  <c r="AG122" i="35"/>
  <c r="AG115" i="35"/>
  <c r="BN101" i="35"/>
  <c r="BP103" i="35"/>
  <c r="AL108" i="35"/>
  <c r="BL116" i="35"/>
  <c r="AR118" i="35"/>
  <c r="BH115" i="35"/>
  <c r="AM122" i="35"/>
  <c r="AH103" i="35"/>
  <c r="AW104" i="35"/>
  <c r="BI121" i="35"/>
  <c r="AP104" i="35"/>
  <c r="BN105" i="35"/>
  <c r="BB105" i="35"/>
  <c r="AL107" i="35"/>
  <c r="BD120" i="35"/>
  <c r="BO122" i="35"/>
  <c r="AM103" i="35"/>
  <c r="BH104" i="35"/>
  <c r="BH120" i="35"/>
  <c r="BL115" i="35"/>
  <c r="BQ116" i="35"/>
  <c r="AW108" i="35"/>
  <c r="BN103" i="35"/>
  <c r="BQ117" i="35"/>
  <c r="AG107" i="35"/>
  <c r="AI103" i="35"/>
  <c r="AW116" i="35"/>
  <c r="AZ120" i="35"/>
  <c r="BJ120" i="35"/>
  <c r="AQ103" i="35"/>
  <c r="BR116" i="35"/>
  <c r="BF105" i="35"/>
  <c r="BF122" i="35"/>
  <c r="BB104" i="35"/>
  <c r="BB101" i="35"/>
  <c r="AK101" i="35"/>
  <c r="BM121" i="35"/>
  <c r="AT121" i="35"/>
  <c r="BD106" i="35"/>
  <c r="AW107" i="35"/>
  <c r="BI119" i="35"/>
  <c r="BK115" i="35"/>
  <c r="BH117" i="35"/>
  <c r="BH102" i="35"/>
  <c r="AJ108" i="35"/>
  <c r="AZ104" i="35"/>
  <c r="AT118" i="35"/>
  <c r="AH120" i="35"/>
  <c r="BJ122" i="35"/>
  <c r="BO106" i="35"/>
  <c r="BK122" i="35"/>
  <c r="AZ118" i="35"/>
  <c r="BO105" i="35"/>
  <c r="AT104" i="35"/>
  <c r="BJ117" i="35"/>
  <c r="AK120" i="35"/>
  <c r="BN107" i="35"/>
  <c r="AY120" i="35"/>
  <c r="AK105" i="35"/>
  <c r="BP119" i="35"/>
  <c r="BG102" i="35"/>
  <c r="BB117" i="35"/>
  <c r="AU105" i="35"/>
  <c r="AY105" i="35"/>
  <c r="BO103" i="35"/>
  <c r="AJ107" i="35"/>
  <c r="BP117" i="35"/>
  <c r="AG117" i="35"/>
  <c r="AN105" i="35"/>
  <c r="AT101" i="35"/>
  <c r="BK106" i="35"/>
  <c r="BJ104" i="35"/>
  <c r="BQ115" i="35"/>
  <c r="BJ121" i="35"/>
  <c r="AI122" i="35"/>
  <c r="AV118" i="35"/>
  <c r="AZ119" i="35"/>
  <c r="BN121" i="35"/>
  <c r="BL118" i="35"/>
  <c r="BP104" i="35"/>
  <c r="BM122" i="35"/>
  <c r="BA119" i="35"/>
  <c r="BH103" i="35"/>
  <c r="BI122" i="35"/>
  <c r="AN118" i="35"/>
  <c r="BN108" i="35"/>
  <c r="BI120" i="35"/>
  <c r="BG106" i="35"/>
  <c r="AH101" i="35"/>
  <c r="AY121" i="35"/>
  <c r="BF119" i="35"/>
  <c r="AN120" i="35"/>
  <c r="AP107" i="35"/>
  <c r="BA115" i="35"/>
  <c r="AV104" i="35"/>
  <c r="BI107" i="35"/>
  <c r="AF101" i="35"/>
  <c r="BG101" i="35"/>
  <c r="AN102" i="35"/>
  <c r="BA122" i="35"/>
  <c r="BH116" i="35"/>
  <c r="BE101" i="35"/>
  <c r="AT117" i="35"/>
  <c r="AT108" i="35"/>
  <c r="AK116" i="35"/>
  <c r="BR103" i="35"/>
  <c r="BD119" i="35"/>
  <c r="AH105" i="35"/>
  <c r="AG106" i="35"/>
  <c r="AX108" i="35"/>
  <c r="AK117" i="35"/>
  <c r="BS106" i="35"/>
  <c r="BE117" i="35"/>
  <c r="BP122" i="35"/>
  <c r="AI102" i="35"/>
  <c r="AT116" i="35"/>
  <c r="BD108" i="35"/>
  <c r="BB107" i="35"/>
  <c r="AX121" i="35"/>
  <c r="BJ101" i="35"/>
  <c r="BP101" i="35"/>
  <c r="AX106" i="35"/>
  <c r="BF118" i="35"/>
  <c r="AN116" i="35"/>
  <c r="AL103" i="35"/>
  <c r="BC119" i="35"/>
  <c r="AS118" i="35"/>
  <c r="AF122" i="35"/>
  <c r="AG121" i="35"/>
  <c r="AF120" i="35"/>
  <c r="AP116" i="35"/>
  <c r="AM121" i="35"/>
  <c r="AR121" i="35"/>
  <c r="AG101" i="35"/>
  <c r="AW119" i="35"/>
  <c r="AT122" i="35"/>
  <c r="BP107" i="35"/>
  <c r="AQ117" i="35"/>
  <c r="BQ101" i="35"/>
  <c r="BR101" i="35"/>
  <c r="AV121" i="35"/>
  <c r="BK116" i="35"/>
  <c r="AT119" i="35"/>
  <c r="BR120" i="35"/>
  <c r="BF107" i="35"/>
  <c r="AF106" i="35"/>
  <c r="BF108" i="35"/>
  <c r="BA107" i="35"/>
  <c r="BD105" i="35"/>
  <c r="BP120" i="35"/>
  <c r="AS120" i="35"/>
  <c r="AS117" i="35"/>
  <c r="AQ107" i="35"/>
  <c r="AR119" i="35"/>
  <c r="BP115" i="35"/>
  <c r="AJ104" i="35"/>
  <c r="D102" i="35" l="1"/>
  <c r="D51" i="35" s="1"/>
  <c r="D27" i="35" s="1"/>
  <c r="D103" i="35"/>
  <c r="D52" i="35" s="1"/>
  <c r="D28" i="35" s="1"/>
  <c r="J122" i="35"/>
  <c r="M106" i="35"/>
  <c r="M55" i="35" s="1"/>
  <c r="M31" i="35" s="1"/>
  <c r="L116" i="35"/>
  <c r="H117" i="35"/>
  <c r="E115" i="35"/>
  <c r="H118" i="35"/>
  <c r="F101" i="35"/>
  <c r="F50" i="35" s="1"/>
  <c r="F26" i="35" s="1"/>
  <c r="L103" i="35"/>
  <c r="L52" i="35" s="1"/>
  <c r="L28" i="35" s="1"/>
  <c r="E103" i="35"/>
  <c r="E52" i="35" s="1"/>
  <c r="E28" i="35" s="1"/>
  <c r="D122" i="35"/>
  <c r="I105" i="35"/>
  <c r="I54" i="35" s="1"/>
  <c r="I30" i="35" s="1"/>
  <c r="L105" i="35"/>
  <c r="L54" i="35" s="1"/>
  <c r="L30" i="35" s="1"/>
  <c r="G116" i="35"/>
  <c r="E120" i="35"/>
  <c r="F102" i="35"/>
  <c r="F51" i="35" s="1"/>
  <c r="F27" i="35" s="1"/>
  <c r="M122" i="35"/>
  <c r="J102" i="35"/>
  <c r="J51" i="35" s="1"/>
  <c r="J27" i="35" s="1"/>
  <c r="F106" i="35"/>
  <c r="F55" i="35" s="1"/>
  <c r="F31" i="35" s="1"/>
  <c r="F115" i="35"/>
  <c r="F120" i="35"/>
  <c r="G103" i="35"/>
  <c r="G52" i="35" s="1"/>
  <c r="G28" i="35" s="1"/>
  <c r="F116" i="35"/>
  <c r="I103" i="35"/>
  <c r="I52" i="35" s="1"/>
  <c r="I28" i="35" s="1"/>
  <c r="H120" i="35"/>
  <c r="I106" i="35"/>
  <c r="I55" i="35" s="1"/>
  <c r="I31" i="35" s="1"/>
  <c r="G107" i="35"/>
  <c r="G56" i="35" s="1"/>
  <c r="G32" i="35" s="1"/>
  <c r="J104" i="35"/>
  <c r="J53" i="35" s="1"/>
  <c r="J29" i="35" s="1"/>
  <c r="J105" i="35"/>
  <c r="J54" i="35" s="1"/>
  <c r="J30" i="35" s="1"/>
  <c r="D105" i="35"/>
  <c r="D54" i="35" s="1"/>
  <c r="D30" i="35" s="1"/>
  <c r="M107" i="35"/>
  <c r="M56" i="35" s="1"/>
  <c r="M32" i="35" s="1"/>
  <c r="K102" i="35"/>
  <c r="K51" i="35" s="1"/>
  <c r="K27" i="35" s="1"/>
  <c r="H108" i="35"/>
  <c r="H57" i="35" s="1"/>
  <c r="H33" i="35" s="1"/>
  <c r="E104" i="35"/>
  <c r="E53" i="35" s="1"/>
  <c r="E29" i="35" s="1"/>
  <c r="G120" i="35"/>
  <c r="J120" i="35"/>
  <c r="I108" i="35"/>
  <c r="I57" i="35" s="1"/>
  <c r="I33" i="35" s="1"/>
  <c r="G118" i="35"/>
  <c r="D121" i="35"/>
  <c r="H107" i="35"/>
  <c r="H56" i="35" s="1"/>
  <c r="H32" i="35" s="1"/>
  <c r="I107" i="35"/>
  <c r="I56" i="35" s="1"/>
  <c r="I32" i="35" s="1"/>
  <c r="F107" i="35"/>
  <c r="F56" i="35" s="1"/>
  <c r="F32" i="35" s="1"/>
  <c r="E106" i="35"/>
  <c r="E55" i="35" s="1"/>
  <c r="E31" i="35" s="1"/>
  <c r="E119" i="35"/>
  <c r="H115" i="35"/>
  <c r="I102" i="35"/>
  <c r="I51" i="35" s="1"/>
  <c r="I27" i="35" s="1"/>
  <c r="H103" i="35"/>
  <c r="H52" i="35" s="1"/>
  <c r="H28" i="35" s="1"/>
  <c r="H102" i="35"/>
  <c r="H51" i="35" s="1"/>
  <c r="H27" i="35" s="1"/>
  <c r="J116" i="35"/>
  <c r="D116" i="35"/>
  <c r="F104" i="35"/>
  <c r="F53" i="35" s="1"/>
  <c r="F29" i="35" s="1"/>
  <c r="I119" i="35"/>
  <c r="I77" i="35" s="1"/>
  <c r="I63" i="35" s="1"/>
  <c r="I39" i="35" s="1"/>
  <c r="D118" i="35"/>
  <c r="G117" i="35"/>
  <c r="G75" i="35" s="1"/>
  <c r="G61" i="35" s="1"/>
  <c r="G37" i="35" s="1"/>
  <c r="D120" i="35"/>
  <c r="K115" i="35"/>
  <c r="I120" i="35"/>
  <c r="G102" i="35"/>
  <c r="G51" i="35" s="1"/>
  <c r="G27" i="35" s="1"/>
  <c r="M108" i="35"/>
  <c r="M57" i="35" s="1"/>
  <c r="M33" i="35" s="1"/>
  <c r="M121" i="35"/>
  <c r="L102" i="35"/>
  <c r="L51" i="35" s="1"/>
  <c r="L27" i="35" s="1"/>
  <c r="L120" i="35"/>
  <c r="L121" i="35"/>
  <c r="F117" i="35"/>
  <c r="L115" i="35"/>
  <c r="J118" i="35"/>
  <c r="L119" i="35"/>
  <c r="L104" i="35"/>
  <c r="L53" i="35" s="1"/>
  <c r="L29" i="35" s="1"/>
  <c r="J108" i="35"/>
  <c r="J57" i="35" s="1"/>
  <c r="J33" i="35" s="1"/>
  <c r="J106" i="35"/>
  <c r="J55" i="35" s="1"/>
  <c r="J31" i="35" s="1"/>
  <c r="H104" i="35"/>
  <c r="H53" i="35" s="1"/>
  <c r="H29" i="35" s="1"/>
  <c r="H101" i="35"/>
  <c r="H50" i="35" s="1"/>
  <c r="H26" i="35" s="1"/>
  <c r="E117" i="35"/>
  <c r="K106" i="35"/>
  <c r="K55" i="35" s="1"/>
  <c r="K31" i="35" s="1"/>
  <c r="L101" i="35"/>
  <c r="L50" i="35" s="1"/>
  <c r="L26" i="35" s="1"/>
  <c r="I122" i="35"/>
  <c r="J101" i="35"/>
  <c r="J50" i="35" s="1"/>
  <c r="J26" i="35" s="1"/>
  <c r="G119" i="35"/>
  <c r="K121" i="35"/>
  <c r="I101" i="35"/>
  <c r="I50" i="35" s="1"/>
  <c r="I26" i="35" s="1"/>
  <c r="K117" i="35"/>
  <c r="E105" i="35"/>
  <c r="E54" i="35" s="1"/>
  <c r="E30" i="35" s="1"/>
  <c r="K101" i="35"/>
  <c r="K50" i="35" s="1"/>
  <c r="K26" i="35" s="1"/>
  <c r="E121" i="35"/>
  <c r="L106" i="35"/>
  <c r="L55" i="35" s="1"/>
  <c r="L31" i="35" s="1"/>
  <c r="F121" i="35"/>
  <c r="F79" i="35" s="1"/>
  <c r="F65" i="35" s="1"/>
  <c r="F41" i="35" s="1"/>
  <c r="K108" i="35"/>
  <c r="K57" i="35" s="1"/>
  <c r="K33" i="35" s="1"/>
  <c r="F105" i="35"/>
  <c r="F54" i="35" s="1"/>
  <c r="F30" i="35" s="1"/>
  <c r="K105" i="35"/>
  <c r="K54" i="35" s="1"/>
  <c r="K30" i="35" s="1"/>
  <c r="E101" i="35"/>
  <c r="E50" i="35" s="1"/>
  <c r="E26" i="35" s="1"/>
  <c r="E118" i="35"/>
  <c r="I115" i="35"/>
  <c r="G101" i="35"/>
  <c r="G50" i="35" s="1"/>
  <c r="G26" i="35" s="1"/>
  <c r="I104" i="35"/>
  <c r="I53" i="35" s="1"/>
  <c r="I29" i="35" s="1"/>
  <c r="D104" i="35"/>
  <c r="D53" i="35" s="1"/>
  <c r="D29" i="35" s="1"/>
  <c r="L107" i="35"/>
  <c r="L56" i="35" s="1"/>
  <c r="L32" i="35" s="1"/>
  <c r="J121" i="35"/>
  <c r="H106" i="35"/>
  <c r="H55" i="35" s="1"/>
  <c r="H31" i="35" s="1"/>
  <c r="G105" i="35"/>
  <c r="G54" i="35" s="1"/>
  <c r="G30" i="35" s="1"/>
  <c r="I117" i="35"/>
  <c r="D115" i="35"/>
  <c r="J107" i="35"/>
  <c r="J56" i="35" s="1"/>
  <c r="J32" i="35" s="1"/>
  <c r="D101" i="35"/>
  <c r="D50" i="35" s="1"/>
  <c r="D26" i="35" s="1"/>
  <c r="K119" i="35"/>
  <c r="H105" i="35"/>
  <c r="H54" i="35" s="1"/>
  <c r="H30" i="35" s="1"/>
  <c r="H116" i="35"/>
  <c r="M105" i="35"/>
  <c r="M54" i="35" s="1"/>
  <c r="M30" i="35" s="1"/>
  <c r="H122" i="35"/>
  <c r="E108" i="35"/>
  <c r="E57" i="35" s="1"/>
  <c r="E33" i="35" s="1"/>
  <c r="G106" i="35"/>
  <c r="G55" i="35" s="1"/>
  <c r="G31" i="35" s="1"/>
  <c r="K120" i="35"/>
  <c r="K116" i="35"/>
  <c r="K74" i="35" s="1"/>
  <c r="K60" i="35" s="1"/>
  <c r="K36" i="35" s="1"/>
  <c r="G121" i="35"/>
  <c r="K122" i="35"/>
  <c r="J119" i="35"/>
  <c r="L118" i="35"/>
  <c r="L76" i="35" s="1"/>
  <c r="L62" i="35" s="1"/>
  <c r="L38" i="35" s="1"/>
  <c r="L122" i="35"/>
  <c r="K104" i="35"/>
  <c r="K53" i="35" s="1"/>
  <c r="K29" i="35" s="1"/>
  <c r="L108" i="35"/>
  <c r="L57" i="35" s="1"/>
  <c r="L33" i="35" s="1"/>
  <c r="I121" i="35"/>
  <c r="H121" i="35"/>
  <c r="F118" i="35"/>
  <c r="D107" i="35"/>
  <c r="D56" i="35" s="1"/>
  <c r="D32" i="35" s="1"/>
  <c r="I118" i="35"/>
  <c r="M120" i="35"/>
  <c r="L117" i="35"/>
  <c r="D108" i="35"/>
  <c r="D57" i="35" s="1"/>
  <c r="D33" i="35" s="1"/>
  <c r="M119" i="35"/>
  <c r="F119" i="35"/>
  <c r="J117" i="35"/>
  <c r="D119" i="35"/>
  <c r="E116" i="35"/>
  <c r="E102" i="35"/>
  <c r="E51" i="35" s="1"/>
  <c r="E27" i="35" s="1"/>
  <c r="K118" i="35"/>
  <c r="K103" i="35"/>
  <c r="K52" i="35" s="1"/>
  <c r="K28" i="35" s="1"/>
  <c r="E122" i="35"/>
  <c r="F103" i="35"/>
  <c r="F52" i="35" s="1"/>
  <c r="F28" i="35" s="1"/>
  <c r="D117" i="35"/>
  <c r="D106" i="35"/>
  <c r="D55" i="35" s="1"/>
  <c r="D31" i="35" s="1"/>
  <c r="F122" i="35"/>
  <c r="F108" i="35"/>
  <c r="F57" i="35" s="1"/>
  <c r="F33" i="35" s="1"/>
  <c r="I116" i="35"/>
  <c r="I74" i="35" s="1"/>
  <c r="I60" i="35" s="1"/>
  <c r="I36" i="35" s="1"/>
  <c r="J103" i="35"/>
  <c r="J52" i="35" s="1"/>
  <c r="J28" i="35" s="1"/>
  <c r="H119" i="35"/>
  <c r="G108" i="35"/>
  <c r="G57" i="35" s="1"/>
  <c r="G33" i="35" s="1"/>
  <c r="K107" i="35"/>
  <c r="K56" i="35" s="1"/>
  <c r="K32" i="35" s="1"/>
  <c r="G104" i="35"/>
  <c r="G53" i="35" s="1"/>
  <c r="G29" i="35" s="1"/>
  <c r="E107" i="35"/>
  <c r="E56" i="35" s="1"/>
  <c r="E32" i="35" s="1"/>
  <c r="G115" i="35"/>
  <c r="G73" i="35" s="1"/>
  <c r="G59" i="35" s="1"/>
  <c r="G35" i="35" s="1"/>
  <c r="G122" i="35"/>
  <c r="J115" i="35"/>
  <c r="M80" i="35" l="1"/>
  <c r="M66" i="35" s="1"/>
  <c r="M42" i="35" s="1"/>
  <c r="L75" i="35"/>
  <c r="L61" i="35" s="1"/>
  <c r="L37" i="35" s="1"/>
  <c r="H80" i="35"/>
  <c r="H66" i="35" s="1"/>
  <c r="H42" i="35" s="1"/>
  <c r="D75" i="35"/>
  <c r="D61" i="35" s="1"/>
  <c r="D37" i="35" s="1"/>
  <c r="M78" i="35"/>
  <c r="M64" i="35" s="1"/>
  <c r="M40" i="35" s="1"/>
  <c r="I75" i="35"/>
  <c r="I61" i="35" s="1"/>
  <c r="I37" i="35" s="1"/>
  <c r="F73" i="35"/>
  <c r="F59" i="35" s="1"/>
  <c r="F35" i="35" s="1"/>
  <c r="G79" i="35"/>
  <c r="G65" i="35" s="1"/>
  <c r="G41" i="35" s="1"/>
  <c r="E75" i="35"/>
  <c r="E61" i="35" s="1"/>
  <c r="E37" i="35" s="1"/>
  <c r="K73" i="35"/>
  <c r="K59" i="35" s="1"/>
  <c r="K35" i="35" s="1"/>
  <c r="F76" i="35"/>
  <c r="F62" i="35" s="1"/>
  <c r="F38" i="35" s="1"/>
  <c r="M77" i="35"/>
  <c r="M63" i="35" s="1"/>
  <c r="M39" i="35" s="1"/>
  <c r="I79" i="35"/>
  <c r="I65" i="35" s="1"/>
  <c r="I41" i="35" s="1"/>
  <c r="D77" i="35"/>
  <c r="D63" i="35" s="1"/>
  <c r="D39" i="35" s="1"/>
  <c r="I73" i="35"/>
  <c r="I59" i="35" s="1"/>
  <c r="I35" i="35" s="1"/>
  <c r="K76" i="35"/>
  <c r="K62" i="35" s="1"/>
  <c r="K38" i="35" s="1"/>
  <c r="E76" i="35"/>
  <c r="E62" i="35" s="1"/>
  <c r="E38" i="35" s="1"/>
  <c r="H74" i="35"/>
  <c r="H60" i="35" s="1"/>
  <c r="H36" i="35" s="1"/>
  <c r="D74" i="35"/>
  <c r="D60" i="35" s="1"/>
  <c r="D36" i="35" s="1"/>
  <c r="F77" i="35"/>
  <c r="F63" i="35" s="1"/>
  <c r="F39" i="35" s="1"/>
  <c r="H79" i="35"/>
  <c r="H65" i="35" s="1"/>
  <c r="H41" i="35" s="1"/>
  <c r="L73" i="35"/>
  <c r="L59" i="35" s="1"/>
  <c r="L35" i="35" s="1"/>
  <c r="I78" i="35"/>
  <c r="I64" i="35" s="1"/>
  <c r="I40" i="35" s="1"/>
  <c r="J74" i="35"/>
  <c r="J60" i="35" s="1"/>
  <c r="J36" i="35" s="1"/>
  <c r="J76" i="35"/>
  <c r="J62" i="35" s="1"/>
  <c r="J38" i="35" s="1"/>
  <c r="E77" i="35"/>
  <c r="E63" i="35" s="1"/>
  <c r="E39" i="35" s="1"/>
  <c r="J78" i="35"/>
  <c r="J64" i="35" s="1"/>
  <c r="J40" i="35" s="1"/>
  <c r="G76" i="35"/>
  <c r="G62" i="35" s="1"/>
  <c r="G38" i="35" s="1"/>
  <c r="G77" i="35"/>
  <c r="G63" i="35" s="1"/>
  <c r="G39" i="35" s="1"/>
  <c r="F78" i="35"/>
  <c r="F64" i="35" s="1"/>
  <c r="F40" i="35" s="1"/>
  <c r="G74" i="35"/>
  <c r="G60" i="35" s="1"/>
  <c r="G36" i="35" s="1"/>
  <c r="L79" i="35"/>
  <c r="L65" i="35" s="1"/>
  <c r="L41" i="35" s="1"/>
  <c r="K77" i="35"/>
  <c r="K63" i="35" s="1"/>
  <c r="K39" i="35" s="1"/>
  <c r="H73" i="35"/>
  <c r="H59" i="35" s="1"/>
  <c r="H35" i="35" s="1"/>
  <c r="E73" i="35"/>
  <c r="E59" i="35" s="1"/>
  <c r="E35" i="35" s="1"/>
  <c r="K78" i="35"/>
  <c r="K64" i="35" s="1"/>
  <c r="K40" i="35" s="1"/>
  <c r="D78" i="35"/>
  <c r="D64" i="35" s="1"/>
  <c r="D40" i="35" s="1"/>
  <c r="D79" i="35"/>
  <c r="D65" i="35" s="1"/>
  <c r="D41" i="35" s="1"/>
  <c r="F74" i="35"/>
  <c r="F60" i="35" s="1"/>
  <c r="F36" i="35" s="1"/>
  <c r="E78" i="35"/>
  <c r="E64" i="35" s="1"/>
  <c r="E40" i="35" s="1"/>
  <c r="H76" i="35"/>
  <c r="H62" i="35" s="1"/>
  <c r="H38" i="35" s="1"/>
  <c r="J79" i="35"/>
  <c r="J65" i="35" s="1"/>
  <c r="J41" i="35" s="1"/>
  <c r="H75" i="35"/>
  <c r="H61" i="35" s="1"/>
  <c r="H37" i="35" s="1"/>
  <c r="D76" i="35"/>
  <c r="D62" i="35" s="1"/>
  <c r="D38" i="35" s="1"/>
  <c r="L80" i="35"/>
  <c r="L66" i="35" s="1"/>
  <c r="L42" i="35" s="1"/>
  <c r="D73" i="35"/>
  <c r="D59" i="35" s="1"/>
  <c r="D35" i="35" s="1"/>
  <c r="J75" i="35"/>
  <c r="J61" i="35" s="1"/>
  <c r="J37" i="35" s="1"/>
  <c r="K80" i="35"/>
  <c r="K66" i="35" s="1"/>
  <c r="K42" i="35" s="1"/>
  <c r="M79" i="35"/>
  <c r="M65" i="35" s="1"/>
  <c r="M41" i="35" s="1"/>
  <c r="K75" i="35"/>
  <c r="K61" i="35" s="1"/>
  <c r="K37" i="35" s="1"/>
  <c r="G80" i="35"/>
  <c r="G66" i="35" s="1"/>
  <c r="G42" i="35" s="1"/>
  <c r="F75" i="35"/>
  <c r="F61" i="35" s="1"/>
  <c r="F37" i="35" s="1"/>
  <c r="G78" i="35"/>
  <c r="G64" i="35" s="1"/>
  <c r="G40" i="35" s="1"/>
  <c r="H77" i="35"/>
  <c r="H63" i="35" s="1"/>
  <c r="H39" i="35" s="1"/>
  <c r="I76" i="35"/>
  <c r="I62" i="35" s="1"/>
  <c r="I38" i="35" s="1"/>
  <c r="K79" i="35"/>
  <c r="K65" i="35" s="1"/>
  <c r="K41" i="35" s="1"/>
  <c r="E79" i="35"/>
  <c r="E65" i="35" s="1"/>
  <c r="E41" i="35" s="1"/>
  <c r="E80" i="35"/>
  <c r="E66" i="35" s="1"/>
  <c r="E42" i="35" s="1"/>
  <c r="F80" i="35"/>
  <c r="F66" i="35" s="1"/>
  <c r="F42" i="35" s="1"/>
  <c r="L78" i="35"/>
  <c r="L64" i="35" s="1"/>
  <c r="L40" i="35" s="1"/>
  <c r="J77" i="35"/>
  <c r="J63" i="35" s="1"/>
  <c r="J39" i="35" s="1"/>
  <c r="J73" i="35"/>
  <c r="J59" i="35" s="1"/>
  <c r="J35" i="35" s="1"/>
  <c r="L77" i="35"/>
  <c r="L63" i="35" s="1"/>
  <c r="L39" i="35" s="1"/>
  <c r="J80" i="35"/>
  <c r="J66" i="35" s="1"/>
  <c r="J42" i="35" s="1"/>
  <c r="D80" i="35"/>
  <c r="D66" i="35" s="1"/>
  <c r="D42" i="35" s="1"/>
  <c r="E74" i="35"/>
  <c r="E60" i="35" s="1"/>
  <c r="E36" i="35" s="1"/>
  <c r="H78" i="35"/>
  <c r="H64" i="35" s="1"/>
  <c r="H40" i="35" s="1"/>
  <c r="I80" i="35"/>
  <c r="I66" i="35" s="1"/>
  <c r="I42" i="35" s="1"/>
  <c r="L74" i="35"/>
  <c r="L60" i="35" s="1"/>
  <c r="L36" i="35"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E249" i="57"/>
  <c r="F248" i="57"/>
  <c r="F249" i="57"/>
  <c r="G248" i="57"/>
  <c r="G249" i="57"/>
  <c r="H248" i="57"/>
  <c r="H217" i="51"/>
  <c r="E216" i="51"/>
  <c r="D217" i="51"/>
  <c r="D216" i="51"/>
  <c r="E217" i="51"/>
  <c r="F216" i="51"/>
  <c r="F217" i="51"/>
  <c r="G216" i="51"/>
  <c r="G217" i="51"/>
  <c r="H216" i="51"/>
  <c r="M51" i="4"/>
  <c r="D246" i="57" l="1"/>
  <c r="H214" i="5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AS115" i="57"/>
  <c r="BD102" i="57"/>
  <c r="BK105" i="57"/>
  <c r="BD117" i="57"/>
  <c r="BC115" i="57"/>
  <c r="BM105" i="57"/>
  <c r="AG73" i="51"/>
  <c r="AF76" i="51"/>
  <c r="BA87" i="51"/>
  <c r="AR87" i="51"/>
  <c r="AG89" i="51"/>
  <c r="BB107" i="57"/>
  <c r="AF116" i="57"/>
  <c r="AH122" i="57"/>
  <c r="BB108" i="57"/>
  <c r="AS89" i="51"/>
  <c r="BM121" i="57"/>
  <c r="AS73" i="51"/>
  <c r="AH119" i="57"/>
  <c r="AJ101" i="57"/>
  <c r="BD83" i="51"/>
  <c r="BK85" i="51"/>
  <c r="AJ103" i="57"/>
  <c r="AT101" i="57"/>
  <c r="BK86" i="51"/>
  <c r="AS121" i="57"/>
  <c r="AI104" i="57"/>
  <c r="AT116" i="57"/>
  <c r="AZ115" i="57"/>
  <c r="AF90" i="51"/>
  <c r="AG108" i="57"/>
  <c r="AQ88" i="51"/>
  <c r="AJ107" i="57"/>
  <c r="BC70" i="51"/>
  <c r="BL76" i="51"/>
  <c r="BN71" i="51"/>
  <c r="BM107" i="57"/>
  <c r="AJ71" i="51"/>
  <c r="AH76" i="51"/>
  <c r="BL90" i="51"/>
  <c r="AH115" i="57"/>
  <c r="AJ120" i="57"/>
  <c r="AZ108" i="57"/>
  <c r="BD104" i="57"/>
  <c r="BN74" i="51"/>
  <c r="BA107" i="57"/>
  <c r="AR118" i="57"/>
  <c r="AH120" i="57"/>
  <c r="AT84" i="51"/>
  <c r="AR120" i="57"/>
  <c r="AI116" i="57"/>
  <c r="BL72" i="51"/>
  <c r="AP105" i="57"/>
  <c r="AS106" i="57"/>
  <c r="AH74" i="51"/>
  <c r="BA117" i="57"/>
  <c r="BK69" i="51"/>
  <c r="BJ121" i="57"/>
  <c r="BL85" i="51"/>
  <c r="AJ87" i="51"/>
  <c r="AH83" i="51"/>
  <c r="AP85" i="51"/>
  <c r="AH73" i="51"/>
  <c r="BK104" i="57"/>
  <c r="AG120" i="57"/>
  <c r="BD70" i="51"/>
  <c r="BN84" i="51"/>
  <c r="AH89" i="51"/>
  <c r="BC88" i="51"/>
  <c r="BM71" i="51"/>
  <c r="AP120" i="57"/>
  <c r="AF87" i="51"/>
  <c r="AI108" i="57"/>
  <c r="BD121" i="57"/>
  <c r="BB84" i="51"/>
  <c r="BJ73" i="51"/>
  <c r="BM75" i="51"/>
  <c r="AG116" i="57"/>
  <c r="BM83" i="51"/>
  <c r="BB90" i="51"/>
  <c r="BA83" i="51"/>
  <c r="BC72" i="51"/>
  <c r="BM85" i="51"/>
  <c r="BL117" i="57"/>
  <c r="AH104" i="57"/>
  <c r="AP90" i="51"/>
  <c r="BD103" i="57"/>
  <c r="BA70" i="51"/>
  <c r="AZ71" i="51"/>
  <c r="AZ121" i="57"/>
  <c r="BB122" i="57"/>
  <c r="BK120" i="57"/>
  <c r="AG115" i="57"/>
  <c r="BA104" i="57"/>
  <c r="BK118" i="57"/>
  <c r="AI105" i="57"/>
  <c r="BD106" i="57"/>
  <c r="BJ101" i="57"/>
  <c r="AG119" i="57"/>
  <c r="BL121" i="57"/>
  <c r="BJ71" i="51"/>
  <c r="BM118" i="57"/>
  <c r="AS120" i="57"/>
  <c r="BK107" i="57"/>
  <c r="BM103" i="57"/>
  <c r="BM119" i="57"/>
  <c r="BD115" i="57"/>
  <c r="BA71" i="51"/>
  <c r="AZ74" i="51"/>
  <c r="BB104" i="57"/>
  <c r="BC120" i="57"/>
  <c r="AI106" i="57"/>
  <c r="AS83" i="51"/>
  <c r="BD90" i="51"/>
  <c r="AQ108" i="57"/>
  <c r="BK83" i="51"/>
  <c r="BD107" i="57"/>
  <c r="AJ88" i="51"/>
  <c r="BL105" i="57"/>
  <c r="AT118" i="57"/>
  <c r="BN72" i="51"/>
  <c r="AZ70" i="51"/>
  <c r="AQ89" i="51"/>
  <c r="BM115" i="57"/>
  <c r="AF122" i="57"/>
  <c r="AH85" i="51"/>
  <c r="AH72" i="51"/>
  <c r="BC75" i="51"/>
  <c r="BK74" i="51"/>
  <c r="AS87" i="51"/>
  <c r="AR89" i="51"/>
  <c r="BA85" i="51"/>
  <c r="AQ71" i="51"/>
  <c r="AI76" i="51"/>
  <c r="AJ75" i="51"/>
  <c r="BB75" i="51"/>
  <c r="AI122" i="57"/>
  <c r="AP87" i="51"/>
  <c r="AT85" i="51"/>
  <c r="AR69" i="51"/>
  <c r="AP106" i="57"/>
  <c r="BN121" i="57"/>
  <c r="BL119" i="57"/>
  <c r="AT104" i="57"/>
  <c r="AT75" i="51"/>
  <c r="BL71" i="51"/>
  <c r="BL88" i="51"/>
  <c r="AH105" i="57"/>
  <c r="BM90" i="51"/>
  <c r="BC107" i="57"/>
  <c r="BB83" i="51"/>
  <c r="AH90" i="51"/>
  <c r="BA103" i="57"/>
  <c r="AP117" i="57"/>
  <c r="AS107" i="57"/>
  <c r="AQ117" i="57"/>
  <c r="AR70" i="51"/>
  <c r="BC116" i="57"/>
  <c r="BB86" i="51"/>
  <c r="AI85" i="51"/>
  <c r="BN117" i="57"/>
  <c r="AH69" i="51"/>
  <c r="BK73" i="51"/>
  <c r="BJ87" i="51"/>
  <c r="BK75" i="51"/>
  <c r="AG86" i="51"/>
  <c r="AS104" i="57"/>
  <c r="AS105" i="57"/>
  <c r="BL116" i="57"/>
  <c r="AZ101" i="57"/>
  <c r="AG70" i="51"/>
  <c r="BM106" i="57"/>
  <c r="BD105" i="57"/>
  <c r="BL122" i="57"/>
  <c r="BB118" i="57"/>
  <c r="AR121" i="57"/>
  <c r="BB119" i="57"/>
  <c r="BK116" i="57"/>
  <c r="BJ117" i="57"/>
  <c r="AZ120" i="57"/>
  <c r="AT119" i="57"/>
  <c r="BN105" i="57"/>
  <c r="BB69" i="51"/>
  <c r="BM76" i="51"/>
  <c r="AJ72" i="51"/>
  <c r="BK103" i="57"/>
  <c r="AP116" i="57"/>
  <c r="AF108" i="57"/>
  <c r="BK88" i="51"/>
  <c r="BJ86" i="51"/>
  <c r="BL69" i="51"/>
  <c r="BL74" i="51"/>
  <c r="AZ72" i="51"/>
  <c r="BD73" i="51"/>
  <c r="AJ115" i="57"/>
  <c r="BJ119" i="57"/>
  <c r="AH102" i="57"/>
  <c r="AG76" i="51"/>
  <c r="AR74" i="51"/>
  <c r="BB103" i="57"/>
  <c r="BM87" i="51"/>
  <c r="AZ118" i="57"/>
  <c r="BN88" i="51"/>
  <c r="AZ84" i="51"/>
  <c r="BN102" i="57"/>
  <c r="AT76" i="51"/>
  <c r="AJ70" i="51"/>
  <c r="AR84" i="51"/>
  <c r="AT70" i="51"/>
  <c r="AJ83" i="51"/>
  <c r="BL102" i="57"/>
  <c r="AS118" i="57"/>
  <c r="AG84" i="51"/>
  <c r="BD72" i="51"/>
  <c r="AI88" i="51"/>
  <c r="BK121" i="57"/>
  <c r="AF72" i="51"/>
  <c r="AF70" i="51"/>
  <c r="AG72" i="51"/>
  <c r="AZ75" i="51"/>
  <c r="AG87" i="51"/>
  <c r="BL86" i="51"/>
  <c r="BN69" i="51"/>
  <c r="BC118" i="57"/>
  <c r="AZ89" i="51"/>
  <c r="BN83" i="51"/>
  <c r="AP103" i="57"/>
  <c r="BN118" i="57"/>
  <c r="BN116" i="57"/>
  <c r="AZ90" i="51"/>
  <c r="AZ103" i="57"/>
  <c r="BD116" i="57"/>
  <c r="AI84" i="51"/>
  <c r="BL83" i="51"/>
  <c r="AP121" i="57"/>
  <c r="AH71" i="51"/>
  <c r="AT121" i="57"/>
  <c r="BJ103" i="57"/>
  <c r="AR101" i="57"/>
  <c r="AQ122" i="57"/>
  <c r="BN115" i="57"/>
  <c r="BD108" i="57"/>
  <c r="AQ120" i="57"/>
  <c r="AT102" i="57"/>
  <c r="AP84" i="51"/>
  <c r="BL108" i="57"/>
  <c r="AT115" i="57"/>
  <c r="AT107" i="57"/>
  <c r="AF106" i="57"/>
  <c r="BA108" i="57"/>
  <c r="AS102" i="57"/>
  <c r="AP119" i="57"/>
  <c r="AS116" i="57"/>
  <c r="AP115" i="57"/>
  <c r="AG107" i="57"/>
  <c r="AP101" i="57"/>
  <c r="BA118" i="57"/>
  <c r="AQ74" i="51"/>
  <c r="AG71" i="51"/>
  <c r="AH108" i="57"/>
  <c r="AF75" i="51"/>
  <c r="AI118" i="57"/>
  <c r="AJ106" i="57"/>
  <c r="AH86" i="51"/>
  <c r="AJ119" i="57"/>
  <c r="AR108" i="57"/>
  <c r="AZ107" i="57"/>
  <c r="BK72" i="51"/>
  <c r="BB116" i="57"/>
  <c r="BM102" i="57"/>
  <c r="AR73" i="51"/>
  <c r="BN89" i="51"/>
  <c r="BN122" i="57"/>
  <c r="BD86" i="51"/>
  <c r="BB72" i="51"/>
  <c r="BJ108" i="57"/>
  <c r="AQ86" i="51"/>
  <c r="BK90" i="51"/>
  <c r="AR119" i="57"/>
  <c r="BJ89" i="51"/>
  <c r="BA76" i="51"/>
  <c r="AP83" i="51"/>
  <c r="BD71" i="51"/>
  <c r="BC104" i="57"/>
  <c r="BL101" i="57"/>
  <c r="AZ105" i="57"/>
  <c r="BC117" i="57"/>
  <c r="BD76" i="51"/>
  <c r="AF120" i="57"/>
  <c r="AQ75" i="51"/>
  <c r="AJ116" i="57"/>
  <c r="BM70" i="51"/>
  <c r="BJ88" i="51"/>
  <c r="AQ70" i="51"/>
  <c r="AZ104" i="57"/>
  <c r="AT74" i="51"/>
  <c r="BC76" i="51"/>
  <c r="BK108" i="57"/>
  <c r="BN90" i="51"/>
  <c r="AZ85" i="51"/>
  <c r="AP108" i="57"/>
  <c r="BJ83" i="51"/>
  <c r="AI115" i="57"/>
  <c r="AZ83" i="51"/>
  <c r="AS84" i="51"/>
  <c r="BA90" i="51"/>
  <c r="BM104" i="57"/>
  <c r="BJ74" i="51"/>
  <c r="AP118" i="57"/>
  <c r="AQ87" i="51"/>
  <c r="BN73" i="51"/>
  <c r="BA73" i="51"/>
  <c r="AH75" i="51"/>
  <c r="AR103" i="57"/>
  <c r="BK117" i="57"/>
  <c r="AJ84" i="51"/>
  <c r="BN106" i="57"/>
  <c r="AI75" i="51"/>
  <c r="AJ85" i="51"/>
  <c r="BJ70" i="51"/>
  <c r="AT88" i="51"/>
  <c r="BL118" i="57"/>
  <c r="BJ75" i="51"/>
  <c r="AS101" i="57"/>
  <c r="AQ102" i="57"/>
  <c r="BB73" i="51"/>
  <c r="AG105" i="57"/>
  <c r="AQ107" i="57"/>
  <c r="BJ118" i="57"/>
  <c r="BA106" i="57"/>
  <c r="AG104" i="57"/>
  <c r="AH107" i="57"/>
  <c r="AS108" i="57"/>
  <c r="BJ72" i="51"/>
  <c r="BA119" i="57"/>
  <c r="AI89" i="51"/>
  <c r="BL107" i="57"/>
  <c r="AF73" i="51"/>
  <c r="BJ116" i="57"/>
  <c r="BA105" i="57"/>
  <c r="BD89" i="51"/>
  <c r="BK115" i="57"/>
  <c r="AH121" i="57"/>
  <c r="BL104" i="57"/>
  <c r="AF84" i="51"/>
  <c r="AH103" i="57"/>
  <c r="AI71" i="51"/>
  <c r="AJ108" i="57"/>
  <c r="AG75" i="51"/>
  <c r="BA84" i="51"/>
  <c r="BL75" i="51"/>
  <c r="AQ106" i="57"/>
  <c r="BA86" i="51"/>
  <c r="BJ84" i="51"/>
  <c r="BD69" i="51"/>
  <c r="BB121" i="57"/>
  <c r="BB120" i="57"/>
  <c r="AP76" i="51"/>
  <c r="AJ104" i="57"/>
  <c r="AF107" i="57"/>
  <c r="BL120" i="57"/>
  <c r="BC106" i="57"/>
  <c r="BJ120" i="57"/>
  <c r="AP88" i="51"/>
  <c r="AT87" i="51"/>
  <c r="AT103" i="57"/>
  <c r="AS75" i="51"/>
  <c r="AS103" i="57"/>
  <c r="BM120" i="57"/>
  <c r="BJ106" i="57"/>
  <c r="BC84" i="51"/>
  <c r="AT73" i="51"/>
  <c r="AH101" i="57"/>
  <c r="BM88" i="51"/>
  <c r="AT83" i="51"/>
  <c r="AJ73" i="51"/>
  <c r="AZ88" i="51"/>
  <c r="BC73" i="51"/>
  <c r="AQ85" i="51"/>
  <c r="AI119" i="57"/>
  <c r="AF85" i="51"/>
  <c r="BB71" i="51"/>
  <c r="AI73" i="51"/>
  <c r="BB102" i="57"/>
  <c r="AG122" i="57"/>
  <c r="AI74" i="51"/>
  <c r="AS88" i="51"/>
  <c r="AI120" i="57"/>
  <c r="BJ115" i="57"/>
  <c r="AQ90" i="51"/>
  <c r="AP73" i="51"/>
  <c r="BC105" i="57"/>
  <c r="AI90" i="51"/>
  <c r="BB85" i="51"/>
  <c r="BC101" i="57"/>
  <c r="BC90" i="51"/>
  <c r="AP107" i="57"/>
  <c r="AH87" i="51"/>
  <c r="AP89" i="51"/>
  <c r="BC102" i="57"/>
  <c r="BD88" i="51"/>
  <c r="BA121" i="57"/>
  <c r="AS69" i="51"/>
  <c r="AJ102" i="57"/>
  <c r="AH117" i="57"/>
  <c r="BA101" i="57"/>
  <c r="AI107" i="57"/>
  <c r="BA120" i="57"/>
  <c r="AJ117" i="57"/>
  <c r="BA122" i="57"/>
  <c r="BJ102" i="57"/>
  <c r="BJ105" i="57"/>
  <c r="BK102" i="57"/>
  <c r="BD119" i="57"/>
  <c r="AF74" i="51"/>
  <c r="BK119" i="57"/>
  <c r="AF119" i="57"/>
  <c r="AR122" i="57"/>
  <c r="AR102" i="57"/>
  <c r="AQ121" i="57"/>
  <c r="BL115" i="57"/>
  <c r="BD101" i="57"/>
  <c r="BK106" i="57"/>
  <c r="AT89" i="51"/>
  <c r="AI86" i="51"/>
  <c r="BD87" i="51"/>
  <c r="AG117" i="57"/>
  <c r="AS72" i="51"/>
  <c r="AR83" i="51"/>
  <c r="AG118" i="57"/>
  <c r="AJ118" i="57"/>
  <c r="BL106" i="57"/>
  <c r="AH116" i="57"/>
  <c r="BN103" i="57"/>
  <c r="BC119" i="57"/>
  <c r="AG74" i="51"/>
  <c r="BN120" i="57"/>
  <c r="AG69" i="51"/>
  <c r="AR104" i="57"/>
  <c r="BK71" i="51"/>
  <c r="BD84" i="51"/>
  <c r="AS70" i="51"/>
  <c r="AF115" i="57"/>
  <c r="AZ116" i="57"/>
  <c r="AP86" i="51"/>
  <c r="BN85" i="51"/>
  <c r="AR75" i="51"/>
  <c r="AG83" i="51"/>
  <c r="AG106" i="57"/>
  <c r="BN76" i="51"/>
  <c r="AT122" i="57"/>
  <c r="BD122" i="57"/>
  <c r="AJ74" i="51"/>
  <c r="AQ103" i="57"/>
  <c r="BM69" i="51"/>
  <c r="AJ76" i="51"/>
  <c r="AT120" i="57"/>
  <c r="BA69" i="51"/>
  <c r="AZ86" i="51"/>
  <c r="BJ104" i="57"/>
  <c r="BL84" i="51"/>
  <c r="BJ76" i="51"/>
  <c r="AF89" i="51"/>
  <c r="AR76" i="51"/>
  <c r="AH88" i="51"/>
  <c r="AP69" i="51"/>
  <c r="AZ69" i="51"/>
  <c r="BD75" i="51"/>
  <c r="AP71" i="51"/>
  <c r="AZ117" i="57"/>
  <c r="AI69" i="51"/>
  <c r="AH70" i="51"/>
  <c r="AQ104" i="57"/>
  <c r="AS122" i="57"/>
  <c r="BD118" i="57"/>
  <c r="BN108" i="57"/>
  <c r="AG88" i="51"/>
  <c r="AF86" i="51"/>
  <c r="AJ69" i="51"/>
  <c r="AR106" i="57"/>
  <c r="BN107" i="57"/>
  <c r="AZ87" i="51"/>
  <c r="AZ119" i="57"/>
  <c r="AI101" i="57"/>
  <c r="BD120" i="57"/>
  <c r="BA115" i="57"/>
  <c r="AJ90" i="51"/>
  <c r="BB117" i="57"/>
  <c r="AT105" i="57"/>
  <c r="BC86" i="51"/>
  <c r="AR107" i="57"/>
  <c r="AR117" i="57"/>
  <c r="BN101" i="57"/>
  <c r="AF103" i="57"/>
  <c r="AP104" i="57"/>
  <c r="AH84" i="51"/>
  <c r="AQ115" i="57"/>
  <c r="AG121" i="57"/>
  <c r="BB74" i="51"/>
  <c r="AH118" i="57"/>
  <c r="AF102" i="57"/>
  <c r="AR105" i="57"/>
  <c r="BA102" i="57"/>
  <c r="BM89" i="51"/>
  <c r="BL103" i="57"/>
  <c r="AZ76" i="51"/>
  <c r="BL70" i="51"/>
  <c r="BC122" i="57"/>
  <c r="BJ69" i="51"/>
  <c r="AR115" i="57"/>
  <c r="BB115" i="57"/>
  <c r="AR90" i="51"/>
  <c r="BL87" i="51"/>
  <c r="BC85" i="51"/>
  <c r="AS119" i="57"/>
  <c r="BK122" i="57"/>
  <c r="BN75" i="51"/>
  <c r="BB76" i="51"/>
  <c r="BK76" i="51"/>
  <c r="AQ101" i="57"/>
  <c r="AJ121" i="57"/>
  <c r="AQ69" i="51"/>
  <c r="BA72" i="51"/>
  <c r="BK84" i="51"/>
  <c r="AS74" i="51"/>
  <c r="BB88" i="51"/>
  <c r="AR85" i="51"/>
  <c r="AT71" i="51"/>
  <c r="BM122" i="57"/>
  <c r="BC121" i="57"/>
  <c r="AT117" i="57"/>
  <c r="AS71" i="51"/>
  <c r="BN70" i="51"/>
  <c r="BC69" i="51"/>
  <c r="BC103" i="57"/>
  <c r="BJ107" i="57"/>
  <c r="AQ116" i="57"/>
  <c r="BD85" i="51"/>
  <c r="AF118" i="57"/>
  <c r="BB70" i="51"/>
  <c r="AI121" i="57"/>
  <c r="AJ122" i="57"/>
  <c r="AF117" i="57"/>
  <c r="AP74" i="51"/>
  <c r="AR116" i="57"/>
  <c r="AQ72" i="51"/>
  <c r="AH106" i="57"/>
  <c r="AJ89" i="51"/>
  <c r="BJ122" i="57"/>
  <c r="AJ86" i="51"/>
  <c r="AS86" i="51"/>
  <c r="AT86" i="51"/>
  <c r="AR72" i="51"/>
  <c r="BB89" i="51"/>
  <c r="AS90" i="51"/>
  <c r="AZ73" i="51"/>
  <c r="BC89" i="51"/>
  <c r="AS76" i="51"/>
  <c r="BM117" i="57"/>
  <c r="BB101" i="57"/>
  <c r="AZ122" i="57"/>
  <c r="AZ102" i="57"/>
  <c r="AG102" i="57"/>
  <c r="BM73" i="51"/>
  <c r="AG101" i="57"/>
  <c r="AQ73" i="51"/>
  <c r="BC83" i="51"/>
  <c r="BN119" i="57"/>
  <c r="BD74" i="51"/>
  <c r="AG103" i="57"/>
  <c r="AF83" i="51"/>
  <c r="AP102" i="57"/>
  <c r="AQ84" i="51"/>
  <c r="BK101" i="57"/>
  <c r="AI83" i="51"/>
  <c r="AF121" i="57"/>
  <c r="BM116" i="57"/>
  <c r="AP72" i="51"/>
  <c r="AZ106" i="57"/>
  <c r="AI102" i="57"/>
  <c r="AI87" i="51"/>
  <c r="BL73" i="51"/>
  <c r="AF88" i="51"/>
  <c r="AF69" i="51"/>
  <c r="AQ119" i="57"/>
  <c r="AP75" i="51"/>
  <c r="BA116" i="57"/>
  <c r="BB87" i="51"/>
  <c r="AR71" i="51"/>
  <c r="AT108" i="57"/>
  <c r="BM101" i="57"/>
  <c r="BA89" i="51"/>
  <c r="BC108" i="57"/>
  <c r="AR86" i="51"/>
  <c r="AF101" i="57"/>
  <c r="BA75" i="51"/>
  <c r="BM74" i="51"/>
  <c r="AI70" i="51"/>
  <c r="AJ105" i="57"/>
  <c r="AQ83" i="51"/>
  <c r="BM84" i="51"/>
  <c r="BN86" i="51"/>
  <c r="AF104" i="57"/>
  <c r="AG85" i="51"/>
  <c r="AQ105" i="57"/>
  <c r="AF105" i="57"/>
  <c r="BC71" i="51"/>
  <c r="BJ85" i="51"/>
  <c r="AT72" i="51"/>
  <c r="AR88" i="51"/>
  <c r="BM108" i="57"/>
  <c r="BN104" i="57"/>
  <c r="AQ118" i="57"/>
  <c r="AG90" i="51"/>
  <c r="BN87" i="51"/>
  <c r="BJ90" i="51"/>
  <c r="BM86" i="51"/>
  <c r="BL89" i="51"/>
  <c r="AT106" i="57"/>
  <c r="AT90" i="51"/>
  <c r="AI117" i="57"/>
  <c r="AP122" i="57"/>
  <c r="AP70" i="51"/>
  <c r="AQ76" i="51"/>
  <c r="BC87" i="51"/>
  <c r="BM72" i="51"/>
  <c r="BC74" i="51"/>
  <c r="BK89" i="51"/>
  <c r="BA88" i="51"/>
  <c r="AT69" i="51"/>
  <c r="AS85" i="51"/>
  <c r="BK70" i="51"/>
  <c r="BA74" i="51"/>
  <c r="AF71" i="51"/>
  <c r="BK87" i="51"/>
  <c r="AI72" i="51"/>
  <c r="AI103" i="57"/>
  <c r="BB106" i="57"/>
  <c r="AS117" i="57"/>
  <c r="BB105" i="57"/>
  <c r="G75" i="51" l="1"/>
  <c r="G47" i="51" s="1"/>
  <c r="G32" i="51" s="1"/>
  <c r="F69" i="51"/>
  <c r="F41" i="51" s="1"/>
  <c r="F26" i="51" s="1"/>
  <c r="G103" i="57"/>
  <c r="G52" i="57" s="1"/>
  <c r="G28" i="57" s="1"/>
  <c r="F87" i="51"/>
  <c r="H84" i="51"/>
  <c r="E116" i="57"/>
  <c r="G72" i="51"/>
  <c r="G44" i="51" s="1"/>
  <c r="G29" i="51" s="1"/>
  <c r="G85" i="51"/>
  <c r="H69" i="51"/>
  <c r="H41" i="51" s="1"/>
  <c r="H26" i="51" s="1"/>
  <c r="D71" i="51"/>
  <c r="D43" i="51" s="1"/>
  <c r="D28" i="51" s="1"/>
  <c r="D86" i="51"/>
  <c r="F75" i="51"/>
  <c r="F47" i="51" s="1"/>
  <c r="F32" i="51" s="1"/>
  <c r="E88" i="51"/>
  <c r="H85" i="51"/>
  <c r="G90" i="51"/>
  <c r="G108" i="57"/>
  <c r="G57" i="57" s="1"/>
  <c r="G33" i="57" s="1"/>
  <c r="F71" i="51"/>
  <c r="F43" i="51" s="1"/>
  <c r="F28" i="51" s="1"/>
  <c r="D87" i="51"/>
  <c r="F70" i="51"/>
  <c r="F42" i="51" s="1"/>
  <c r="F27" i="51" s="1"/>
  <c r="G84" i="51"/>
  <c r="F90" i="51"/>
  <c r="G69" i="51"/>
  <c r="G41" i="51" s="1"/>
  <c r="G26" i="51" s="1"/>
  <c r="G120" i="57"/>
  <c r="F89" i="51"/>
  <c r="H86" i="51"/>
  <c r="G74" i="51"/>
  <c r="G46" i="51" s="1"/>
  <c r="G31" i="51" s="1"/>
  <c r="E122" i="57"/>
  <c r="G115" i="57"/>
  <c r="F105" i="57"/>
  <c r="F54" i="57" s="1"/>
  <c r="F30" i="57" s="1"/>
  <c r="E120" i="57"/>
  <c r="H89" i="51"/>
  <c r="F106" i="57"/>
  <c r="F55" i="57" s="1"/>
  <c r="F31" i="57" s="1"/>
  <c r="G73" i="51"/>
  <c r="G45" i="51" s="1"/>
  <c r="G30" i="51" s="1"/>
  <c r="F73" i="51"/>
  <c r="F45" i="51" s="1"/>
  <c r="F30" i="51" s="1"/>
  <c r="G117" i="57"/>
  <c r="F88" i="51"/>
  <c r="D85" i="51"/>
  <c r="F83" i="51"/>
  <c r="D89" i="51"/>
  <c r="G119" i="57"/>
  <c r="H87" i="51"/>
  <c r="D117" i="57"/>
  <c r="H122" i="57"/>
  <c r="G121" i="57"/>
  <c r="E87" i="51"/>
  <c r="H73" i="51"/>
  <c r="H45" i="51" s="1"/>
  <c r="H30" i="51" s="1"/>
  <c r="E90" i="51"/>
  <c r="D118" i="57"/>
  <c r="E72" i="51"/>
  <c r="E44" i="51" s="1"/>
  <c r="E29" i="51" s="1"/>
  <c r="F74" i="51"/>
  <c r="F46" i="51" s="1"/>
  <c r="F31" i="51" s="1"/>
  <c r="D70" i="51"/>
  <c r="D42" i="51" s="1"/>
  <c r="D27" i="51" s="1"/>
  <c r="G122" i="57"/>
  <c r="H76" i="51"/>
  <c r="H48" i="51" s="1"/>
  <c r="H33" i="51" s="1"/>
  <c r="F101" i="57"/>
  <c r="F50" i="57" s="1"/>
  <c r="F26" i="57" s="1"/>
  <c r="H116" i="57"/>
  <c r="D72" i="51"/>
  <c r="D44" i="51" s="1"/>
  <c r="D29" i="51" s="1"/>
  <c r="H75" i="51"/>
  <c r="H47" i="51" s="1"/>
  <c r="H32" i="51" s="1"/>
  <c r="D120" i="57"/>
  <c r="G88" i="51"/>
  <c r="G76" i="51"/>
  <c r="G48" i="51" s="1"/>
  <c r="G33" i="51" s="1"/>
  <c r="G116" i="57"/>
  <c r="H74" i="51"/>
  <c r="H46" i="51" s="1"/>
  <c r="H31" i="51" s="1"/>
  <c r="E84" i="51"/>
  <c r="F120" i="57"/>
  <c r="F78" i="57" s="1"/>
  <c r="F64" i="57" s="1"/>
  <c r="F40" i="57" s="1"/>
  <c r="D105" i="57"/>
  <c r="D54" i="57" s="1"/>
  <c r="D30" i="57" s="1"/>
  <c r="E106" i="57"/>
  <c r="E55" i="57" s="1"/>
  <c r="E31" i="57" s="1"/>
  <c r="H83" i="51"/>
  <c r="E85" i="51"/>
  <c r="E83" i="51"/>
  <c r="D104" i="57"/>
  <c r="D53" i="57" s="1"/>
  <c r="D29" i="57" s="1"/>
  <c r="F72" i="51"/>
  <c r="F44" i="51" s="1"/>
  <c r="F29" i="51" s="1"/>
  <c r="H70" i="51"/>
  <c r="H42" i="51" s="1"/>
  <c r="H27" i="51" s="1"/>
  <c r="F85" i="51"/>
  <c r="D122" i="57"/>
  <c r="H120" i="57"/>
  <c r="F115" i="57"/>
  <c r="H105" i="57"/>
  <c r="H54" i="57" s="1"/>
  <c r="H30" i="57" s="1"/>
  <c r="D115" i="57"/>
  <c r="D107" i="57"/>
  <c r="D56" i="57" s="1"/>
  <c r="D32" i="57" s="1"/>
  <c r="G70" i="51"/>
  <c r="G42" i="51" s="1"/>
  <c r="G27" i="51" s="1"/>
  <c r="H104" i="57"/>
  <c r="H53" i="57" s="1"/>
  <c r="H29" i="57" s="1"/>
  <c r="F76" i="51"/>
  <c r="F48" i="51" s="1"/>
  <c r="F33" i="51" s="1"/>
  <c r="H71" i="51"/>
  <c r="H43" i="51" s="1"/>
  <c r="H28" i="51" s="1"/>
  <c r="H121" i="57"/>
  <c r="D101" i="57"/>
  <c r="D50" i="57" s="1"/>
  <c r="D26" i="57" s="1"/>
  <c r="E69" i="51"/>
  <c r="E41" i="51" s="1"/>
  <c r="E26" i="51" s="1"/>
  <c r="H88" i="51"/>
  <c r="E76" i="51"/>
  <c r="E48" i="51" s="1"/>
  <c r="E33" i="51" s="1"/>
  <c r="E74" i="51"/>
  <c r="E46" i="51" s="1"/>
  <c r="E31" i="51" s="1"/>
  <c r="F102" i="57"/>
  <c r="F51" i="57" s="1"/>
  <c r="F27" i="57" s="1"/>
  <c r="H107" i="57"/>
  <c r="H56" i="57" s="1"/>
  <c r="H32" i="57" s="1"/>
  <c r="H115" i="57"/>
  <c r="E108" i="57"/>
  <c r="E57" i="57" s="1"/>
  <c r="E33" i="57" s="1"/>
  <c r="F116" i="57"/>
  <c r="D90" i="51"/>
  <c r="E75" i="51"/>
  <c r="E47" i="51" s="1"/>
  <c r="E32" i="51" s="1"/>
  <c r="G106" i="57"/>
  <c r="G55" i="57" s="1"/>
  <c r="G31" i="57" s="1"/>
  <c r="H118" i="57"/>
  <c r="H108" i="57"/>
  <c r="H57" i="57" s="1"/>
  <c r="H33" i="57" s="1"/>
  <c r="E118" i="57"/>
  <c r="G71" i="51"/>
  <c r="G43" i="51" s="1"/>
  <c r="G28" i="51" s="1"/>
  <c r="H119" i="57"/>
  <c r="G104" i="57"/>
  <c r="G53" i="57" s="1"/>
  <c r="G29" i="57" s="1"/>
  <c r="F103" i="57"/>
  <c r="F52" i="57" s="1"/>
  <c r="F28" i="57" s="1"/>
  <c r="F86" i="51"/>
  <c r="D69" i="51"/>
  <c r="D41" i="51" s="1"/>
  <c r="D26" i="51" s="1"/>
  <c r="D84" i="51"/>
  <c r="H106" i="57"/>
  <c r="H55" i="57" s="1"/>
  <c r="H31" i="57" s="1"/>
  <c r="D88" i="51"/>
  <c r="E117" i="57"/>
  <c r="G118" i="57"/>
  <c r="D108" i="57"/>
  <c r="D57" i="57" s="1"/>
  <c r="D33" i="57" s="1"/>
  <c r="F121" i="57"/>
  <c r="D75" i="51"/>
  <c r="D47" i="51" s="1"/>
  <c r="D32" i="51" s="1"/>
  <c r="H103" i="57"/>
  <c r="H52" i="57" s="1"/>
  <c r="H28" i="57" s="1"/>
  <c r="G87" i="51"/>
  <c r="G86" i="51"/>
  <c r="F108" i="57"/>
  <c r="F57" i="57" s="1"/>
  <c r="F33" i="57" s="1"/>
  <c r="G102" i="57"/>
  <c r="G51" i="57" s="1"/>
  <c r="G27" i="57" s="1"/>
  <c r="E71" i="51"/>
  <c r="E43" i="51" s="1"/>
  <c r="E28" i="51" s="1"/>
  <c r="H72" i="51"/>
  <c r="H44" i="51" s="1"/>
  <c r="H29" i="51" s="1"/>
  <c r="H101" i="57"/>
  <c r="H50" i="57" s="1"/>
  <c r="H26" i="57" s="1"/>
  <c r="F119" i="57"/>
  <c r="D73" i="51"/>
  <c r="D45" i="51" s="1"/>
  <c r="D30" i="51" s="1"/>
  <c r="D121" i="57"/>
  <c r="D102" i="57"/>
  <c r="D51" i="57" s="1"/>
  <c r="D27" i="57" s="1"/>
  <c r="E107" i="57"/>
  <c r="E56" i="57" s="1"/>
  <c r="E32" i="57" s="1"/>
  <c r="G83" i="51"/>
  <c r="F118" i="57"/>
  <c r="G89" i="51"/>
  <c r="E119" i="57"/>
  <c r="E121" i="57"/>
  <c r="D119" i="57"/>
  <c r="F122" i="57"/>
  <c r="G105" i="57"/>
  <c r="G54" i="57" s="1"/>
  <c r="G30" i="57" s="1"/>
  <c r="D116" i="57"/>
  <c r="D83" i="51"/>
  <c r="F84" i="51"/>
  <c r="D74" i="51"/>
  <c r="D46" i="51" s="1"/>
  <c r="D31" i="51" s="1"/>
  <c r="F107" i="57"/>
  <c r="F56" i="57" s="1"/>
  <c r="F32" i="57" s="1"/>
  <c r="E103" i="57"/>
  <c r="E52" i="57" s="1"/>
  <c r="E28" i="57" s="1"/>
  <c r="E104" i="57"/>
  <c r="E53" i="57" s="1"/>
  <c r="E29" i="57" s="1"/>
  <c r="D106" i="57"/>
  <c r="D55" i="57" s="1"/>
  <c r="D31" i="57" s="1"/>
  <c r="E89" i="51"/>
  <c r="D103" i="57"/>
  <c r="D52" i="57" s="1"/>
  <c r="D28" i="57" s="1"/>
  <c r="E115" i="57"/>
  <c r="D76" i="51"/>
  <c r="D48" i="51" s="1"/>
  <c r="D33" i="51" s="1"/>
  <c r="E105" i="57"/>
  <c r="E54" i="57" s="1"/>
  <c r="E30" i="57" s="1"/>
  <c r="E70" i="51"/>
  <c r="E42" i="51" s="1"/>
  <c r="E27" i="51" s="1"/>
  <c r="E73" i="51"/>
  <c r="E45" i="51" s="1"/>
  <c r="E30" i="51" s="1"/>
  <c r="E101" i="57"/>
  <c r="E50" i="57" s="1"/>
  <c r="E26" i="57" s="1"/>
  <c r="H117" i="57"/>
  <c r="E102" i="57"/>
  <c r="E51" i="57" s="1"/>
  <c r="E27" i="57" s="1"/>
  <c r="G107" i="57"/>
  <c r="G56" i="57" s="1"/>
  <c r="G32" i="57" s="1"/>
  <c r="H90" i="51"/>
  <c r="F117" i="57"/>
  <c r="E86" i="51"/>
  <c r="F104" i="57"/>
  <c r="F53" i="57" s="1"/>
  <c r="F29" i="57" s="1"/>
  <c r="H102" i="57"/>
  <c r="H51" i="57" s="1"/>
  <c r="H27" i="57" s="1"/>
  <c r="G101" i="57"/>
  <c r="G50" i="57" s="1"/>
  <c r="G26" i="57" s="1"/>
  <c r="F39" i="28"/>
  <c r="G39" i="28" s="1"/>
  <c r="D26" i="28"/>
  <c r="C25" i="28"/>
  <c r="F74" i="57" l="1"/>
  <c r="F60" i="57" s="1"/>
  <c r="F36" i="57" s="1"/>
  <c r="E76" i="57"/>
  <c r="E62" i="57" s="1"/>
  <c r="E38" i="57" s="1"/>
  <c r="H79" i="57"/>
  <c r="H65" i="57" s="1"/>
  <c r="H41" i="57" s="1"/>
  <c r="G80" i="57"/>
  <c r="G66" i="57" s="1"/>
  <c r="G42" i="57" s="1"/>
  <c r="G75" i="57"/>
  <c r="G61" i="57" s="1"/>
  <c r="G37" i="57" s="1"/>
  <c r="E75" i="57"/>
  <c r="E61" i="57" s="1"/>
  <c r="E37" i="57" s="1"/>
  <c r="D80" i="57"/>
  <c r="D66" i="57" s="1"/>
  <c r="D42" i="57" s="1"/>
  <c r="F75" i="57"/>
  <c r="F61" i="57" s="1"/>
  <c r="F37" i="57" s="1"/>
  <c r="G79" i="57"/>
  <c r="G65" i="57" s="1"/>
  <c r="G41" i="57" s="1"/>
  <c r="F79" i="57"/>
  <c r="F65" i="57" s="1"/>
  <c r="F41" i="57" s="1"/>
  <c r="H75" i="57"/>
  <c r="H61" i="57" s="1"/>
  <c r="H37" i="57" s="1"/>
  <c r="F77" i="57"/>
  <c r="F63" i="57" s="1"/>
  <c r="F39" i="57" s="1"/>
  <c r="D76" i="57"/>
  <c r="D62" i="57" s="1"/>
  <c r="D38" i="57" s="1"/>
  <c r="E78" i="57"/>
  <c r="E64" i="57" s="1"/>
  <c r="E40" i="57" s="1"/>
  <c r="E79" i="57"/>
  <c r="E65" i="57" s="1"/>
  <c r="E41" i="57" s="1"/>
  <c r="D75" i="57"/>
  <c r="D61" i="57" s="1"/>
  <c r="D37" i="57" s="1"/>
  <c r="D73" i="57"/>
  <c r="D59" i="57" s="1"/>
  <c r="D35" i="57" s="1"/>
  <c r="F73" i="57"/>
  <c r="F59" i="57" s="1"/>
  <c r="F35" i="57" s="1"/>
  <c r="E74" i="57"/>
  <c r="E60" i="57" s="1"/>
  <c r="E36" i="57" s="1"/>
  <c r="G77" i="57"/>
  <c r="G63" i="57" s="1"/>
  <c r="G39" i="57" s="1"/>
  <c r="F80" i="57"/>
  <c r="F66" i="57" s="1"/>
  <c r="F42" i="57" s="1"/>
  <c r="H77" i="57"/>
  <c r="H63" i="57" s="1"/>
  <c r="H39" i="57" s="1"/>
  <c r="G76" i="57"/>
  <c r="G62" i="57" s="1"/>
  <c r="G38" i="57" s="1"/>
  <c r="D78" i="57"/>
  <c r="D64" i="57" s="1"/>
  <c r="D40" i="57" s="1"/>
  <c r="H74" i="57"/>
  <c r="H60" i="57" s="1"/>
  <c r="H36" i="57" s="1"/>
  <c r="E73" i="57"/>
  <c r="E59" i="57" s="1"/>
  <c r="E35" i="57" s="1"/>
  <c r="E80" i="57"/>
  <c r="E66" i="57" s="1"/>
  <c r="E42" i="57" s="1"/>
  <c r="G78" i="57"/>
  <c r="G64" i="57" s="1"/>
  <c r="G40" i="57" s="1"/>
  <c r="G74" i="57"/>
  <c r="G60" i="57" s="1"/>
  <c r="G36" i="57" s="1"/>
  <c r="D74" i="57"/>
  <c r="D60" i="57" s="1"/>
  <c r="D36" i="57" s="1"/>
  <c r="H78" i="57"/>
  <c r="H64" i="57" s="1"/>
  <c r="H40" i="57" s="1"/>
  <c r="E77" i="57"/>
  <c r="E63" i="57" s="1"/>
  <c r="E39" i="57" s="1"/>
  <c r="D77" i="57"/>
  <c r="D63" i="57" s="1"/>
  <c r="D39" i="57" s="1"/>
  <c r="H80" i="57"/>
  <c r="H66" i="57" s="1"/>
  <c r="H42" i="57" s="1"/>
  <c r="G73" i="57"/>
  <c r="G59" i="57" s="1"/>
  <c r="G35" i="57" s="1"/>
  <c r="D79" i="57"/>
  <c r="D65" i="57" s="1"/>
  <c r="D41" i="57" s="1"/>
  <c r="H76" i="57"/>
  <c r="H62" i="57" s="1"/>
  <c r="H38" i="57" s="1"/>
  <c r="H73" i="57"/>
  <c r="H59" i="57" s="1"/>
  <c r="H35" i="57" s="1"/>
  <c r="F76" i="57"/>
  <c r="F62" i="57" s="1"/>
  <c r="F38" i="57" s="1"/>
  <c r="F38" i="28"/>
  <c r="G38" i="28" s="1"/>
  <c r="F37" i="28"/>
  <c r="G37" i="28" s="1"/>
  <c r="C19" i="28" s="1"/>
  <c r="E104" i="36" s="1"/>
  <c r="F19" i="28" l="1"/>
  <c r="J19" i="28" s="1"/>
  <c r="E196" i="26"/>
  <c r="F197" i="26" l="1"/>
  <c r="D197" i="26"/>
  <c r="C197" i="26"/>
  <c r="D196" i="26"/>
  <c r="C196" i="26"/>
  <c r="C31" i="26"/>
  <c r="D192" i="26" s="1"/>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19" i="26"/>
  <c r="C18"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I51" i="36" l="1"/>
  <c r="H51" i="36"/>
  <c r="I62" i="36"/>
  <c r="I81" i="36"/>
  <c r="H85" i="36"/>
  <c r="I69" i="36"/>
  <c r="I72" i="36"/>
  <c r="H69" i="36"/>
  <c r="H91" i="36"/>
  <c r="H82" i="36"/>
  <c r="I93" i="36"/>
  <c r="H66" i="36"/>
  <c r="H64" i="36"/>
  <c r="H61" i="36"/>
  <c r="I84" i="36"/>
  <c r="I64" i="36"/>
  <c r="I82" i="36"/>
  <c r="I94" i="36"/>
  <c r="H62" i="36"/>
  <c r="I89" i="36"/>
  <c r="I67" i="36"/>
  <c r="H55" i="36"/>
  <c r="H87" i="36"/>
  <c r="H81" i="36"/>
  <c r="H54" i="36"/>
  <c r="H74" i="36"/>
  <c r="H78" i="36"/>
  <c r="I57" i="36"/>
  <c r="I58" i="36"/>
  <c r="H92" i="36"/>
  <c r="H67" i="36"/>
  <c r="I85" i="36"/>
  <c r="I74" i="36"/>
  <c r="H83" i="36"/>
  <c r="H65" i="36"/>
  <c r="I63" i="36"/>
  <c r="I52" i="36"/>
  <c r="H75" i="36"/>
  <c r="I61" i="36"/>
  <c r="H73" i="36"/>
  <c r="H53" i="36"/>
  <c r="I71" i="36"/>
  <c r="I55" i="36"/>
  <c r="H93" i="36"/>
  <c r="I79" i="36"/>
  <c r="H72" i="36"/>
  <c r="H52" i="36"/>
  <c r="I92" i="36"/>
  <c r="I70" i="36"/>
  <c r="I54" i="36"/>
  <c r="H71" i="36"/>
  <c r="I65" i="36"/>
  <c r="H70" i="36"/>
  <c r="I75" i="36"/>
  <c r="H94" i="36"/>
  <c r="I60" i="36"/>
  <c r="I53" i="36"/>
  <c r="H90" i="36"/>
  <c r="H60" i="36"/>
  <c r="H58" i="36"/>
  <c r="I83" i="36"/>
  <c r="I87" i="36"/>
  <c r="I91" i="36"/>
  <c r="H63" i="36"/>
  <c r="I56" i="36"/>
  <c r="I66" i="36"/>
  <c r="I76" i="36"/>
  <c r="H89" i="36"/>
  <c r="H76" i="36"/>
  <c r="I78" i="36"/>
  <c r="I88" i="36"/>
  <c r="I73" i="36"/>
  <c r="H84" i="36"/>
  <c r="H88" i="36"/>
  <c r="H80" i="36"/>
  <c r="I80" i="36"/>
  <c r="H57" i="36"/>
  <c r="H56" i="36"/>
  <c r="H79" i="36"/>
  <c r="I90" i="36"/>
  <c r="F19" i="18"/>
  <c r="J19" i="18" s="1"/>
  <c r="E197" i="26"/>
  <c r="C25" i="26" s="1"/>
  <c r="AA60" i="26" s="1"/>
  <c r="Q62" i="26" l="1"/>
  <c r="AA85" i="26"/>
  <c r="AA55" i="26"/>
  <c r="AA91" i="26"/>
  <c r="AA63" i="26"/>
  <c r="AA56" i="26"/>
  <c r="S65" i="26"/>
  <c r="U83" i="26"/>
  <c r="U81" i="26"/>
  <c r="W67" i="26"/>
  <c r="Q54" i="26"/>
  <c r="W63" i="26"/>
  <c r="Q81" i="26"/>
  <c r="Q58" i="26"/>
  <c r="Y57" i="26"/>
  <c r="Y54" i="26"/>
  <c r="S87" i="26"/>
  <c r="S67" i="26"/>
  <c r="Q87" i="26"/>
  <c r="Y90" i="26"/>
  <c r="AA72" i="26"/>
  <c r="AA57" i="26"/>
  <c r="Y85" i="26"/>
  <c r="Q56" i="26"/>
  <c r="Y60" i="26"/>
  <c r="U78" i="26"/>
  <c r="U67" i="26"/>
  <c r="W61" i="26"/>
  <c r="W57" i="26"/>
  <c r="W75" i="26"/>
  <c r="Q91" i="26"/>
  <c r="W64" i="26"/>
  <c r="U62" i="26"/>
  <c r="AA81" i="26"/>
  <c r="AA79" i="26"/>
  <c r="W85" i="26"/>
  <c r="Y81" i="26"/>
  <c r="Q67" i="26"/>
  <c r="U71" i="26"/>
  <c r="S91" i="26"/>
  <c r="W58" i="26"/>
  <c r="Y52" i="26"/>
  <c r="S58" i="26"/>
  <c r="AA84" i="26"/>
  <c r="Q85" i="26"/>
  <c r="Y87" i="26"/>
  <c r="S52" i="26"/>
  <c r="S63" i="26"/>
  <c r="Y58" i="26"/>
  <c r="Y61" i="26"/>
  <c r="S54" i="26"/>
  <c r="S88" i="26"/>
  <c r="U52" i="26"/>
  <c r="Y56" i="26"/>
  <c r="AA65" i="26"/>
  <c r="Q76" i="26"/>
  <c r="W78" i="26"/>
  <c r="S94" i="26"/>
  <c r="Y62" i="26"/>
  <c r="Y73" i="26"/>
  <c r="Y88" i="26"/>
  <c r="Q61" i="26"/>
  <c r="AA88" i="26"/>
  <c r="Y75" i="26"/>
  <c r="Y84" i="26"/>
  <c r="U93" i="26"/>
  <c r="S71" i="26"/>
  <c r="S62" i="26"/>
  <c r="S73" i="26"/>
  <c r="W92" i="26"/>
  <c r="Y92" i="26"/>
  <c r="W84" i="26"/>
  <c r="Q64" i="26"/>
  <c r="Q93" i="26"/>
  <c r="AA70" i="26"/>
  <c r="Q55" i="26"/>
  <c r="U55" i="26"/>
  <c r="W81" i="26"/>
  <c r="AA89" i="26"/>
  <c r="Q71" i="26"/>
  <c r="W51" i="26"/>
  <c r="Q74" i="26"/>
  <c r="S84" i="26"/>
  <c r="Q51" i="26"/>
  <c r="W83" i="26"/>
  <c r="Y74" i="26"/>
  <c r="Y82" i="26"/>
  <c r="AA93" i="26"/>
  <c r="U92" i="26"/>
  <c r="U87" i="26"/>
  <c r="W94" i="26"/>
  <c r="W73" i="26"/>
  <c r="S81" i="26"/>
  <c r="Q83" i="26"/>
  <c r="W56" i="26"/>
  <c r="Q92" i="26"/>
  <c r="AA71" i="26"/>
  <c r="Q65" i="26"/>
  <c r="S61" i="26"/>
  <c r="S92" i="26"/>
  <c r="S85" i="26"/>
  <c r="U76" i="26"/>
  <c r="AA64" i="26"/>
  <c r="AA74" i="26"/>
  <c r="AA58" i="26"/>
  <c r="U70" i="26"/>
  <c r="Y69" i="26"/>
  <c r="U73" i="26"/>
  <c r="U84" i="26"/>
  <c r="Y80" i="26"/>
  <c r="S53" i="26"/>
  <c r="Q75" i="26"/>
  <c r="S76" i="26"/>
  <c r="U94" i="26"/>
  <c r="Q80" i="26"/>
  <c r="AA78" i="26"/>
  <c r="AA62" i="26"/>
  <c r="U54" i="26"/>
  <c r="W76" i="26"/>
  <c r="W69" i="26"/>
  <c r="AA80" i="26"/>
  <c r="Y79" i="26"/>
  <c r="S74" i="26"/>
  <c r="U58" i="26"/>
  <c r="AA54" i="26"/>
  <c r="W82" i="26"/>
  <c r="W80" i="26"/>
  <c r="U85" i="26"/>
  <c r="Y51" i="26"/>
  <c r="S79" i="26"/>
  <c r="AA75" i="26"/>
  <c r="AA94" i="26"/>
  <c r="U60" i="26"/>
  <c r="W55" i="26"/>
  <c r="Q88" i="26"/>
  <c r="U88" i="26"/>
  <c r="U80" i="26"/>
  <c r="Q66" i="26"/>
  <c r="Y63" i="26"/>
  <c r="U72" i="26"/>
  <c r="Q72" i="26"/>
  <c r="U79" i="26"/>
  <c r="AA83" i="26"/>
  <c r="Y89" i="26"/>
  <c r="U57" i="26"/>
  <c r="W93" i="26"/>
  <c r="W60" i="26"/>
  <c r="Q90" i="26"/>
  <c r="Y53" i="26"/>
  <c r="Y91" i="26"/>
  <c r="Q53" i="26"/>
  <c r="Y78" i="26"/>
  <c r="S60" i="26"/>
  <c r="S93" i="26"/>
  <c r="S66" i="26"/>
  <c r="Q89" i="26"/>
  <c r="Y83" i="26"/>
  <c r="Y67" i="26"/>
  <c r="S64" i="26"/>
  <c r="U65" i="26"/>
  <c r="W53" i="26"/>
  <c r="W89" i="26"/>
  <c r="W72" i="26"/>
  <c r="W66" i="26"/>
  <c r="U91" i="26"/>
  <c r="U82" i="26"/>
  <c r="S89" i="26"/>
  <c r="AA66" i="26"/>
  <c r="S78" i="26"/>
  <c r="Y71" i="26"/>
  <c r="AA76" i="26"/>
  <c r="Y64" i="26"/>
  <c r="Y94" i="26"/>
  <c r="Q84" i="26"/>
  <c r="U61" i="26"/>
  <c r="U51" i="26"/>
  <c r="U66" i="26"/>
  <c r="W52" i="26"/>
  <c r="W71" i="26"/>
  <c r="W54" i="26"/>
  <c r="Q73" i="26"/>
  <c r="S51" i="26"/>
  <c r="S57" i="26"/>
  <c r="Q70" i="26"/>
  <c r="S83" i="26"/>
  <c r="U75" i="26"/>
  <c r="AA69" i="26"/>
  <c r="AA82" i="26"/>
  <c r="AA90" i="26"/>
  <c r="AA53" i="26"/>
  <c r="S70" i="26"/>
  <c r="W65" i="26"/>
  <c r="U89" i="26"/>
  <c r="W87" i="26"/>
  <c r="Y76" i="26"/>
  <c r="Q69" i="26"/>
  <c r="AA51" i="26"/>
  <c r="W90" i="26"/>
  <c r="U63" i="26"/>
  <c r="Y65" i="26"/>
  <c r="Q60" i="26"/>
  <c r="U69" i="26"/>
  <c r="S72" i="26"/>
  <c r="U74" i="26"/>
  <c r="W88" i="26"/>
  <c r="S55" i="26"/>
  <c r="AA61" i="26"/>
  <c r="S69" i="26"/>
  <c r="U53" i="26"/>
  <c r="U90" i="26"/>
  <c r="U56" i="26"/>
  <c r="AA67" i="26"/>
  <c r="Y93" i="26"/>
  <c r="S90" i="26"/>
  <c r="Q82" i="26"/>
  <c r="AA73" i="26"/>
  <c r="Q63" i="26"/>
  <c r="W91" i="26"/>
  <c r="Y66" i="26"/>
  <c r="Y70" i="26"/>
  <c r="U64" i="26"/>
  <c r="W79" i="26"/>
  <c r="S56" i="26"/>
  <c r="W62" i="26"/>
  <c r="AA92" i="26"/>
  <c r="W70" i="26"/>
  <c r="W74" i="26"/>
  <c r="Q78" i="26"/>
  <c r="S82" i="26"/>
  <c r="Y55" i="26"/>
  <c r="S75" i="26"/>
  <c r="Q94" i="26"/>
  <c r="Q52" i="26"/>
  <c r="Q57" i="26"/>
  <c r="AA87" i="26"/>
  <c r="S80" i="26"/>
  <c r="Y72" i="26"/>
  <c r="Q79" i="26"/>
  <c r="AA52" i="26"/>
  <c r="Z78" i="26"/>
  <c r="T56" i="26"/>
  <c r="T88" i="26"/>
  <c r="P89" i="26"/>
  <c r="P83" i="26"/>
  <c r="P90" i="26"/>
  <c r="P79" i="26"/>
  <c r="G79" i="26" s="1"/>
  <c r="R76" i="26"/>
  <c r="P57" i="26"/>
  <c r="R51" i="26"/>
  <c r="P80" i="26"/>
  <c r="X93" i="26"/>
  <c r="R54" i="26"/>
  <c r="Z67" i="26"/>
  <c r="X81" i="26"/>
  <c r="X55" i="26"/>
  <c r="P82" i="26"/>
  <c r="R89" i="26"/>
  <c r="X90" i="26"/>
  <c r="R63" i="26"/>
  <c r="X56" i="26"/>
  <c r="Z80" i="26"/>
  <c r="L80" i="26" s="1"/>
  <c r="M80" i="26" s="1"/>
  <c r="X69" i="26"/>
  <c r="P66" i="26"/>
  <c r="X84" i="26"/>
  <c r="R52" i="26"/>
  <c r="V85" i="26"/>
  <c r="X53" i="26"/>
  <c r="X89" i="26"/>
  <c r="X92" i="26"/>
  <c r="T62" i="26"/>
  <c r="V56" i="26"/>
  <c r="J56" i="26" s="1"/>
  <c r="X73" i="26"/>
  <c r="K73" i="26" s="1"/>
  <c r="Z70" i="26"/>
  <c r="Z94" i="26"/>
  <c r="Z90" i="26"/>
  <c r="P78" i="26"/>
  <c r="G78" i="26" s="1"/>
  <c r="V63" i="26"/>
  <c r="R92" i="26"/>
  <c r="V84" i="26"/>
  <c r="X60" i="26"/>
  <c r="K60" i="26" s="1"/>
  <c r="R65" i="26"/>
  <c r="R79" i="26"/>
  <c r="H79" i="26" s="1"/>
  <c r="X61" i="26"/>
  <c r="Z53" i="26"/>
  <c r="Z60" i="26"/>
  <c r="X80" i="26"/>
  <c r="K80" i="26" s="1"/>
  <c r="T65" i="26"/>
  <c r="X52" i="26"/>
  <c r="P70" i="26"/>
  <c r="X65" i="26"/>
  <c r="T87" i="26"/>
  <c r="R75" i="26"/>
  <c r="Z54" i="26"/>
  <c r="L54" i="26" s="1"/>
  <c r="M54" i="26" s="1"/>
  <c r="V58" i="26"/>
  <c r="V91" i="26"/>
  <c r="X79" i="26"/>
  <c r="Z84" i="26"/>
  <c r="X87" i="26"/>
  <c r="V76" i="26"/>
  <c r="T79" i="26"/>
  <c r="P62" i="26"/>
  <c r="V70" i="26"/>
  <c r="P91" i="26"/>
  <c r="P51" i="26"/>
  <c r="G51" i="26" s="1"/>
  <c r="R70" i="26"/>
  <c r="Z64" i="26"/>
  <c r="V69" i="26"/>
  <c r="V61" i="26"/>
  <c r="R69" i="26"/>
  <c r="T84" i="26"/>
  <c r="X66" i="26"/>
  <c r="P69" i="26"/>
  <c r="T82" i="26"/>
  <c r="V53" i="26"/>
  <c r="T64" i="26"/>
  <c r="T51" i="26"/>
  <c r="P55" i="26"/>
  <c r="X75" i="26"/>
  <c r="T91" i="26"/>
  <c r="X94" i="26"/>
  <c r="X51" i="26"/>
  <c r="K51" i="26" s="1"/>
  <c r="T78" i="26"/>
  <c r="T66" i="26"/>
  <c r="V72" i="26"/>
  <c r="X58" i="26"/>
  <c r="P71" i="26"/>
  <c r="P63" i="26"/>
  <c r="Z75" i="26"/>
  <c r="R55" i="26"/>
  <c r="V65" i="26"/>
  <c r="P56" i="26"/>
  <c r="R67" i="26"/>
  <c r="V66" i="26"/>
  <c r="T90" i="26"/>
  <c r="I90" i="26" s="1"/>
  <c r="Z61" i="26"/>
  <c r="X64" i="26"/>
  <c r="T89" i="26"/>
  <c r="P58" i="26"/>
  <c r="R88" i="26"/>
  <c r="H88" i="26" s="1"/>
  <c r="Z66" i="26"/>
  <c r="V79" i="26"/>
  <c r="P92" i="26"/>
  <c r="T85" i="26"/>
  <c r="P75" i="26"/>
  <c r="G75" i="26" s="1"/>
  <c r="P76" i="26"/>
  <c r="X78" i="26"/>
  <c r="T71" i="26"/>
  <c r="V67" i="26"/>
  <c r="Z83" i="26"/>
  <c r="V93" i="26"/>
  <c r="J93" i="26" s="1"/>
  <c r="V81" i="26"/>
  <c r="X76" i="26"/>
  <c r="R90" i="26"/>
  <c r="V55" i="26"/>
  <c r="V64" i="26"/>
  <c r="V60" i="26"/>
  <c r="X54" i="26"/>
  <c r="Z93" i="26"/>
  <c r="R83" i="26"/>
  <c r="R53" i="26"/>
  <c r="V88" i="26"/>
  <c r="P88" i="26"/>
  <c r="Z79" i="26"/>
  <c r="T70" i="26"/>
  <c r="R74" i="26"/>
  <c r="R82" i="26"/>
  <c r="V87" i="26"/>
  <c r="P85" i="26"/>
  <c r="T52" i="26"/>
  <c r="R56" i="26"/>
  <c r="V75" i="26"/>
  <c r="T73" i="26"/>
  <c r="I73" i="26" s="1"/>
  <c r="V82" i="26"/>
  <c r="Z72" i="26"/>
  <c r="X63" i="26"/>
  <c r="T60" i="26"/>
  <c r="V57" i="26"/>
  <c r="X70" i="26"/>
  <c r="Z55" i="26"/>
  <c r="X57" i="26"/>
  <c r="P72" i="26"/>
  <c r="Z71" i="26"/>
  <c r="P64" i="26"/>
  <c r="Z85" i="26"/>
  <c r="R93" i="26"/>
  <c r="P74" i="26"/>
  <c r="G74" i="26" s="1"/>
  <c r="Z58" i="26"/>
  <c r="Z65" i="26"/>
  <c r="R73" i="26"/>
  <c r="H73" i="26" s="1"/>
  <c r="T61" i="26"/>
  <c r="R91" i="26"/>
  <c r="P52" i="26"/>
  <c r="Z74" i="26"/>
  <c r="R85" i="26"/>
  <c r="T92" i="26"/>
  <c r="V62" i="26"/>
  <c r="T53" i="26"/>
  <c r="R78" i="26"/>
  <c r="V54" i="26"/>
  <c r="X83" i="26"/>
  <c r="X71" i="26"/>
  <c r="V89" i="26"/>
  <c r="J89" i="26" s="1"/>
  <c r="R87" i="26"/>
  <c r="T75" i="26"/>
  <c r="V52" i="26"/>
  <c r="Z73" i="26"/>
  <c r="R81" i="26"/>
  <c r="V92" i="26"/>
  <c r="T83" i="26"/>
  <c r="Z57" i="26"/>
  <c r="T67" i="26"/>
  <c r="V78" i="26"/>
  <c r="J78" i="26" s="1"/>
  <c r="R94" i="26"/>
  <c r="H94" i="26" s="1"/>
  <c r="T93" i="26"/>
  <c r="I93" i="26" s="1"/>
  <c r="V83" i="26"/>
  <c r="Z63" i="26"/>
  <c r="L63" i="26" s="1"/>
  <c r="M63" i="26" s="1"/>
  <c r="X82" i="26"/>
  <c r="V80" i="26"/>
  <c r="X72" i="26"/>
  <c r="P84" i="26"/>
  <c r="T72" i="26"/>
  <c r="V74" i="26"/>
  <c r="P73" i="26"/>
  <c r="R80" i="26"/>
  <c r="T74" i="26"/>
  <c r="R58" i="26"/>
  <c r="H58" i="26" s="1"/>
  <c r="Z88" i="26"/>
  <c r="P87" i="26"/>
  <c r="R64" i="26"/>
  <c r="X62" i="26"/>
  <c r="K62" i="26" s="1"/>
  <c r="V51" i="26"/>
  <c r="P67" i="26"/>
  <c r="P61" i="26"/>
  <c r="T63" i="26"/>
  <c r="R84" i="26"/>
  <c r="Z62" i="26"/>
  <c r="T57" i="26"/>
  <c r="V90" i="26"/>
  <c r="Z52" i="26"/>
  <c r="L52" i="26" s="1"/>
  <c r="M52" i="26" s="1"/>
  <c r="T69" i="26"/>
  <c r="T54" i="26"/>
  <c r="T94" i="26"/>
  <c r="I94" i="26" s="1"/>
  <c r="P54" i="26"/>
  <c r="P94" i="26"/>
  <c r="R71" i="26"/>
  <c r="X88" i="26"/>
  <c r="X74" i="26"/>
  <c r="P53" i="26"/>
  <c r="Z51" i="26"/>
  <c r="Z76" i="26"/>
  <c r="T58" i="26"/>
  <c r="R72" i="26"/>
  <c r="V71" i="26"/>
  <c r="P65" i="26"/>
  <c r="G65" i="26" s="1"/>
  <c r="Z91" i="26"/>
  <c r="L91" i="26" s="1"/>
  <c r="M91" i="26" s="1"/>
  <c r="Z92" i="26"/>
  <c r="X91" i="26"/>
  <c r="R66" i="26"/>
  <c r="Z87" i="26"/>
  <c r="L87" i="26" s="1"/>
  <c r="M87" i="26" s="1"/>
  <c r="V73" i="26"/>
  <c r="J73" i="26" s="1"/>
  <c r="R61" i="26"/>
  <c r="Z56" i="26"/>
  <c r="R62" i="26"/>
  <c r="Z69" i="26"/>
  <c r="R57" i="26"/>
  <c r="X67" i="26"/>
  <c r="Z82" i="26"/>
  <c r="X85" i="26"/>
  <c r="T55" i="26"/>
  <c r="I55" i="26" s="1"/>
  <c r="P60" i="26"/>
  <c r="P93" i="26"/>
  <c r="P81" i="26"/>
  <c r="G81" i="26" s="1"/>
  <c r="T76" i="26"/>
  <c r="T81" i="26"/>
  <c r="V94" i="26"/>
  <c r="J94" i="26" s="1"/>
  <c r="Z81" i="26"/>
  <c r="Z89" i="26"/>
  <c r="T80" i="26"/>
  <c r="R60" i="26"/>
  <c r="J81" i="36"/>
  <c r="K81" i="36" s="1"/>
  <c r="X112" i="26"/>
  <c r="V121" i="26"/>
  <c r="V130" i="26"/>
  <c r="V123" i="26"/>
  <c r="X145" i="26"/>
  <c r="X137" i="26"/>
  <c r="V108" i="26"/>
  <c r="V141" i="26"/>
  <c r="X146" i="26"/>
  <c r="V131" i="26"/>
  <c r="V142" i="26"/>
  <c r="V122" i="26"/>
  <c r="X125" i="26"/>
  <c r="V145" i="26"/>
  <c r="V124" i="26"/>
  <c r="V126" i="26"/>
  <c r="V113" i="26"/>
  <c r="V140" i="26"/>
  <c r="V135" i="26"/>
  <c r="X116" i="26"/>
  <c r="V119" i="26"/>
  <c r="X105" i="26"/>
  <c r="AA131" i="26"/>
  <c r="Q124" i="26"/>
  <c r="AA144" i="26"/>
  <c r="Q118" i="26"/>
  <c r="S124" i="26"/>
  <c r="W106" i="26"/>
  <c r="AA145" i="26"/>
  <c r="Y123" i="26"/>
  <c r="U140" i="26"/>
  <c r="AA136" i="26"/>
  <c r="S136" i="26"/>
  <c r="Q135" i="26"/>
  <c r="AA104" i="26"/>
  <c r="Q136" i="26"/>
  <c r="U139" i="26"/>
  <c r="W116" i="26"/>
  <c r="Q119" i="26"/>
  <c r="Y104" i="26"/>
  <c r="U117" i="26"/>
  <c r="AA127" i="26"/>
  <c r="Y108" i="26"/>
  <c r="AA142" i="26"/>
  <c r="U109" i="26"/>
  <c r="U142" i="26"/>
  <c r="U144" i="26"/>
  <c r="AA137" i="26"/>
  <c r="Q114" i="26"/>
  <c r="W141" i="26"/>
  <c r="S126" i="26"/>
  <c r="Q104" i="26"/>
  <c r="W104" i="26"/>
  <c r="W125" i="26"/>
  <c r="Q122" i="26"/>
  <c r="Q126" i="26"/>
  <c r="AA117" i="26"/>
  <c r="Y132" i="26"/>
  <c r="Y116" i="26"/>
  <c r="Q132" i="26"/>
  <c r="U107" i="26"/>
  <c r="U127" i="26"/>
  <c r="W135" i="26"/>
  <c r="S122" i="26"/>
  <c r="U131" i="26"/>
  <c r="W140" i="26"/>
  <c r="Q141" i="26"/>
  <c r="S105" i="26"/>
  <c r="Q145" i="26"/>
  <c r="Y110" i="26"/>
  <c r="U123" i="26"/>
  <c r="W117" i="26"/>
  <c r="W145" i="26"/>
  <c r="U126" i="26"/>
  <c r="U134" i="26"/>
  <c r="Y131" i="26"/>
  <c r="W137" i="26"/>
  <c r="Y118" i="26"/>
  <c r="S127" i="26"/>
  <c r="U118" i="26"/>
  <c r="AA105" i="26"/>
  <c r="Y128" i="26"/>
  <c r="Q128" i="26"/>
  <c r="Q139" i="26"/>
  <c r="AA108" i="26"/>
  <c r="S121" i="26"/>
  <c r="Y133" i="26"/>
  <c r="S108" i="26"/>
  <c r="P114" i="26"/>
  <c r="G114" i="26" s="1"/>
  <c r="V112" i="26"/>
  <c r="V115" i="26"/>
  <c r="T112" i="26"/>
  <c r="V137" i="26"/>
  <c r="V114" i="26"/>
  <c r="T131" i="26"/>
  <c r="T118" i="26"/>
  <c r="T128" i="26"/>
  <c r="T144" i="26"/>
  <c r="T115" i="26"/>
  <c r="R136" i="26"/>
  <c r="T105" i="26"/>
  <c r="R103" i="26"/>
  <c r="U113" i="26"/>
  <c r="S114" i="26"/>
  <c r="Q115" i="26"/>
  <c r="W121" i="26"/>
  <c r="Q103" i="26"/>
  <c r="S110" i="26"/>
  <c r="Q137" i="26"/>
  <c r="AA107" i="26"/>
  <c r="U125" i="26"/>
  <c r="S133" i="26"/>
  <c r="U110" i="26"/>
  <c r="AA140" i="26"/>
  <c r="AA141" i="26"/>
  <c r="W108" i="26"/>
  <c r="Y113" i="26"/>
  <c r="Q121" i="26"/>
  <c r="S115" i="26"/>
  <c r="Q144" i="26"/>
  <c r="Y140" i="26"/>
  <c r="S137" i="26"/>
  <c r="V127" i="26"/>
  <c r="V103" i="26"/>
  <c r="V139" i="26"/>
  <c r="X119" i="26"/>
  <c r="X114" i="26"/>
  <c r="X109" i="26"/>
  <c r="V106" i="26"/>
  <c r="X136" i="26"/>
  <c r="X113" i="26"/>
  <c r="X144" i="26"/>
  <c r="X126" i="26"/>
  <c r="X141" i="26"/>
  <c r="X123" i="26"/>
  <c r="X134" i="26"/>
  <c r="X108" i="26"/>
  <c r="X127" i="26"/>
  <c r="V133" i="26"/>
  <c r="V118" i="26"/>
  <c r="X139" i="26"/>
  <c r="X143" i="26"/>
  <c r="X121" i="26"/>
  <c r="AA134" i="26"/>
  <c r="Q106" i="26"/>
  <c r="U122" i="26"/>
  <c r="U112" i="26"/>
  <c r="U108" i="26"/>
  <c r="S104" i="26"/>
  <c r="Q116" i="26"/>
  <c r="Q131" i="26"/>
  <c r="Y142" i="26"/>
  <c r="S109" i="26"/>
  <c r="Q108" i="26"/>
  <c r="Q110" i="26"/>
  <c r="U119" i="26"/>
  <c r="AA126" i="26"/>
  <c r="W112" i="26"/>
  <c r="AA124" i="26"/>
  <c r="AA119" i="26"/>
  <c r="U128" i="26"/>
  <c r="AA109" i="26"/>
  <c r="S123" i="26"/>
  <c r="AA146" i="26"/>
  <c r="S146" i="26"/>
  <c r="Q146" i="26"/>
  <c r="U143" i="26"/>
  <c r="Y109" i="26"/>
  <c r="Y117" i="26"/>
  <c r="AA110" i="26"/>
  <c r="S119" i="26"/>
  <c r="AA135" i="26"/>
  <c r="S135" i="26"/>
  <c r="Q113" i="26"/>
  <c r="W103" i="26"/>
  <c r="Q105" i="26"/>
  <c r="S103" i="26"/>
  <c r="U105" i="26"/>
  <c r="AA132" i="26"/>
  <c r="W124" i="26"/>
  <c r="W134" i="26"/>
  <c r="AA112" i="26"/>
  <c r="W105" i="26"/>
  <c r="AA106" i="26"/>
  <c r="W113" i="26"/>
  <c r="AA143" i="26"/>
  <c r="U132" i="26"/>
  <c r="Y107" i="26"/>
  <c r="Y125" i="26"/>
  <c r="S106" i="26"/>
  <c r="Q140" i="26"/>
  <c r="W110" i="26"/>
  <c r="U103" i="26"/>
  <c r="W114" i="26"/>
  <c r="AA130" i="26"/>
  <c r="Y103" i="26"/>
  <c r="S117" i="26"/>
  <c r="P105" i="26"/>
  <c r="T125" i="26"/>
  <c r="T123" i="26"/>
  <c r="V128" i="26"/>
  <c r="X124" i="26"/>
  <c r="T141" i="26"/>
  <c r="V107" i="26"/>
  <c r="T130" i="26"/>
  <c r="X115" i="26"/>
  <c r="T133" i="26"/>
  <c r="Q117" i="26"/>
  <c r="S130" i="26"/>
  <c r="AA116" i="26"/>
  <c r="AA133" i="26"/>
  <c r="Y144" i="26"/>
  <c r="S140" i="26"/>
  <c r="AA118" i="26"/>
  <c r="W127" i="26"/>
  <c r="Y106" i="26"/>
  <c r="AA113" i="26"/>
  <c r="Y139" i="26"/>
  <c r="Q107" i="26"/>
  <c r="W126" i="26"/>
  <c r="Y122" i="26"/>
  <c r="S143" i="26"/>
  <c r="U114" i="26"/>
  <c r="S145" i="26"/>
  <c r="Q134" i="26"/>
  <c r="S107" i="26"/>
  <c r="V117" i="26"/>
  <c r="X128" i="26"/>
  <c r="X140" i="26"/>
  <c r="X118" i="26"/>
  <c r="K118" i="26" s="1"/>
  <c r="V110" i="26"/>
  <c r="V104" i="26"/>
  <c r="X107" i="26"/>
  <c r="V132" i="26"/>
  <c r="X122" i="26"/>
  <c r="V105" i="26"/>
  <c r="V143" i="26"/>
  <c r="X104" i="26"/>
  <c r="X106" i="26"/>
  <c r="X110" i="26"/>
  <c r="X130" i="26"/>
  <c r="X117" i="26"/>
  <c r="X135" i="26"/>
  <c r="V146" i="26"/>
  <c r="X103" i="26"/>
  <c r="V144" i="26"/>
  <c r="S128" i="26"/>
  <c r="W118" i="26"/>
  <c r="Q130" i="26"/>
  <c r="W115" i="26"/>
  <c r="S141" i="26"/>
  <c r="Y145" i="26"/>
  <c r="AA121" i="26"/>
  <c r="W146" i="26"/>
  <c r="S113" i="26"/>
  <c r="U137" i="26"/>
  <c r="Y112" i="26"/>
  <c r="W119" i="26"/>
  <c r="Q125" i="26"/>
  <c r="U104" i="26"/>
  <c r="U115" i="26"/>
  <c r="Y114" i="26"/>
  <c r="W131" i="26"/>
  <c r="Y126" i="26"/>
  <c r="U133" i="26"/>
  <c r="Y124" i="26"/>
  <c r="U141" i="26"/>
  <c r="Y105" i="26"/>
  <c r="U130" i="26"/>
  <c r="Q133" i="26"/>
  <c r="S112" i="26"/>
  <c r="Y127" i="26"/>
  <c r="S142" i="26"/>
  <c r="Q127" i="26"/>
  <c r="AA103" i="26"/>
  <c r="U146" i="26"/>
  <c r="S131" i="26"/>
  <c r="Q123" i="26"/>
  <c r="W130" i="26"/>
  <c r="S125" i="26"/>
  <c r="Q142" i="26"/>
  <c r="Y136" i="26"/>
  <c r="S132" i="26"/>
  <c r="Y134" i="26"/>
  <c r="Y143" i="26"/>
  <c r="U116" i="26"/>
  <c r="S139" i="26"/>
  <c r="AA125" i="26"/>
  <c r="U121" i="26"/>
  <c r="AA123" i="26"/>
  <c r="W136" i="26"/>
  <c r="W143" i="26"/>
  <c r="Y115" i="26"/>
  <c r="AA114" i="26"/>
  <c r="U106" i="26"/>
  <c r="W142" i="26"/>
  <c r="S118" i="26"/>
  <c r="AA139" i="26"/>
  <c r="W123" i="26"/>
  <c r="Y141" i="26"/>
  <c r="W122" i="26"/>
  <c r="AA122" i="26"/>
  <c r="W139" i="26"/>
  <c r="AA128" i="26"/>
  <c r="Y146" i="26"/>
  <c r="W133" i="26"/>
  <c r="P141" i="26"/>
  <c r="G141" i="26" s="1"/>
  <c r="P109" i="26"/>
  <c r="P124" i="26"/>
  <c r="P137" i="26"/>
  <c r="P113" i="26"/>
  <c r="P103" i="26"/>
  <c r="P118" i="26"/>
  <c r="P145" i="26"/>
  <c r="R117" i="26"/>
  <c r="V109" i="26"/>
  <c r="V125" i="26"/>
  <c r="T140" i="26"/>
  <c r="X133" i="26"/>
  <c r="K133" i="26" s="1"/>
  <c r="V116" i="26"/>
  <c r="R140" i="26"/>
  <c r="X142" i="26"/>
  <c r="T142" i="26"/>
  <c r="X132" i="26"/>
  <c r="X131" i="26"/>
  <c r="R135" i="26"/>
  <c r="T110" i="26"/>
  <c r="V136" i="26"/>
  <c r="V134" i="26"/>
  <c r="AA115" i="26"/>
  <c r="Q112" i="26"/>
  <c r="U135" i="26"/>
  <c r="Y121" i="26"/>
  <c r="W144" i="26"/>
  <c r="U145" i="26"/>
  <c r="W128" i="26"/>
  <c r="Y137" i="26"/>
  <c r="Q109" i="26"/>
  <c r="W107" i="26"/>
  <c r="U124" i="26"/>
  <c r="S134" i="26"/>
  <c r="Y135" i="26"/>
  <c r="W109" i="26"/>
  <c r="W132" i="26"/>
  <c r="Q143" i="26"/>
  <c r="S144" i="26"/>
  <c r="U136" i="26"/>
  <c r="Y130" i="26"/>
  <c r="S116" i="26"/>
  <c r="Y119" i="26"/>
  <c r="Z141" i="26"/>
  <c r="Z140" i="26"/>
  <c r="Z146" i="26"/>
  <c r="Z123" i="26"/>
  <c r="Z144" i="26"/>
  <c r="R144" i="26"/>
  <c r="R107" i="26"/>
  <c r="Z139" i="26"/>
  <c r="T121" i="26"/>
  <c r="T106" i="26"/>
  <c r="P108" i="26"/>
  <c r="P140" i="26"/>
  <c r="Z122" i="26"/>
  <c r="Z106" i="26"/>
  <c r="R114" i="26"/>
  <c r="Z108" i="26"/>
  <c r="R132" i="26"/>
  <c r="Z116" i="26"/>
  <c r="T146" i="26"/>
  <c r="R108" i="26"/>
  <c r="T104" i="26"/>
  <c r="P135" i="26"/>
  <c r="P128" i="26"/>
  <c r="Z117" i="26"/>
  <c r="Z105" i="26"/>
  <c r="T114" i="26"/>
  <c r="R125" i="26"/>
  <c r="T122" i="26"/>
  <c r="I122" i="26" s="1"/>
  <c r="T143" i="26"/>
  <c r="T109" i="26"/>
  <c r="R131" i="26"/>
  <c r="P121" i="26"/>
  <c r="G121" i="26" s="1"/>
  <c r="P142" i="26"/>
  <c r="R124" i="26"/>
  <c r="T116" i="26"/>
  <c r="T132" i="26"/>
  <c r="P116" i="26"/>
  <c r="Z143" i="26"/>
  <c r="Z107" i="26"/>
  <c r="R113" i="26"/>
  <c r="P117" i="26"/>
  <c r="Z115" i="26"/>
  <c r="R105" i="26"/>
  <c r="P143" i="26"/>
  <c r="R121" i="26"/>
  <c r="Z128" i="26"/>
  <c r="T119" i="26"/>
  <c r="R104" i="26"/>
  <c r="T145" i="26"/>
  <c r="R130" i="26"/>
  <c r="T117" i="26"/>
  <c r="I117" i="26" s="1"/>
  <c r="R119" i="26"/>
  <c r="T135" i="26"/>
  <c r="T103" i="26"/>
  <c r="P125" i="26"/>
  <c r="P110" i="26"/>
  <c r="Z112" i="26"/>
  <c r="R128" i="26"/>
  <c r="Z131" i="26"/>
  <c r="R112" i="26"/>
  <c r="R137" i="26"/>
  <c r="R142" i="26"/>
  <c r="R139" i="26"/>
  <c r="R146" i="26"/>
  <c r="T139" i="26"/>
  <c r="P131" i="26"/>
  <c r="P126" i="26"/>
  <c r="Z118" i="26"/>
  <c r="Z110" i="26"/>
  <c r="Z127" i="26"/>
  <c r="T108" i="26"/>
  <c r="Z133" i="26"/>
  <c r="Z134" i="26"/>
  <c r="Z132" i="26"/>
  <c r="P130" i="26"/>
  <c r="G130" i="26" s="1"/>
  <c r="P104" i="26"/>
  <c r="P115" i="26"/>
  <c r="Z126" i="26"/>
  <c r="R116" i="26"/>
  <c r="H116" i="26" s="1"/>
  <c r="P133" i="26"/>
  <c r="Z113" i="26"/>
  <c r="R122" i="26"/>
  <c r="P127" i="26"/>
  <c r="Z119" i="26"/>
  <c r="R123" i="26"/>
  <c r="Z124" i="26"/>
  <c r="P132" i="26"/>
  <c r="Z136" i="26"/>
  <c r="R110" i="26"/>
  <c r="R126" i="26"/>
  <c r="Z142" i="26"/>
  <c r="Z137" i="26"/>
  <c r="Z109" i="26"/>
  <c r="T136" i="26"/>
  <c r="R134" i="26"/>
  <c r="P119" i="26"/>
  <c r="T137" i="26"/>
  <c r="P106" i="26"/>
  <c r="Z121" i="26"/>
  <c r="Z145" i="26"/>
  <c r="Z125" i="26"/>
  <c r="T113" i="26"/>
  <c r="Z114" i="26"/>
  <c r="R133" i="26"/>
  <c r="T124" i="26"/>
  <c r="R118" i="26"/>
  <c r="P136" i="26"/>
  <c r="P123" i="26"/>
  <c r="P112" i="26"/>
  <c r="Z103" i="26"/>
  <c r="T134" i="26"/>
  <c r="R127" i="26"/>
  <c r="R141" i="26"/>
  <c r="Z135" i="26"/>
  <c r="Z104" i="26"/>
  <c r="R109" i="26"/>
  <c r="P139" i="26"/>
  <c r="P146" i="26"/>
  <c r="P134" i="26"/>
  <c r="T127" i="26"/>
  <c r="I127" i="26" s="1"/>
  <c r="R145" i="26"/>
  <c r="R115" i="26"/>
  <c r="P122" i="26"/>
  <c r="Z130" i="26"/>
  <c r="T126" i="26"/>
  <c r="R106" i="26"/>
  <c r="P144" i="26"/>
  <c r="R143" i="26"/>
  <c r="H143" i="26" s="1"/>
  <c r="T107" i="26"/>
  <c r="P107" i="26"/>
  <c r="O103" i="26"/>
  <c r="N103" i="26"/>
  <c r="J63" i="36"/>
  <c r="K63" i="36" s="1"/>
  <c r="J62" i="36"/>
  <c r="K62" i="36" s="1"/>
  <c r="J70" i="36"/>
  <c r="K70" i="36" s="1"/>
  <c r="J79" i="36"/>
  <c r="K79" i="36" s="1"/>
  <c r="J67" i="36"/>
  <c r="K67" i="36" s="1"/>
  <c r="J52" i="36"/>
  <c r="K52" i="36" s="1"/>
  <c r="J94" i="36"/>
  <c r="K94" i="36" s="1"/>
  <c r="J89" i="36"/>
  <c r="K89" i="36" s="1"/>
  <c r="J71" i="36"/>
  <c r="K71" i="36" s="1"/>
  <c r="J58" i="36"/>
  <c r="K58" i="36" s="1"/>
  <c r="J93" i="36"/>
  <c r="K93" i="36" s="1"/>
  <c r="J69" i="36"/>
  <c r="K69" i="36" s="1"/>
  <c r="J91" i="36"/>
  <c r="K91" i="36" s="1"/>
  <c r="J88" i="36"/>
  <c r="K88" i="36" s="1"/>
  <c r="J78" i="36"/>
  <c r="K78" i="36" s="1"/>
  <c r="J87" i="36"/>
  <c r="K87" i="36" s="1"/>
  <c r="J90" i="36"/>
  <c r="K90" i="36" s="1"/>
  <c r="J92" i="36"/>
  <c r="K92" i="36" s="1"/>
  <c r="J80" i="36"/>
  <c r="K80" i="36" s="1"/>
  <c r="J72" i="36"/>
  <c r="K72" i="36" s="1"/>
  <c r="J83" i="36"/>
  <c r="K83" i="36" s="1"/>
  <c r="J82" i="36"/>
  <c r="K82" i="36" s="1"/>
  <c r="J84" i="36"/>
  <c r="K84" i="36" s="1"/>
  <c r="J76" i="36"/>
  <c r="K76" i="36" s="1"/>
  <c r="J85" i="36"/>
  <c r="K85" i="36" s="1"/>
  <c r="J73" i="36"/>
  <c r="K73" i="36" s="1"/>
  <c r="J60" i="36"/>
  <c r="K60" i="36" s="1"/>
  <c r="J75" i="36"/>
  <c r="K75" i="36" s="1"/>
  <c r="J74" i="36"/>
  <c r="K74" i="36" s="1"/>
  <c r="J64" i="36"/>
  <c r="K64" i="36" s="1"/>
  <c r="J66" i="36"/>
  <c r="K66" i="36" s="1"/>
  <c r="J65" i="36"/>
  <c r="K65" i="36" s="1"/>
  <c r="J56" i="36"/>
  <c r="K56" i="36" s="1"/>
  <c r="J61" i="36"/>
  <c r="K61" i="36" s="1"/>
  <c r="J57" i="36"/>
  <c r="K57" i="36" s="1"/>
  <c r="J55" i="36"/>
  <c r="K55" i="36" s="1"/>
  <c r="J54" i="36"/>
  <c r="K54" i="36" s="1"/>
  <c r="J51" i="36"/>
  <c r="K51" i="36" s="1"/>
  <c r="J53" i="36"/>
  <c r="K53" i="36" s="1"/>
  <c r="N51" i="26"/>
  <c r="L117" i="26" l="1"/>
  <c r="M117" i="26" s="1"/>
  <c r="I118" i="26"/>
  <c r="L113" i="26"/>
  <c r="M113" i="26" s="1"/>
  <c r="G134" i="26"/>
  <c r="K140" i="26"/>
  <c r="I57" i="26"/>
  <c r="G115" i="26"/>
  <c r="K117" i="26"/>
  <c r="J116" i="26"/>
  <c r="L112" i="26"/>
  <c r="M112" i="26" s="1"/>
  <c r="G113" i="26"/>
  <c r="L114" i="26"/>
  <c r="M114" i="26" s="1"/>
  <c r="G116" i="26"/>
  <c r="K67" i="26"/>
  <c r="J55" i="26"/>
  <c r="G117" i="26"/>
  <c r="H114" i="26"/>
  <c r="G94" i="26"/>
  <c r="L66" i="26"/>
  <c r="M66" i="26" s="1"/>
  <c r="I51" i="26"/>
  <c r="K89" i="26"/>
  <c r="J117" i="26"/>
  <c r="L139" i="26"/>
  <c r="M139" i="26" s="1"/>
  <c r="G118" i="26"/>
  <c r="H118" i="26"/>
  <c r="L115" i="26"/>
  <c r="M115" i="26" s="1"/>
  <c r="L116" i="26"/>
  <c r="M116" i="26" s="1"/>
  <c r="I116" i="26"/>
  <c r="G112" i="26"/>
  <c r="L135" i="26"/>
  <c r="M135" i="26" s="1"/>
  <c r="H132" i="26"/>
  <c r="L141" i="26"/>
  <c r="M141" i="26" s="1"/>
  <c r="H119" i="26"/>
  <c r="I119" i="26"/>
  <c r="G119" i="26"/>
  <c r="H113" i="26"/>
  <c r="H117" i="26"/>
  <c r="K113" i="26"/>
  <c r="I113" i="26"/>
  <c r="H112" i="26"/>
  <c r="H140" i="26"/>
  <c r="L51" i="26"/>
  <c r="M51" i="26" s="1"/>
  <c r="L121" i="26"/>
  <c r="M121" i="26" s="1"/>
  <c r="H115" i="26"/>
  <c r="I114" i="26"/>
  <c r="H80" i="26"/>
  <c r="K64" i="26"/>
  <c r="G69" i="26"/>
  <c r="L78" i="26"/>
  <c r="M78" i="26" s="1"/>
  <c r="K114" i="26"/>
  <c r="K115" i="26"/>
  <c r="J114" i="26"/>
  <c r="I112" i="26"/>
  <c r="K116" i="26"/>
  <c r="I115" i="26"/>
  <c r="J115" i="26"/>
  <c r="J112" i="26"/>
  <c r="J113" i="26"/>
  <c r="K112" i="26"/>
  <c r="K119" i="26"/>
  <c r="J119" i="26"/>
  <c r="J118" i="26"/>
  <c r="I143" i="26"/>
  <c r="J64" i="26"/>
  <c r="G56" i="26"/>
  <c r="H63" i="26"/>
  <c r="H123" i="26"/>
  <c r="L106" i="26"/>
  <c r="M106" i="26" s="1"/>
  <c r="L88" i="26"/>
  <c r="M88" i="26" s="1"/>
  <c r="H84" i="26"/>
  <c r="H122" i="26"/>
  <c r="J62" i="26"/>
  <c r="J70" i="26"/>
  <c r="H91" i="26"/>
  <c r="K66" i="26"/>
  <c r="G72" i="26"/>
  <c r="G133" i="26"/>
  <c r="J88" i="26"/>
  <c r="I89" i="26"/>
  <c r="L118" i="26"/>
  <c r="M118" i="26" s="1"/>
  <c r="J75" i="26"/>
  <c r="K61" i="26"/>
  <c r="L56" i="26"/>
  <c r="M56" i="26" s="1"/>
  <c r="L57" i="26"/>
  <c r="M57" i="26" s="1"/>
  <c r="G58" i="26"/>
  <c r="I78" i="26"/>
  <c r="K87" i="26"/>
  <c r="L81" i="26"/>
  <c r="M81" i="26" s="1"/>
  <c r="G67" i="26"/>
  <c r="L85" i="26"/>
  <c r="M85" i="26" s="1"/>
  <c r="J67" i="26"/>
  <c r="H67" i="26"/>
  <c r="K52" i="26"/>
  <c r="K56" i="26"/>
  <c r="J90" i="26"/>
  <c r="K63" i="26"/>
  <c r="H131" i="26"/>
  <c r="I145" i="26"/>
  <c r="H134" i="26"/>
  <c r="H141" i="26"/>
  <c r="J137" i="26"/>
  <c r="J134" i="26"/>
  <c r="I81" i="26"/>
  <c r="L72" i="26"/>
  <c r="M72" i="26" s="1"/>
  <c r="J58" i="26"/>
  <c r="I62" i="26"/>
  <c r="K81" i="26"/>
  <c r="J57" i="26"/>
  <c r="G62" i="26"/>
  <c r="J51" i="26"/>
  <c r="J83" i="26"/>
  <c r="H81" i="26"/>
  <c r="I92" i="26"/>
  <c r="L58" i="26"/>
  <c r="M58" i="26" s="1"/>
  <c r="G64" i="26"/>
  <c r="K88" i="26"/>
  <c r="H85" i="26"/>
  <c r="L71" i="26"/>
  <c r="M71" i="26" s="1"/>
  <c r="K84" i="26"/>
  <c r="L61" i="26"/>
  <c r="M61" i="26" s="1"/>
  <c r="I53" i="26"/>
  <c r="L128" i="26"/>
  <c r="M128" i="26" s="1"/>
  <c r="J76" i="26"/>
  <c r="I125" i="26"/>
  <c r="I110" i="26"/>
  <c r="H60" i="26"/>
  <c r="G73" i="26"/>
  <c r="K72" i="26"/>
  <c r="H83" i="26"/>
  <c r="G63" i="26"/>
  <c r="I66" i="26"/>
  <c r="I91" i="26"/>
  <c r="I64" i="26"/>
  <c r="L90" i="26"/>
  <c r="M90" i="26" s="1"/>
  <c r="H76" i="26"/>
  <c r="I107" i="26"/>
  <c r="I139" i="26"/>
  <c r="L105" i="26"/>
  <c r="M105" i="26" s="1"/>
  <c r="L144" i="26"/>
  <c r="M144" i="26" s="1"/>
  <c r="L145" i="26"/>
  <c r="M145" i="26" s="1"/>
  <c r="I80" i="26"/>
  <c r="G60" i="26"/>
  <c r="I84" i="26"/>
  <c r="I109" i="26"/>
  <c r="L62" i="26"/>
  <c r="M62" i="26" s="1"/>
  <c r="K83" i="26"/>
  <c r="I60" i="26"/>
  <c r="J53" i="26"/>
  <c r="K94" i="26"/>
  <c r="L82" i="26"/>
  <c r="M82" i="26" s="1"/>
  <c r="H62" i="26"/>
  <c r="I58" i="26"/>
  <c r="J54" i="26"/>
  <c r="I85" i="26"/>
  <c r="J69" i="26"/>
  <c r="J84" i="26"/>
  <c r="L73" i="26"/>
  <c r="M73" i="26" s="1"/>
  <c r="K70" i="26"/>
  <c r="L93" i="26"/>
  <c r="M93" i="26" s="1"/>
  <c r="K78" i="26"/>
  <c r="G92" i="26"/>
  <c r="J65" i="26"/>
  <c r="G71" i="26"/>
  <c r="K75" i="26"/>
  <c r="H92" i="26"/>
  <c r="L94" i="26"/>
  <c r="M94" i="26" s="1"/>
  <c r="I88" i="26"/>
  <c r="G85" i="26"/>
  <c r="I74" i="26"/>
  <c r="I72" i="26"/>
  <c r="L74" i="26"/>
  <c r="M74" i="26" s="1"/>
  <c r="I52" i="26"/>
  <c r="K58" i="26"/>
  <c r="G55" i="26"/>
  <c r="I126" i="26"/>
  <c r="G93" i="26"/>
  <c r="K74" i="26"/>
  <c r="G54" i="26"/>
  <c r="I67" i="26"/>
  <c r="L55" i="26"/>
  <c r="M55" i="26" s="1"/>
  <c r="J87" i="26"/>
  <c r="L79" i="26"/>
  <c r="M79" i="26" s="1"/>
  <c r="J81" i="26"/>
  <c r="I71" i="26"/>
  <c r="G91" i="26"/>
  <c r="J91" i="26"/>
  <c r="I87" i="26"/>
  <c r="G66" i="26"/>
  <c r="K55" i="26"/>
  <c r="I76" i="26"/>
  <c r="K91" i="26"/>
  <c r="I54" i="26"/>
  <c r="G61" i="26"/>
  <c r="J52" i="26"/>
  <c r="K71" i="26"/>
  <c r="H93" i="26"/>
  <c r="J82" i="26"/>
  <c r="I82" i="26"/>
  <c r="H65" i="26"/>
  <c r="H52" i="26"/>
  <c r="K85" i="26"/>
  <c r="I69" i="26"/>
  <c r="G84" i="26"/>
  <c r="J92" i="26"/>
  <c r="I75" i="26"/>
  <c r="L65" i="26"/>
  <c r="M65" i="26" s="1"/>
  <c r="K57" i="26"/>
  <c r="I70" i="26"/>
  <c r="I79" i="26"/>
  <c r="K79" i="26"/>
  <c r="H54" i="26"/>
  <c r="G83" i="26"/>
  <c r="K93" i="26"/>
  <c r="L109" i="26"/>
  <c r="M109" i="26" s="1"/>
  <c r="L110" i="26"/>
  <c r="M110" i="26" s="1"/>
  <c r="H137" i="26"/>
  <c r="H121" i="26"/>
  <c r="I142" i="26"/>
  <c r="K65" i="26"/>
  <c r="I65" i="26"/>
  <c r="G89" i="26"/>
  <c r="J66" i="26"/>
  <c r="H69" i="26"/>
  <c r="G70" i="26"/>
  <c r="G90" i="26"/>
  <c r="H82" i="26"/>
  <c r="G106" i="26"/>
  <c r="L126" i="26"/>
  <c r="M126" i="26" s="1"/>
  <c r="J104" i="26"/>
  <c r="H136" i="26"/>
  <c r="L92" i="26"/>
  <c r="M92" i="26" s="1"/>
  <c r="G52" i="26"/>
  <c r="I103" i="26"/>
  <c r="H130" i="26"/>
  <c r="H51" i="26"/>
  <c r="H66" i="26"/>
  <c r="L76" i="26"/>
  <c r="M76" i="26" s="1"/>
  <c r="I63" i="26"/>
  <c r="J74" i="26"/>
  <c r="J80" i="26"/>
  <c r="I61" i="26"/>
  <c r="H56" i="26"/>
  <c r="G88" i="26"/>
  <c r="L64" i="26"/>
  <c r="M64" i="26" s="1"/>
  <c r="J85" i="26"/>
  <c r="K69" i="26"/>
  <c r="K90" i="26"/>
  <c r="G80" i="26"/>
  <c r="G87" i="26"/>
  <c r="L89" i="26"/>
  <c r="M89" i="26" s="1"/>
  <c r="H57" i="26"/>
  <c r="H61" i="26"/>
  <c r="J71" i="26"/>
  <c r="H71" i="26"/>
  <c r="H64" i="26"/>
  <c r="K82" i="26"/>
  <c r="I83" i="26"/>
  <c r="H74" i="26"/>
  <c r="K54" i="26"/>
  <c r="H90" i="26"/>
  <c r="L83" i="26"/>
  <c r="M83" i="26" s="1"/>
  <c r="G76" i="26"/>
  <c r="J79" i="26"/>
  <c r="H55" i="26"/>
  <c r="H70" i="26"/>
  <c r="L84" i="26"/>
  <c r="M84" i="26" s="1"/>
  <c r="L60" i="26"/>
  <c r="M60" i="26" s="1"/>
  <c r="J63" i="26"/>
  <c r="L70" i="26"/>
  <c r="M70" i="26" s="1"/>
  <c r="K92" i="26"/>
  <c r="H89" i="26"/>
  <c r="L67" i="26"/>
  <c r="M67" i="26" s="1"/>
  <c r="I56" i="26"/>
  <c r="H78" i="26"/>
  <c r="K53" i="26"/>
  <c r="L69" i="26"/>
  <c r="M69" i="26" s="1"/>
  <c r="H72" i="26"/>
  <c r="G53" i="26"/>
  <c r="H53" i="26"/>
  <c r="J60" i="26"/>
  <c r="K76" i="26"/>
  <c r="L75" i="26"/>
  <c r="M75" i="26" s="1"/>
  <c r="J72" i="26"/>
  <c r="J61" i="26"/>
  <c r="H75" i="26"/>
  <c r="L53" i="26"/>
  <c r="M53" i="26" s="1"/>
  <c r="G82" i="26"/>
  <c r="G57" i="26"/>
  <c r="H87" i="26"/>
  <c r="K122" i="26"/>
  <c r="I131" i="26"/>
  <c r="L127" i="26"/>
  <c r="M127" i="26" s="1"/>
  <c r="G135" i="26"/>
  <c r="L140" i="26"/>
  <c r="M140" i="26" s="1"/>
  <c r="K132" i="26"/>
  <c r="K110" i="26"/>
  <c r="L123" i="26"/>
  <c r="M123" i="26" s="1"/>
  <c r="G127" i="26"/>
  <c r="H106" i="26"/>
  <c r="L143" i="26"/>
  <c r="M143" i="26" s="1"/>
  <c r="H109" i="26"/>
  <c r="H146" i="26"/>
  <c r="H104" i="26"/>
  <c r="L108" i="26"/>
  <c r="M108" i="26" s="1"/>
  <c r="H144" i="26"/>
  <c r="K128" i="26"/>
  <c r="G143" i="26"/>
  <c r="H142" i="26"/>
  <c r="H135" i="26"/>
  <c r="I121" i="26"/>
  <c r="G110" i="26"/>
  <c r="G128" i="26"/>
  <c r="H127" i="26"/>
  <c r="L104" i="26"/>
  <c r="M104" i="26" s="1"/>
  <c r="I134" i="26"/>
  <c r="L131" i="26"/>
  <c r="M131" i="26" s="1"/>
  <c r="G107" i="26"/>
  <c r="H126" i="26"/>
  <c r="L124" i="26"/>
  <c r="M124" i="26" s="1"/>
  <c r="H124" i="26"/>
  <c r="L133" i="26"/>
  <c r="M133" i="26" s="1"/>
  <c r="I132" i="26"/>
  <c r="I140" i="26"/>
  <c r="I144" i="26"/>
  <c r="K108" i="26"/>
  <c r="L103" i="26"/>
  <c r="M103" i="26" s="1"/>
  <c r="I136" i="26"/>
  <c r="L132" i="26"/>
  <c r="M132" i="26" s="1"/>
  <c r="H128" i="26"/>
  <c r="I106" i="26"/>
  <c r="J136" i="26"/>
  <c r="G103" i="26"/>
  <c r="J105" i="26"/>
  <c r="I123" i="26"/>
  <c r="G108" i="26"/>
  <c r="L122" i="26"/>
  <c r="M122" i="26" s="1"/>
  <c r="K123" i="26"/>
  <c r="H139" i="26"/>
  <c r="L107" i="26"/>
  <c r="M107" i="26" s="1"/>
  <c r="H107" i="26"/>
  <c r="J125" i="26"/>
  <c r="F103" i="26"/>
  <c r="J146" i="26"/>
  <c r="J109" i="26"/>
  <c r="G109" i="26"/>
  <c r="J107" i="26"/>
  <c r="J103" i="26"/>
  <c r="G144" i="26"/>
  <c r="G132" i="26"/>
  <c r="G104" i="26"/>
  <c r="G124" i="26"/>
  <c r="J122" i="26"/>
  <c r="J141" i="26"/>
  <c r="J123" i="26"/>
  <c r="K144" i="26"/>
  <c r="J126" i="26"/>
  <c r="H145" i="26"/>
  <c r="I124" i="26"/>
  <c r="L125" i="26"/>
  <c r="M125" i="26" s="1"/>
  <c r="I137" i="26"/>
  <c r="H110" i="26"/>
  <c r="L134" i="26"/>
  <c r="M134" i="26" s="1"/>
  <c r="I135" i="26"/>
  <c r="I104" i="26"/>
  <c r="K135" i="26"/>
  <c r="K106" i="26"/>
  <c r="J110" i="26"/>
  <c r="I133" i="26"/>
  <c r="I141" i="26"/>
  <c r="L130" i="26"/>
  <c r="M130" i="26" s="1"/>
  <c r="K121" i="26"/>
  <c r="J133" i="26"/>
  <c r="J127" i="26"/>
  <c r="J135" i="26"/>
  <c r="J124" i="26"/>
  <c r="J142" i="26"/>
  <c r="J108" i="26"/>
  <c r="J130" i="26"/>
  <c r="K109" i="26"/>
  <c r="H133" i="26"/>
  <c r="L137" i="26"/>
  <c r="M137" i="26" s="1"/>
  <c r="L136" i="26"/>
  <c r="M136" i="26" s="1"/>
  <c r="L119" i="26"/>
  <c r="M119" i="26" s="1"/>
  <c r="H108" i="26"/>
  <c r="K142" i="26"/>
  <c r="J144" i="26"/>
  <c r="K104" i="26"/>
  <c r="J132" i="26"/>
  <c r="K124" i="26"/>
  <c r="K143" i="26"/>
  <c r="K127" i="26"/>
  <c r="K141" i="26"/>
  <c r="K136" i="26"/>
  <c r="H103" i="26"/>
  <c r="K105" i="26"/>
  <c r="J140" i="26"/>
  <c r="J145" i="26"/>
  <c r="J131" i="26"/>
  <c r="K137" i="26"/>
  <c r="J121" i="26"/>
  <c r="K134" i="26"/>
  <c r="L142" i="26"/>
  <c r="M142" i="26" s="1"/>
  <c r="I108" i="26"/>
  <c r="H105" i="26"/>
  <c r="H125" i="26"/>
  <c r="I146" i="26"/>
  <c r="L146" i="26"/>
  <c r="M146" i="26" s="1"/>
  <c r="K131" i="26"/>
  <c r="K103" i="26"/>
  <c r="K130" i="26"/>
  <c r="J143" i="26"/>
  <c r="K107" i="26"/>
  <c r="I130" i="26"/>
  <c r="J128" i="26"/>
  <c r="K139" i="26"/>
  <c r="K126" i="26"/>
  <c r="J106" i="26"/>
  <c r="J139" i="26"/>
  <c r="I105" i="26"/>
  <c r="I128" i="26"/>
  <c r="K125" i="26"/>
  <c r="K146" i="26"/>
  <c r="K145" i="26"/>
  <c r="G142" i="26"/>
  <c r="G122" i="26"/>
  <c r="G146" i="26"/>
  <c r="G145" i="26"/>
  <c r="G126" i="26"/>
  <c r="G140" i="26"/>
  <c r="G123" i="26"/>
  <c r="G136" i="26"/>
  <c r="G105" i="26"/>
  <c r="G137" i="26"/>
  <c r="G131" i="26"/>
  <c r="G125" i="26"/>
  <c r="G139" i="26"/>
  <c r="O89" i="26"/>
  <c r="O62" i="26"/>
  <c r="N94" i="26"/>
  <c r="N71" i="26"/>
  <c r="O87" i="26"/>
  <c r="N63" i="26"/>
  <c r="N87" i="26"/>
  <c r="N89" i="26"/>
  <c r="O67" i="26"/>
  <c r="O74" i="26"/>
  <c r="N73" i="26"/>
  <c r="O53" i="26"/>
  <c r="N52" i="26"/>
  <c r="N76" i="26"/>
  <c r="O88" i="26"/>
  <c r="O72" i="26"/>
  <c r="N75" i="26"/>
  <c r="O55" i="26"/>
  <c r="N72" i="26"/>
  <c r="N60" i="26"/>
  <c r="O91" i="26"/>
  <c r="N81" i="26"/>
  <c r="O54" i="26"/>
  <c r="N84" i="26"/>
  <c r="O78" i="26"/>
  <c r="N66" i="26"/>
  <c r="N55" i="26"/>
  <c r="O66" i="26"/>
  <c r="O82" i="26"/>
  <c r="O76" i="26"/>
  <c r="O83" i="26"/>
  <c r="N92" i="26"/>
  <c r="O69" i="26"/>
  <c r="O61" i="26"/>
  <c r="N62" i="26"/>
  <c r="N93" i="26"/>
  <c r="N74" i="26"/>
  <c r="O94" i="26"/>
  <c r="O85" i="26"/>
  <c r="N85" i="26"/>
  <c r="O84" i="26"/>
  <c r="N83" i="26"/>
  <c r="O63" i="26"/>
  <c r="N54" i="26"/>
  <c r="N69" i="26"/>
  <c r="O56" i="26"/>
  <c r="N56" i="26"/>
  <c r="N65" i="26"/>
  <c r="N91" i="26"/>
  <c r="N58" i="26"/>
  <c r="O64" i="26"/>
  <c r="O75" i="26"/>
  <c r="N64" i="26"/>
  <c r="N70" i="26"/>
  <c r="O57" i="26"/>
  <c r="N57" i="26"/>
  <c r="O80" i="26"/>
  <c r="O58" i="26"/>
  <c r="O92" i="26"/>
  <c r="O90" i="26"/>
  <c r="N82" i="26"/>
  <c r="N88" i="26"/>
  <c r="O60" i="26"/>
  <c r="N78" i="26"/>
  <c r="O73" i="26"/>
  <c r="O79" i="26"/>
  <c r="N90" i="26"/>
  <c r="O71" i="26"/>
  <c r="N53" i="26"/>
  <c r="O70" i="26"/>
  <c r="O93" i="26"/>
  <c r="N67" i="26"/>
  <c r="O65" i="26"/>
  <c r="N79" i="26"/>
  <c r="N61" i="26"/>
  <c r="N80" i="26"/>
  <c r="O81" i="26"/>
  <c r="O52" i="26"/>
  <c r="F91" i="26" l="1"/>
  <c r="F89" i="26"/>
  <c r="F53" i="26"/>
  <c r="F69" i="26"/>
  <c r="F67" i="26"/>
  <c r="F88" i="26"/>
  <c r="F78" i="26"/>
  <c r="F90" i="26"/>
  <c r="F61" i="26"/>
  <c r="F82" i="26"/>
  <c r="F80" i="26"/>
  <c r="F62" i="26"/>
  <c r="F83" i="26"/>
  <c r="F93" i="26"/>
  <c r="F72" i="26"/>
  <c r="F94" i="26"/>
  <c r="F92" i="26"/>
  <c r="F87" i="26"/>
  <c r="F74" i="26"/>
  <c r="F85" i="26"/>
  <c r="F81" i="26"/>
  <c r="F55" i="26"/>
  <c r="F84" i="26"/>
  <c r="F79" i="26"/>
  <c r="F70" i="26"/>
  <c r="F76" i="26"/>
  <c r="F64" i="26"/>
  <c r="F71" i="26"/>
  <c r="F73" i="26"/>
  <c r="F75" i="26"/>
  <c r="F63" i="26"/>
  <c r="F54" i="26"/>
  <c r="F60" i="26"/>
  <c r="F66" i="26"/>
  <c r="F65" i="26"/>
  <c r="F56" i="26"/>
  <c r="F52" i="26"/>
  <c r="F58" i="26"/>
  <c r="F57" i="26"/>
  <c r="F11" i="35" l="1"/>
  <c r="F12" i="36"/>
  <c r="F13" i="28"/>
  <c r="F12" i="26"/>
  <c r="N135" i="26" l="1"/>
  <c r="O115" i="26"/>
  <c r="N119" i="26"/>
  <c r="N131" i="26"/>
  <c r="O105" i="26"/>
  <c r="N137" i="26"/>
  <c r="O123" i="26"/>
  <c r="N125" i="26"/>
  <c r="O133" i="26"/>
  <c r="O118" i="26"/>
  <c r="N133" i="26"/>
  <c r="O144" i="26"/>
  <c r="N107" i="26"/>
  <c r="N122" i="26"/>
  <c r="O145" i="26"/>
  <c r="N132" i="26"/>
  <c r="N136" i="26"/>
  <c r="N130" i="26"/>
  <c r="O116" i="26"/>
  <c r="N104" i="26"/>
  <c r="O109" i="26"/>
  <c r="O125" i="26"/>
  <c r="N115" i="26"/>
  <c r="O126" i="26"/>
  <c r="O139" i="26"/>
  <c r="N127" i="26"/>
  <c r="O141" i="26"/>
  <c r="N139" i="26"/>
  <c r="O117" i="26"/>
  <c r="N128" i="26"/>
  <c r="O140" i="26"/>
  <c r="O121" i="26"/>
  <c r="O107" i="26"/>
  <c r="N110" i="26"/>
  <c r="O106" i="26"/>
  <c r="O113" i="26"/>
  <c r="N106" i="26"/>
  <c r="O128" i="26"/>
  <c r="O132" i="26"/>
  <c r="O110" i="26"/>
  <c r="O112" i="26"/>
  <c r="O108" i="26"/>
  <c r="N113" i="26"/>
  <c r="O135" i="26"/>
  <c r="O119" i="26"/>
  <c r="N123" i="26"/>
  <c r="O143" i="26"/>
  <c r="N145" i="26"/>
  <c r="N143" i="26"/>
  <c r="O124" i="26"/>
  <c r="O136" i="26"/>
  <c r="O146" i="26"/>
  <c r="O131" i="26"/>
  <c r="N144" i="26"/>
  <c r="N116" i="26"/>
  <c r="O142" i="26"/>
  <c r="N112" i="26"/>
  <c r="N118" i="26"/>
  <c r="O127" i="26"/>
  <c r="O122" i="26"/>
  <c r="O134" i="26"/>
  <c r="N117" i="26"/>
  <c r="N121" i="26"/>
  <c r="O137" i="26"/>
  <c r="N114" i="26"/>
  <c r="N108" i="26"/>
  <c r="O114" i="26"/>
  <c r="N126" i="26"/>
  <c r="N105" i="26"/>
  <c r="N124" i="26"/>
  <c r="O104" i="26"/>
  <c r="N142" i="26"/>
  <c r="N146" i="26"/>
  <c r="N141" i="26"/>
  <c r="N109" i="26"/>
  <c r="O130" i="26"/>
  <c r="N134" i="26"/>
  <c r="N140" i="26"/>
  <c r="M38" i="4"/>
  <c r="F118" i="26" l="1"/>
  <c r="F116" i="26"/>
  <c r="F113" i="26"/>
  <c r="F117" i="26"/>
  <c r="F114" i="26"/>
  <c r="F115" i="26"/>
  <c r="F112" i="26"/>
  <c r="F119" i="26"/>
  <c r="F140" i="26"/>
  <c r="F144" i="26"/>
  <c r="F126" i="26"/>
  <c r="F105" i="26"/>
  <c r="F123" i="26"/>
  <c r="F145" i="26"/>
  <c r="F142" i="26"/>
  <c r="F109" i="26"/>
  <c r="F121" i="26"/>
  <c r="F143" i="26"/>
  <c r="F110" i="26"/>
  <c r="F141" i="26"/>
  <c r="F146" i="26"/>
  <c r="F134" i="26"/>
  <c r="F124" i="26"/>
  <c r="F139" i="26"/>
  <c r="F133" i="26"/>
  <c r="F131" i="26"/>
  <c r="F136" i="26"/>
  <c r="F132" i="26"/>
  <c r="F130" i="26"/>
  <c r="F137" i="26"/>
  <c r="F135" i="26"/>
  <c r="F127" i="26"/>
  <c r="F125" i="26"/>
  <c r="F128" i="26"/>
  <c r="F122" i="26"/>
  <c r="F108" i="26"/>
  <c r="F104" i="26"/>
  <c r="F107" i="26"/>
  <c r="F106" i="26"/>
  <c r="E38" i="4"/>
  <c r="O36" i="4"/>
  <c r="F13" i="18" l="1"/>
  <c r="C22" i="4" l="1"/>
  <c r="O51" i="26" l="1"/>
  <c r="F51" i="26" s="1"/>
</calcChain>
</file>

<file path=xl/sharedStrings.xml><?xml version="1.0" encoding="utf-8"?>
<sst xmlns="http://schemas.openxmlformats.org/spreadsheetml/2006/main" count="1694" uniqueCount="539">
  <si>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</si>
  <si>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</si>
  <si>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</si>
  <si>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</si>
  <si>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</si>
  <si>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</si>
  <si>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</si>
  <si>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</si>
  <si>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</si>
  <si>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</si>
  <si>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</si>
  <si>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</si>
  <si>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</si>
  <si>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</si>
  <si>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</si>
  <si>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</si>
  <si>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</si>
  <si>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</si>
  <si>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</si>
  <si>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</si>
  <si>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</si>
  <si>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</si>
  <si>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</si>
  <si>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</si>
  <si>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</si>
  <si>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</si>
  <si>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</si>
  <si>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</si>
  <si>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</si>
  <si>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</si>
  <si>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</si>
  <si>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</si>
  <si>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</si>
  <si>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</si>
  <si>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</si>
  <si>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</si>
  <si>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</si>
  <si>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</si>
  <si>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</si>
  <si>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</si>
  <si>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</si>
  <si>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</si>
  <si>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</si>
  <si>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</si>
  <si>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</si>
  <si>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</si>
  <si>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</si>
  <si>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</si>
  <si>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</si>
  <si>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</si>
  <si>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</si>
  <si>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</si>
  <si>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</si>
  <si>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</si>
  <si>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</si>
  <si>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</si>
  <si>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</si>
  <si>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</si>
  <si>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</si>
  <si>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</si>
  <si>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</si>
  <si>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</si>
  <si>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</si>
  <si>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</si>
  <si>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</si>
  <si>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</si>
  <si>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</si>
  <si>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</si>
  <si>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</si>
  <si>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</si>
  <si>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</si>
  <si>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</si>
  <si>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</si>
  <si>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</si>
  <si>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</si>
  <si>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</si>
  <si>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</si>
  <si>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</si>
  <si>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</si>
  <si>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</si>
  <si>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</si>
  <si>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</si>
  <si>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</si>
  <si>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</si>
  <si>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</si>
  <si>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</si>
  <si>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</si>
  <si>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</si>
  <si>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</si>
  <si>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</si>
  <si>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</si>
  <si>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</si>
  <si>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</si>
  <si>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</si>
  <si>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</si>
  <si>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</si>
  <si>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</si>
  <si>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</si>
  <si>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</si>
  <si>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</si>
  <si>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</si>
  <si>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</si>
  <si>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</si>
  <si>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</si>
  <si>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</si>
  <si>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</si>
  <si>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</si>
  <si>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</si>
  <si>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</si>
  <si>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</si>
  <si>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</si>
  <si>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</si>
  <si>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</si>
  <si>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</si>
  <si>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</si>
  <si>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</si>
  <si>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</si>
  <si>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</si>
  <si>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</si>
  <si>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</si>
  <si>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</si>
  <si>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</si>
  <si>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</si>
  <si>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</si>
  <si>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</si>
  <si>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</si>
  <si>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</si>
  <si>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</si>
  <si>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</si>
  <si>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</si>
  <si>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</si>
  <si>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</si>
  <si>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</si>
  <si>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</si>
  <si>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</si>
  <si>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</si>
  <si>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</si>
  <si>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</si>
  <si>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</si>
  <si>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</si>
  <si>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</si>
  <si>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</si>
  <si>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</si>
  <si>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</si>
  <si>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</si>
  <si>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</si>
  <si>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</si>
  <si>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</si>
  <si>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</si>
  <si>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</si>
  <si>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</si>
  <si>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</si>
  <si>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</si>
  <si>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</si>
  <si>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</si>
  <si>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</si>
  <si>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</si>
  <si>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</si>
  <si>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</si>
  <si>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</si>
  <si>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</si>
  <si>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</si>
  <si>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</si>
  <si>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</si>
  <si>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</si>
  <si>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</si>
  <si>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</si>
  <si>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</si>
  <si>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</si>
  <si>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</si>
  <si>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</si>
  <si>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</si>
  <si>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</si>
  <si>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</si>
  <si>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</si>
  <si>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</si>
  <si>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</si>
  <si>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</si>
  <si>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</si>
  <si>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</si>
  <si>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</si>
  <si>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</si>
  <si>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</si>
  <si>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</si>
  <si>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</si>
  <si>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</si>
  <si>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</si>
  <si>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</si>
  <si>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</si>
  <si>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</si>
  <si>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</si>
  <si>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</si>
  <si>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</si>
  <si>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</si>
  <si>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</si>
  <si>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</si>
  <si>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</si>
  <si>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</si>
  <si>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</si>
  <si>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</si>
  <si>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</si>
  <si>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</si>
  <si>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</si>
  <si>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</si>
  <si>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</si>
  <si>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</si>
  <si>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</si>
  <si>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</si>
  <si>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</si>
  <si>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</si>
  <si>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</si>
  <si>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</si>
  <si>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</si>
  <si>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</si>
  <si>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</si>
  <si>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</si>
  <si>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</si>
  <si>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</si>
  <si>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</si>
  <si>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</si>
  <si>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</si>
  <si>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</si>
  <si>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</si>
  <si>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</si>
  <si>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</si>
  <si>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</si>
  <si>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</si>
  <si>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</si>
  <si>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</si>
  <si>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</si>
  <si>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</si>
  <si>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</si>
  <si>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</si>
  <si>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</si>
  <si>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</si>
  <si>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</si>
  <si>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</si>
  <si>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</si>
  <si>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</si>
  <si>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</si>
  <si>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</si>
  <si>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</si>
  <si>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</si>
  <si>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</si>
  <si>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</si>
  <si>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</si>
  <si>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</si>
  <si>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</si>
  <si>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</si>
  <si>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</si>
  <si>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</si>
  <si>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</si>
  <si>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</si>
  <si>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</si>
  <si>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</si>
  <si>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</si>
  <si>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</si>
  <si>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</si>
  <si>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</si>
  <si>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</si>
  <si>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</si>
  <si>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</si>
  <si>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</si>
  <si>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</si>
  <si>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</si>
  <si>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</si>
  <si>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</si>
  <si>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</si>
  <si>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</si>
  <si>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</si>
  <si>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</si>
  <si>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</si>
  <si>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</si>
  <si>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</si>
  <si>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</si>
  <si>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</si>
  <si>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</si>
  <si>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</si>
  <si>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</si>
  <si>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</si>
  <si>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</si>
  <si>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</si>
  <si>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</si>
  <si>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</si>
  <si>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</si>
  <si>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</si>
  <si>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</si>
  <si>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</si>
  <si>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</si>
  <si>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</si>
  <si>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</si>
  <si>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</si>
  <si>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</si>
  <si>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</si>
  <si>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</si>
  <si>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</si>
  <si>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</si>
  <si>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</si>
  <si>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</si>
  <si>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</si>
  <si>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</si>
  <si>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</si>
  <si>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</si>
  <si>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</si>
  <si>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</si>
  <si>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</si>
  <si>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</si>
  <si>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</si>
  <si>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</si>
  <si>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</si>
  <si>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</si>
  <si>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</si>
  <si>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</si>
  <si>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</si>
  <si>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</si>
  <si>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</si>
  <si>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</si>
  <si>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</si>
  <si>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</si>
  <si>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</si>
  <si>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</si>
  <si>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</si>
  <si>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</si>
  <si>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</si>
  <si>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</si>
  <si>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</si>
  <si>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</si>
  <si>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</si>
  <si>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</si>
  <si>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</si>
  <si>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</si>
  <si>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</si>
  <si>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</si>
  <si>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</si>
  <si>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</si>
  <si>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</si>
  <si>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</si>
  <si>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</si>
  <si>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</si>
  <si>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</si>
  <si>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</si>
  <si>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</si>
  <si>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</si>
  <si>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</si>
  <si>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</si>
  <si>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</si>
  <si>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</si>
  <si>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</si>
  <si>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</si>
  <si>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</si>
  <si>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</si>
  <si>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</si>
  <si>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</si>
  <si>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</si>
  <si>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</si>
  <si>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</si>
  <si>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</si>
  <si>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</si>
  <si>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</si>
  <si>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</si>
  <si>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</si>
  <si>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</si>
  <si>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</si>
  <si>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</si>
  <si>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</si>
  <si>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</si>
  <si>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</si>
  <si>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</si>
  <si>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</si>
  <si>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</si>
  <si>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</si>
  <si>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</si>
  <si>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</si>
  <si>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</si>
  <si>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</si>
  <si>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</si>
  <si>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</si>
  <si>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</si>
  <si>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</si>
  <si>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</si>
  <si>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</si>
  <si>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</si>
  <si>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</si>
  <si>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</si>
  <si>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</si>
  <si>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</si>
  <si>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</si>
  <si>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</si>
  <si>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</si>
  <si>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</si>
  <si>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</si>
  <si>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</si>
  <si>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</si>
  <si>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</si>
  <si>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</si>
  <si>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</si>
  <si>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</si>
  <si>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</si>
  <si>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</si>
  <si>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</si>
  <si>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</si>
  <si>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</si>
  <si>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</si>
  <si>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</si>
  <si>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</si>
  <si>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</si>
  <si>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</si>
  <si>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</si>
  <si>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</si>
  <si>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</si>
  <si>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</si>
  <si>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</si>
  <si>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</si>
  <si>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</si>
  <si>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</si>
  <si>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</si>
  <si>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</si>
  <si>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</si>
  <si>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</si>
  <si>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</si>
  <si>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</si>
  <si>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</si>
  <si>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</si>
  <si>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</si>
  <si>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</si>
  <si>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</si>
  <si>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</si>
  <si>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</si>
  <si>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</si>
  <si>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</si>
  <si>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</si>
  <si>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</si>
  <si>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</si>
  <si>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</si>
  <si>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</si>
  <si>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</si>
  <si>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</si>
  <si>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</si>
  <si>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</si>
  <si>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</si>
  <si>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</si>
  <si>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</si>
  <si>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</si>
  <si>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</si>
  <si>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</si>
  <si>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</si>
  <si>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</si>
  <si>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</si>
  <si>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</si>
  <si>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</si>
  <si>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</si>
  <si>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</si>
  <si>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</si>
  <si>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</si>
  <si>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</si>
  <si>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</si>
  <si>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</si>
  <si>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</si>
  <si>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</si>
  <si>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</si>
  <si>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</si>
  <si>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</si>
  <si>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</si>
  <si>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</si>
  <si>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</si>
  <si>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</si>
  <si>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</si>
  <si>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</si>
  <si>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</si>
  <si>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</si>
  <si>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</si>
  <si>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</si>
  <si>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</si>
  <si>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</si>
  <si>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</si>
  <si>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</si>
  <si>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</si>
  <si>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</si>
  <si>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</si>
  <si>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</si>
  <si>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</si>
  <si>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</si>
  <si>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</si>
  <si>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</si>
  <si>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</si>
  <si>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</si>
  <si>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</si>
  <si>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</si>
  <si>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</si>
  <si>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</si>
  <si>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</si>
  <si>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</si>
  <si>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</si>
  <si>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</si>
  <si>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</si>
  <si>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</si>
  <si>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</si>
  <si>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</si>
  <si>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</si>
  <si>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</si>
  <si>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</si>
  <si>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</si>
  <si>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</si>
  <si>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</si>
  <si>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</si>
  <si>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</si>
  <si>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</si>
  <si>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</si>
  <si>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</si>
  <si>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</si>
  <si>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</si>
  <si>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</si>
  <si>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</si>
  <si>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</si>
  <si>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</si>
  <si>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</si>
  <si>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</si>
  <si>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</si>
  <si>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User Input</t>
  </si>
  <si>
    <t>(Converted to lbs)</t>
  </si>
  <si>
    <t>Load Sharing Areas</t>
  </si>
  <si>
    <t>FOR USE IN SOFTWARE:</t>
  </si>
  <si>
    <t>|</t>
  </si>
  <si>
    <t>V</t>
  </si>
  <si>
    <t>Data for use in software:</t>
  </si>
  <si>
    <t>COLUMN TO BE HIDDEN:</t>
  </si>
  <si>
    <t>0_5_1</t>
  </si>
  <si>
    <t>Added 0/1 binary flag for landscape/portrait and with/without deflectors (at request of software developer) Also, added a column in the 10d and 5d tabs to read "User Input Load Sharing Areas", and converted the output into lbs for easier manipulation in the software.</t>
  </si>
  <si>
    <t>0_5_2</t>
  </si>
  <si>
    <t>changed Binary flags, moved around landscape data for easier software interaction.</t>
  </si>
  <si>
    <t>0_5_2 REDUX</t>
  </si>
  <si>
    <t>deleted tabs that are unnecessary to ballast calculation</t>
  </si>
  <si>
    <t>Ted Bleecker</t>
  </si>
  <si>
    <t>Gexpro Atlanta</t>
  </si>
  <si>
    <t>Hannah Solar</t>
  </si>
  <si>
    <t>807 E Main</t>
  </si>
  <si>
    <t>807 E Main St</t>
  </si>
  <si>
    <t>SolarWorld</t>
  </si>
  <si>
    <t>SW345XL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</si>
</sst>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s>
  <fonts count="78"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sz val="10"/>
      <color rgb="FF000000"/>
      <name val="Arial"/>
      <family val="2"/>
    </font>
    <font>
      <b/>
      <i/>
      <sz val="10"/>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i/>
      <sz val="10"/>
      <color theme="1" tint="0.34998626667073579"/>
      <name val="Arial"/>
      <family val="2"/>
    </font>
    <font>
      <b/>
      <i/>
      <sz val="10"/>
      <color theme="1" tint="0.34998626667073579"/>
      <name val="Arial"/>
      <family val="2"/>
    </font>
  </fonts>
  <fills count="50">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s>
  <borders count="17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1847">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2" fontId="2" fillId="0" borderId="0" xfId="1" applyNumberFormat="1" applyFont="1" applyFill="1" applyBorder="1" applyAlignment="1">
      <alignmen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2" fontId="2" fillId="3" borderId="7" xfId="1" applyNumberFormat="1" applyFont="1" applyFill="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2" fontId="2" fillId="4" borderId="7" xfId="1" applyNumberFormat="1" applyFont="1" applyFill="1" applyBorder="1" applyAlignment="1">
      <alignment vertical="center"/>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164" fontId="2" fillId="4" borderId="60" xfId="1" applyNumberFormat="1" applyFont="1" applyFill="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2" fontId="2" fillId="21" borderId="11" xfId="1" applyNumberFormat="1" applyFont="1" applyFill="1" applyBorder="1" applyAlignment="1">
      <alignment vertical="center"/>
    </xf>
    <xf numFmtId="2" fontId="2" fillId="21" borderId="7" xfId="1" applyNumberFormat="1" applyFont="1" applyFill="1" applyBorder="1" applyAlignment="1">
      <alignment vertical="center"/>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4" fillId="45" borderId="83" xfId="0" applyNumberFormat="1" applyFont="1" applyFill="1" applyBorder="1" applyAlignment="1">
      <alignment vertical="center" wrapText="1"/>
    </xf>
    <xf numFmtId="0" fontId="63"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1" fillId="46" borderId="99" xfId="0" applyNumberFormat="1" applyFont="1" applyFill="1" applyBorder="1" applyAlignment="1">
      <alignment horizontal="center" vertical="center" wrapText="1"/>
    </xf>
    <xf numFmtId="0" fontId="61" fillId="46" borderId="66" xfId="0" applyNumberFormat="1" applyFont="1" applyFill="1" applyBorder="1" applyAlignment="1">
      <alignment horizontal="center" vertical="center" wrapText="1"/>
    </xf>
    <xf numFmtId="0" fontId="61" fillId="46" borderId="110" xfId="0" applyNumberFormat="1" applyFont="1" applyFill="1" applyBorder="1" applyAlignment="1">
      <alignment horizontal="center" vertical="center" wrapText="1"/>
    </xf>
    <xf numFmtId="171" fontId="61" fillId="46" borderId="66" xfId="0" applyNumberFormat="1" applyFont="1" applyFill="1" applyBorder="1" applyAlignment="1">
      <alignment horizontal="center" vertical="center"/>
    </xf>
    <xf numFmtId="171" fontId="61" fillId="46" borderId="29" xfId="0" applyNumberFormat="1" applyFont="1" applyFill="1" applyBorder="1" applyAlignment="1">
      <alignment horizontal="center" vertical="center"/>
    </xf>
    <xf numFmtId="0" fontId="61" fillId="46" borderId="66" xfId="0" applyNumberFormat="1" applyFont="1" applyFill="1" applyBorder="1" applyAlignment="1">
      <alignment horizontal="center" vertical="center"/>
    </xf>
    <xf numFmtId="0" fontId="61"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1" fillId="46" borderId="99" xfId="0" applyNumberFormat="1" applyFont="1" applyFill="1" applyBorder="1" applyAlignment="1">
      <alignment horizontal="left" vertical="center"/>
    </xf>
    <xf numFmtId="0" fontId="60" fillId="0" borderId="4" xfId="0" applyNumberFormat="1" applyFont="1" applyFill="1" applyBorder="1" applyAlignment="1"/>
    <xf numFmtId="0" fontId="66"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69" fillId="0" borderId="0" xfId="0" applyNumberFormat="1" applyFont="1" applyFill="1" applyBorder="1" applyAlignment="1">
      <alignment horizontal="left"/>
    </xf>
    <xf numFmtId="0" fontId="70" fillId="0" borderId="0" xfId="0" applyFont="1" applyFill="1" applyBorder="1" applyAlignment="1">
      <alignment vertical="center"/>
    </xf>
    <xf numFmtId="0" fontId="69" fillId="0" borderId="0" xfId="0" applyNumberFormat="1" applyFont="1" applyFill="1" applyBorder="1" applyAlignment="1"/>
    <xf numFmtId="0" fontId="69" fillId="0" borderId="4" xfId="0" applyNumberFormat="1" applyFont="1" applyFill="1" applyBorder="1" applyAlignment="1"/>
    <xf numFmtId="0" fontId="60" fillId="0" borderId="4" xfId="0" applyNumberFormat="1" applyFont="1" applyFill="1" applyBorder="1" applyAlignment="1">
      <alignment wrapText="1"/>
    </xf>
    <xf numFmtId="0" fontId="71" fillId="47" borderId="7" xfId="0" applyNumberFormat="1" applyFont="1" applyFill="1" applyBorder="1" applyAlignment="1">
      <alignment horizontal="center" vertical="center"/>
    </xf>
    <xf numFmtId="0" fontId="60" fillId="0" borderId="18" xfId="0" applyNumberFormat="1" applyFont="1" applyFill="1" applyBorder="1" applyAlignment="1">
      <alignment wrapText="1"/>
    </xf>
    <xf numFmtId="0" fontId="69" fillId="0" borderId="7" xfId="0" applyNumberFormat="1" applyFont="1" applyFill="1" applyBorder="1" applyAlignment="1">
      <alignment horizontal="center" vertical="center"/>
    </xf>
    <xf numFmtId="180" fontId="69" fillId="0" borderId="29" xfId="0" applyNumberFormat="1" applyFont="1" applyFill="1" applyBorder="1" applyAlignment="1"/>
    <xf numFmtId="180" fontId="71" fillId="47" borderId="7" xfId="0" applyNumberFormat="1" applyFont="1" applyFill="1" applyBorder="1" applyAlignment="1">
      <alignment horizontal="center" vertical="center"/>
    </xf>
    <xf numFmtId="1" fontId="60" fillId="0" borderId="7" xfId="0" applyNumberFormat="1" applyFont="1" applyFill="1" applyBorder="1" applyAlignment="1">
      <alignment horizontal="center" vertical="center"/>
    </xf>
    <xf numFmtId="171" fontId="60" fillId="0" borderId="7" xfId="0" applyNumberFormat="1" applyFont="1" applyFill="1" applyBorder="1" applyAlignment="1">
      <alignment vertical="center"/>
    </xf>
    <xf numFmtId="0" fontId="72" fillId="47" borderId="0" xfId="0" applyNumberFormat="1" applyFont="1" applyFill="1" applyBorder="1" applyAlignment="1"/>
    <xf numFmtId="176" fontId="60" fillId="48" borderId="7" xfId="0" applyNumberFormat="1" applyFont="1" applyFill="1" applyBorder="1" applyAlignment="1">
      <alignment vertical="center"/>
    </xf>
    <xf numFmtId="4" fontId="60" fillId="0" borderId="7" xfId="0" applyNumberFormat="1" applyFont="1" applyFill="1" applyBorder="1" applyAlignment="1">
      <alignment vertical="center"/>
    </xf>
    <xf numFmtId="181" fontId="60" fillId="48" borderId="7" xfId="0" applyNumberFormat="1" applyFont="1" applyFill="1" applyBorder="1" applyAlignment="1">
      <alignment horizontal="center" vertical="center"/>
    </xf>
    <xf numFmtId="0" fontId="60" fillId="0" borderId="99" xfId="0" applyNumberFormat="1" applyFont="1" applyFill="1" applyBorder="1" applyAlignment="1">
      <alignment horizontal="left"/>
    </xf>
    <xf numFmtId="0" fontId="74" fillId="0" borderId="66" xfId="0" applyNumberFormat="1" applyFont="1" applyFill="1" applyBorder="1" applyAlignment="1">
      <alignment horizontal="center"/>
    </xf>
    <xf numFmtId="3" fontId="60" fillId="0" borderId="83" xfId="0" applyNumberFormat="1" applyFont="1" applyFill="1" applyBorder="1" applyAlignment="1">
      <alignment horizontal="right"/>
    </xf>
    <xf numFmtId="0" fontId="75" fillId="0" borderId="83" xfId="0" applyNumberFormat="1" applyFont="1" applyFill="1" applyBorder="1" applyAlignment="1">
      <alignment horizontal="right" wrapText="1"/>
    </xf>
    <xf numFmtId="0" fontId="60" fillId="0" borderId="18" xfId="0" applyNumberFormat="1" applyFont="1" applyFill="1" applyBorder="1" applyAlignment="1">
      <alignment horizontal="left"/>
    </xf>
    <xf numFmtId="0" fontId="60" fillId="0" borderId="0" xfId="0" applyNumberFormat="1" applyFont="1" applyFill="1" applyBorder="1" applyAlignment="1">
      <alignment wrapText="1"/>
    </xf>
    <xf numFmtId="0" fontId="60" fillId="0" borderId="33" xfId="0" applyNumberFormat="1" applyFont="1" applyFill="1" applyBorder="1" applyAlignment="1">
      <alignment horizontal="right"/>
    </xf>
    <xf numFmtId="0" fontId="75" fillId="0" borderId="33" xfId="0" applyNumberFormat="1" applyFont="1" applyFill="1" applyBorder="1" applyAlignment="1">
      <alignment horizontal="right" wrapText="1"/>
    </xf>
    <xf numFmtId="0" fontId="60" fillId="0" borderId="18" xfId="0" applyNumberFormat="1" applyFont="1" applyFill="1" applyBorder="1" applyAlignment="1"/>
    <xf numFmtId="0" fontId="60" fillId="0" borderId="0" xfId="0" applyNumberFormat="1" applyFont="1" applyFill="1" applyBorder="1" applyAlignment="1"/>
    <xf numFmtId="0" fontId="60" fillId="0" borderId="33" xfId="0" applyNumberFormat="1" applyFont="1" applyFill="1" applyBorder="1" applyAlignment="1"/>
    <xf numFmtId="2" fontId="60" fillId="0" borderId="33" xfId="0" applyNumberFormat="1" applyFont="1" applyFill="1" applyBorder="1" applyAlignment="1"/>
    <xf numFmtId="1" fontId="60" fillId="0" borderId="33" xfId="0" applyNumberFormat="1" applyFont="1" applyFill="1" applyBorder="1" applyAlignment="1">
      <alignment horizontal="right"/>
    </xf>
    <xf numFmtId="2" fontId="60" fillId="0" borderId="33" xfId="0" applyNumberFormat="1" applyFont="1" applyFill="1" applyBorder="1" applyAlignment="1">
      <alignment horizontal="right"/>
    </xf>
    <xf numFmtId="0" fontId="73" fillId="49" borderId="46" xfId="0" applyNumberFormat="1" applyFont="1" applyFill="1" applyBorder="1" applyAlignment="1">
      <alignment horizontal="left" vertical="center"/>
    </xf>
    <xf numFmtId="0" fontId="73" fillId="49" borderId="29" xfId="0" applyNumberFormat="1" applyFont="1" applyFill="1" applyBorder="1" applyAlignment="1">
      <alignment horizontal="left" vertical="center"/>
    </xf>
    <xf numFmtId="0" fontId="73" fillId="49" borderId="47" xfId="0" applyNumberFormat="1" applyFont="1" applyFill="1" applyBorder="1" applyAlignment="1">
      <alignment horizontal="left" vertical="center"/>
    </xf>
    <xf numFmtId="0" fontId="75" fillId="0" borderId="0" xfId="0" applyNumberFormat="1" applyFont="1" applyFill="1" applyBorder="1" applyAlignment="1">
      <alignment horizontal="right" wrapText="1"/>
    </xf>
    <xf numFmtId="0" fontId="60" fillId="0" borderId="46" xfId="0" applyNumberFormat="1" applyFont="1" applyFill="1" applyBorder="1" applyAlignment="1">
      <alignment horizontal="left"/>
    </xf>
    <xf numFmtId="0" fontId="60" fillId="0" borderId="29" xfId="0" applyNumberFormat="1" applyFont="1" applyFill="1" applyBorder="1" applyAlignment="1">
      <alignment vertical="center"/>
    </xf>
    <xf numFmtId="0" fontId="60" fillId="0" borderId="29" xfId="0" applyNumberFormat="1" applyFont="1" applyFill="1" applyBorder="1" applyAlignment="1">
      <alignment wrapText="1"/>
    </xf>
    <xf numFmtId="0" fontId="60" fillId="0" borderId="29" xfId="0" applyNumberFormat="1" applyFont="1" applyFill="1" applyBorder="1" applyAlignment="1">
      <alignment horizontal="center" vertical="center"/>
    </xf>
    <xf numFmtId="0" fontId="60" fillId="0" borderId="47" xfId="0" applyNumberFormat="1" applyFont="1" applyFill="1" applyBorder="1" applyAlignment="1"/>
    <xf numFmtId="0" fontId="65" fillId="0" borderId="0" xfId="0" applyNumberFormat="1" applyFont="1" applyFill="1" applyBorder="1" applyAlignment="1">
      <alignment vertical="justify" wrapText="1"/>
    </xf>
    <xf numFmtId="0" fontId="68" fillId="0" borderId="66" xfId="0" applyNumberFormat="1" applyFont="1" applyFill="1" applyBorder="1" applyAlignment="1"/>
    <xf numFmtId="0" fontId="60" fillId="0" borderId="66" xfId="0" applyNumberFormat="1" applyFont="1" applyFill="1" applyBorder="1" applyAlignment="1"/>
    <xf numFmtId="0" fontId="71" fillId="47" borderId="46"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180" fontId="71" fillId="47" borderId="46" xfId="0" applyNumberFormat="1" applyFont="1" applyFill="1" applyBorder="1" applyAlignment="1">
      <alignment horizontal="center" vertical="center"/>
    </xf>
    <xf numFmtId="0" fontId="60" fillId="0" borderId="7" xfId="0" applyNumberFormat="1" applyFont="1" applyFill="1" applyBorder="1" applyAlignment="1">
      <alignment horizontal="left" vertical="center"/>
    </xf>
    <xf numFmtId="0" fontId="60"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69" fillId="0" borderId="0" xfId="0" applyNumberFormat="1" applyFont="1" applyFill="1" applyBorder="1" applyAlignment="1">
      <alignment horizontal="left" vertical="top"/>
    </xf>
    <xf numFmtId="171" fontId="69" fillId="0" borderId="0" xfId="0" applyNumberFormat="1" applyFont="1" applyFill="1" applyBorder="1" applyAlignment="1">
      <alignment horizontal="right"/>
    </xf>
    <xf numFmtId="0" fontId="72" fillId="0" borderId="0" xfId="0" applyNumberFormat="1" applyFont="1" applyFill="1" applyBorder="1" applyAlignment="1">
      <alignment horizontal="center" vertical="center" wrapText="1"/>
    </xf>
    <xf numFmtId="0" fontId="60" fillId="0" borderId="29" xfId="0" applyNumberFormat="1" applyFont="1" applyFill="1" applyBorder="1" applyAlignment="1">
      <alignment horizontal="left" vertical="center"/>
    </xf>
    <xf numFmtId="171" fontId="60"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0" fillId="48" borderId="7" xfId="0" applyNumberFormat="1" applyFont="1" applyFill="1" applyBorder="1" applyAlignment="1">
      <alignment horizontal="right" vertical="center"/>
    </xf>
    <xf numFmtId="0" fontId="72" fillId="47" borderId="0" xfId="0" applyNumberFormat="1" applyFont="1" applyFill="1" applyBorder="1" applyAlignment="1">
      <alignment horizontal="right"/>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2"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2" xfId="1" applyNumberFormat="1" applyFont="1" applyFill="1" applyBorder="1" applyAlignment="1">
      <alignment horizontal="center" vertical="center"/>
    </xf>
    <xf numFmtId="164" fontId="2" fillId="21" borderId="165"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6"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6"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4" xfId="1" applyNumberFormat="1" applyFont="1" applyFill="1" applyBorder="1" applyAlignment="1">
      <alignment horizontal="center" vertical="center"/>
    </xf>
    <xf numFmtId="164" fontId="2" fillId="0" borderId="162" xfId="1" applyNumberFormat="1" applyFont="1" applyFill="1" applyBorder="1" applyAlignment="1">
      <alignment horizontal="center" vertical="center"/>
    </xf>
    <xf numFmtId="164" fontId="2" fillId="0" borderId="162" xfId="1" applyNumberForma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60"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76" fillId="43" borderId="31" xfId="1" applyNumberFormat="1" applyFont="1" applyFill="1" applyBorder="1" applyAlignment="1">
      <alignment horizontal="center" vertical="center"/>
    </xf>
    <xf numFmtId="164" fontId="76" fillId="43" borderId="0" xfId="1" applyNumberFormat="1" applyFont="1" applyFill="1" applyBorder="1" applyAlignment="1">
      <alignment horizontal="center" vertical="center"/>
    </xf>
    <xf numFmtId="164" fontId="76" fillId="43" borderId="89" xfId="1" applyNumberFormat="1" applyFont="1" applyFill="1" applyBorder="1" applyAlignment="1">
      <alignment horizontal="center" vertical="center"/>
    </xf>
    <xf numFmtId="164" fontId="76" fillId="43" borderId="93" xfId="1" applyNumberFormat="1" applyFont="1" applyFill="1" applyBorder="1" applyAlignment="1">
      <alignment horizontal="center" vertical="center"/>
    </xf>
    <xf numFmtId="164" fontId="76"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76" fillId="43" borderId="2" xfId="1" applyNumberFormat="1" applyFont="1" applyFill="1" applyBorder="1" applyAlignment="1">
      <alignment horizontal="center" vertical="center"/>
    </xf>
    <xf numFmtId="164" fontId="76" fillId="43" borderId="3" xfId="1" applyNumberFormat="1" applyFont="1" applyFill="1" applyBorder="1" applyAlignment="1">
      <alignment horizontal="center" vertical="center"/>
    </xf>
    <xf numFmtId="164" fontId="76" fillId="43" borderId="87" xfId="1" applyNumberFormat="1" applyFont="1" applyFill="1" applyBorder="1" applyAlignment="1">
      <alignment horizontal="center" vertical="center"/>
    </xf>
    <xf numFmtId="164" fontId="76"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3"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 fontId="34" fillId="0" borderId="0" xfId="0" applyNumberFormat="1" applyFont="1" applyAlignment="1">
      <alignment horizontal="left" vertical="center"/>
    </xf>
    <xf numFmtId="0" fontId="8"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8" fillId="39" borderId="0" xfId="0" applyFont="1" applyFill="1" applyBorder="1" applyAlignment="1" applyProtection="1">
      <alignment vertical="center" wrapText="1"/>
    </xf>
    <xf numFmtId="0" fontId="0" fillId="40" borderId="0" xfId="0" applyFill="1" applyBorder="1" applyAlignment="1" applyProtection="1">
      <alignment vertical="center"/>
    </xf>
    <xf numFmtId="0" fontId="6" fillId="41" borderId="0" xfId="0" applyFont="1" applyFill="1" applyBorder="1" applyAlignment="1" applyProtection="1">
      <alignment vertical="center"/>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2" fillId="44" borderId="46" xfId="0" applyNumberFormat="1" applyFont="1" applyFill="1" applyBorder="1" applyAlignment="1">
      <alignment horizontal="center"/>
    </xf>
    <xf numFmtId="0" fontId="62" fillId="44" borderId="29" xfId="0" applyNumberFormat="1" applyFont="1" applyFill="1" applyBorder="1" applyAlignment="1">
      <alignment horizontal="center"/>
    </xf>
    <xf numFmtId="0" fontId="62" fillId="44" borderId="47" xfId="0" applyNumberFormat="1" applyFont="1" applyFill="1" applyBorder="1" applyAlignment="1">
      <alignment horizontal="center"/>
    </xf>
    <xf numFmtId="0" fontId="63" fillId="45" borderId="78" xfId="0" applyNumberFormat="1" applyFont="1" applyFill="1" applyBorder="1" applyAlignment="1">
      <alignment horizontal="left" vertical="center"/>
    </xf>
    <xf numFmtId="0" fontId="63" fillId="45" borderId="4" xfId="0" applyNumberFormat="1" applyFont="1" applyFill="1" applyBorder="1" applyAlignment="1">
      <alignment horizontal="left" vertical="center"/>
    </xf>
    <xf numFmtId="0" fontId="63" fillId="45" borderId="62" xfId="0" applyNumberFormat="1" applyFont="1" applyFill="1" applyBorder="1" applyAlignment="1">
      <alignment horizontal="left" vertical="center"/>
    </xf>
    <xf numFmtId="0" fontId="64" fillId="45" borderId="46" xfId="0" applyNumberFormat="1" applyFont="1" applyFill="1" applyBorder="1" applyAlignment="1">
      <alignment horizontal="left" vertical="center"/>
    </xf>
    <xf numFmtId="0" fontId="64" fillId="45" borderId="29" xfId="0" applyNumberFormat="1" applyFont="1" applyFill="1" applyBorder="1" applyAlignment="1">
      <alignment horizontal="left" vertical="center"/>
    </xf>
    <xf numFmtId="0" fontId="64" fillId="45" borderId="47" xfId="0" applyNumberFormat="1" applyFont="1" applyFill="1" applyBorder="1" applyAlignment="1">
      <alignment horizontal="left" vertical="center"/>
    </xf>
    <xf numFmtId="0" fontId="64" fillId="45" borderId="78" xfId="0" applyNumberFormat="1" applyFont="1" applyFill="1" applyBorder="1" applyAlignment="1">
      <alignment horizontal="left" vertical="center"/>
    </xf>
    <xf numFmtId="0" fontId="64" fillId="45" borderId="4" xfId="0" applyNumberFormat="1" applyFont="1" applyFill="1" applyBorder="1" applyAlignment="1">
      <alignment horizontal="left" vertical="center"/>
    </xf>
    <xf numFmtId="0" fontId="67" fillId="0" borderId="4" xfId="0" applyNumberFormat="1" applyFont="1" applyFill="1" applyBorder="1" applyAlignment="1">
      <alignment horizontal="right"/>
    </xf>
    <xf numFmtId="179" fontId="69" fillId="0" borderId="0" xfId="0" applyNumberFormat="1" applyFont="1" applyFill="1" applyBorder="1" applyAlignment="1">
      <alignment horizontal="left"/>
    </xf>
    <xf numFmtId="0" fontId="65" fillId="0" borderId="0" xfId="0" applyNumberFormat="1" applyFont="1" applyFill="1" applyBorder="1" applyAlignment="1">
      <alignment horizontal="left" vertical="justify" wrapText="1"/>
    </xf>
    <xf numFmtId="0" fontId="71" fillId="47" borderId="46" xfId="0" applyNumberFormat="1" applyFont="1" applyFill="1" applyBorder="1" applyAlignment="1">
      <alignment horizontal="center" vertical="center" wrapText="1"/>
    </xf>
    <xf numFmtId="0" fontId="71" fillId="47" borderId="29" xfId="0" applyNumberFormat="1" applyFont="1" applyFill="1" applyBorder="1" applyAlignment="1">
      <alignment horizontal="center" vertical="center" wrapText="1"/>
    </xf>
    <xf numFmtId="0" fontId="71" fillId="47" borderId="47"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0" fontId="69" fillId="0" borderId="29" xfId="0" applyNumberFormat="1" applyFon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66"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167" fontId="2" fillId="4" borderId="107" xfId="1" applyNumberFormat="1" applyFill="1" applyBorder="1" applyAlignment="1">
      <alignment horizontal="left" vertical="center"/>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0" fontId="5" fillId="0" borderId="33" xfId="1" applyFont="1" applyBorder="1" applyAlignment="1">
      <alignment horizontal="center" vertical="center"/>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69"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1" fontId="2" fillId="27" borderId="169"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0" fontId="39" fillId="0" borderId="0" xfId="1" applyFont="1" applyFill="1" applyBorder="1" applyAlignment="1">
      <alignment horizontal="center" vertical="center" wrapText="1"/>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69" xfId="1" applyFont="1" applyFill="1" applyBorder="1" applyAlignment="1">
      <alignment horizontal="center" vertical="center"/>
    </xf>
    <xf numFmtId="0" fontId="6" fillId="0" borderId="170" xfId="1" applyFont="1" applyFill="1" applyBorder="1" applyAlignment="1">
      <alignment horizontal="center" vertical="center"/>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69"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1" fontId="34" fillId="28" borderId="138" xfId="0" applyNumberFormat="1" applyFont="1" applyFill="1" applyBorder="1" applyAlignment="1">
      <alignment horizontal="center" vertical="center" wrapText="1"/>
    </xf>
    <xf numFmtId="1" fontId="34" fillId="28" borderId="169"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2" fillId="24" borderId="138" xfId="1" applyNumberFormat="1" applyFont="1" applyFill="1" applyBorder="1" applyAlignment="1">
      <alignment horizontal="center" vertical="center" wrapText="1"/>
    </xf>
    <xf numFmtId="1" fontId="2" fillId="24" borderId="169"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33" borderId="138" xfId="1" applyNumberFormat="1" applyFont="1" applyFill="1" applyBorder="1" applyAlignment="1">
      <alignment horizontal="center" vertical="center" wrapText="1"/>
    </xf>
    <xf numFmtId="1" fontId="2" fillId="33" borderId="169"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4" borderId="138" xfId="1" applyNumberFormat="1" applyFont="1" applyFill="1" applyBorder="1" applyAlignment="1">
      <alignment horizontal="center" vertical="center" wrapText="1"/>
    </xf>
    <xf numFmtId="1" fontId="2" fillId="34" borderId="169"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69"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8" borderId="138" xfId="0" applyNumberFormat="1" applyFont="1" applyFill="1" applyBorder="1" applyAlignment="1">
      <alignment horizontal="center" vertical="center" wrapText="1"/>
    </xf>
    <xf numFmtId="1" fontId="2" fillId="28" borderId="169"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69"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164" fontId="6" fillId="0" borderId="148"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164" fontId="77" fillId="0" borderId="150" xfId="1" applyNumberFormat="1" applyFont="1" applyFill="1" applyBorder="1" applyAlignment="1">
      <alignment horizontal="center" vertical="center" wrapText="1"/>
    </xf>
    <xf numFmtId="164" fontId="77" fillId="0" borderId="151" xfId="1" applyNumberFormat="1" applyFont="1" applyFill="1" applyBorder="1" applyAlignment="1">
      <alignment horizontal="center" vertical="center" wrapText="1"/>
    </xf>
    <xf numFmtId="0" fontId="76" fillId="0" borderId="31" xfId="1" applyFont="1" applyFill="1" applyBorder="1" applyAlignment="1">
      <alignment horizontal="center" vertical="center" wrapText="1"/>
    </xf>
    <xf numFmtId="0" fontId="76" fillId="0" borderId="104" xfId="1" applyFont="1" applyFill="1" applyBorder="1" applyAlignment="1">
      <alignment horizontal="center" vertical="center" wrapText="1"/>
    </xf>
    <xf numFmtId="0" fontId="76" fillId="0" borderId="151" xfId="1" applyFont="1" applyFill="1" applyBorder="1" applyAlignment="1">
      <alignment horizontal="center" vertical="center" wrapText="1"/>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2" fontId="6" fillId="0" borderId="172" xfId="66"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2" fillId="0" borderId="151" xfId="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3" xfId="1" applyFont="1" applyFill="1" applyBorder="1" applyAlignment="1">
      <alignment horizontal="center" vertical="center" wrapText="1"/>
    </xf>
    <xf numFmtId="0" fontId="2" fillId="0" borderId="160" xfId="1" applyFont="1" applyFill="1" applyBorder="1" applyAlignment="1">
      <alignment horizontal="center" vertical="center" wrapText="1"/>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69" xfId="1" applyFont="1" applyFill="1" applyBorder="1" applyAlignment="1">
      <alignment horizontal="center" vertical="center"/>
    </xf>
    <xf numFmtId="0" fontId="5" fillId="2" borderId="156" xfId="1" applyFont="1" applyFill="1" applyBorder="1" applyAlignment="1">
      <alignment horizontal="center" vertical="center"/>
    </xf>
    <xf numFmtId="0" fontId="6" fillId="0" borderId="157"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0" fillId="0" borderId="72" xfId="0" applyBorder="1" applyAlignment="1">
      <alignment horizontal="center" wrapText="1"/>
    </xf>
    <xf numFmtId="0" fontId="0" fillId="0" borderId="142" xfId="0" applyBorder="1" applyAlignment="1">
      <alignment horizontal="center" wrapText="1"/>
    </xf>
    <xf numFmtId="0" fontId="0" fillId="0" borderId="53" xfId="0" applyBorder="1" applyAlignment="1">
      <alignment horizontal="center" wrapText="1"/>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0" fontId="0" fillId="0" borderId="52" xfId="0" applyBorder="1" applyAlignment="1">
      <alignment horizontal="center" wrapText="1"/>
    </xf>
    <xf numFmtId="0" fontId="2" fillId="0" borderId="164" xfId="1" applyFont="1" applyFill="1" applyBorder="1" applyAlignment="1">
      <alignment horizontal="center" vertical="center" wrapText="1"/>
    </xf>
    <xf numFmtId="0" fontId="2" fillId="0" borderId="171" xfId="1" applyFont="1" applyFill="1" applyBorder="1" applyAlignment="1">
      <alignment horizontal="center" vertical="center" wrapText="1"/>
    </xf>
    <xf numFmtId="164" fontId="6" fillId="0" borderId="151" xfId="1" applyNumberFormat="1" applyFont="1" applyFill="1" applyBorder="1" applyAlignment="1">
      <alignment horizontal="center" vertical="center" wrapText="1"/>
    </xf>
    <xf numFmtId="164" fontId="6" fillId="0" borderId="71" xfId="1" applyNumberFormat="1" applyFont="1" applyFill="1" applyBorder="1" applyAlignment="1">
      <alignment horizontal="center" vertical="center"/>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0" fillId="0" borderId="51" xfId="0" applyBorder="1" applyAlignment="1">
      <alignment horizontal="center" wrapText="1"/>
    </xf>
    <xf numFmtId="0" fontId="2" fillId="0" borderId="162" xfId="1" applyFont="1" applyFill="1" applyBorder="1" applyAlignment="1">
      <alignment horizontal="center" vertical="center" wrapText="1"/>
    </xf>
    <xf numFmtId="0" fontId="2" fillId="0" borderId="163" xfId="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64" fontId="6" fillId="0" borderId="160" xfId="1" applyNumberFormat="1" applyFont="1" applyFill="1" applyBorder="1" applyAlignment="1">
      <alignment horizontal="center" vertical="center" wrapText="1"/>
    </xf>
    <xf numFmtId="164" fontId="6" fillId="0" borderId="113" xfId="1" applyNumberFormat="1" applyFont="1" applyFill="1" applyBorder="1" applyAlignment="1">
      <alignment horizontal="center" vertical="center"/>
    </xf>
    <xf numFmtId="1" fontId="2" fillId="27" borderId="135" xfId="1" applyNumberFormat="1" applyFont="1" applyFill="1" applyBorder="1" applyAlignment="1">
      <alignment horizontal="center" vertical="center" wrapText="1"/>
    </xf>
    <xf numFmtId="0" fontId="2" fillId="0" borderId="165" xfId="1" applyFont="1" applyFill="1" applyBorder="1" applyAlignment="1">
      <alignment horizontal="center" vertical="center" wrapText="1"/>
    </xf>
    <xf numFmtId="0" fontId="2" fillId="0" borderId="101" xfId="1" applyFont="1" applyFill="1" applyBorder="1" applyAlignment="1">
      <alignment horizontal="center" vertical="center" wrapText="1"/>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77" xfId="59" applyNumberFormat="1"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0" fontId="6" fillId="0" borderId="17" xfId="0"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0" fillId="0" borderId="0" xfId="0" applyAlignment="1">
      <alignment horizontal="center" vertical="top"/>
    </xf>
    <xf numFmtId="0" fontId="0" fillId="0" borderId="19" xfId="0" applyBorder="1" applyAlignment="1">
      <alignment horizontal="center" vertical="top"/>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0" fontId="0" fillId="0" borderId="66" xfId="0" applyBorder="1" applyAlignment="1">
      <alignment horizontal="center"/>
    </xf>
    <xf numFmtId="0" fontId="0" fillId="0" borderId="110" xfId="0" applyBorder="1" applyAlignment="1">
      <alignment horizontal="center"/>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66" xfId="0" applyBorder="1" applyAlignment="1">
      <alignment horizontal="center" vertical="center"/>
    </xf>
    <xf numFmtId="0" fontId="0" fillId="0" borderId="110" xfId="0" applyBorder="1" applyAlignment="1">
      <alignment horizontal="center" vertical="center"/>
    </xf>
    <xf numFmtId="1" fontId="2" fillId="33" borderId="7" xfId="1" applyNumberFormat="1"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3"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2" fillId="23" borderId="122"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7">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pane ySplit="1" topLeftCell="A2" activePane="bottomLeft" state="frozen"/>
      <selection pane="bottomLeft" activeCell="C10" sqref="C10"/>
    </sheetView>
  </sheetViews>
  <sheetFormatPr defaultColWidth="8.875" defaultRowHeight="12.75" x14ac:dyDescent="0.25"/>
  <cols>
    <col min="1" max="1" width="11.625" style="1001" bestFit="1" customWidth="1"/>
    <col min="2" max="2" width="11.125" style="1001" bestFit="1" customWidth="1"/>
    <col min="3" max="3" width="107.75" style="958" bestFit="1" customWidth="1"/>
    <col min="4" max="16384" width="8.875" style="1001"/>
  </cols>
  <sheetData>
    <row r="1" spans="1:3" x14ac:dyDescent="0.25">
      <c r="A1" s="747" t="s">
        <v>184</v>
      </c>
      <c r="B1" s="748" t="s">
        <v>185</v>
      </c>
      <c r="C1" s="749" t="s">
        <v>186</v>
      </c>
    </row>
    <row r="2" spans="1:3" x14ac:dyDescent="0.25">
      <c r="A2" s="1002">
        <v>42557</v>
      </c>
      <c r="B2" s="1003" t="s">
        <v>187</v>
      </c>
      <c r="C2" s="750" t="s">
        <v>188</v>
      </c>
    </row>
    <row r="3" spans="1:3" ht="25.5" x14ac:dyDescent="0.25">
      <c r="A3" s="1002">
        <v>42573</v>
      </c>
      <c r="B3" s="1001" t="s">
        <v>189</v>
      </c>
      <c r="C3" s="958" t="s">
        <v>190</v>
      </c>
    </row>
    <row r="4" spans="1:3" ht="25.5" x14ac:dyDescent="0.25">
      <c r="A4" s="1002">
        <v>42584</v>
      </c>
      <c r="B4" s="1001" t="s">
        <v>302</v>
      </c>
      <c r="C4" s="958" t="s">
        <v>303</v>
      </c>
    </row>
    <row r="5" spans="1:3" ht="51" x14ac:dyDescent="0.25">
      <c r="A5" s="1002">
        <v>42586</v>
      </c>
      <c r="B5" s="1001" t="s">
        <v>309</v>
      </c>
      <c r="C5" s="958" t="s">
        <v>494</v>
      </c>
    </row>
    <row r="6" spans="1:3" x14ac:dyDescent="0.25">
      <c r="A6" s="1002">
        <v>42598</v>
      </c>
      <c r="B6" s="1001" t="s">
        <v>495</v>
      </c>
      <c r="C6" s="958" t="s">
        <v>496</v>
      </c>
    </row>
    <row r="7" spans="1:3" x14ac:dyDescent="0.25">
      <c r="A7" s="1002">
        <v>42607</v>
      </c>
      <c r="B7" s="1001" t="s">
        <v>516</v>
      </c>
      <c r="C7" s="958" t="s">
        <v>517</v>
      </c>
    </row>
    <row r="8" spans="1:3" ht="38.25" x14ac:dyDescent="0.25">
      <c r="A8" s="1002">
        <v>42621</v>
      </c>
      <c r="B8" s="1001" t="s">
        <v>526</v>
      </c>
      <c r="C8" s="958" t="s">
        <v>527</v>
      </c>
    </row>
    <row r="9" spans="1:3" x14ac:dyDescent="0.25">
      <c r="A9" s="1082">
        <v>42628</v>
      </c>
      <c r="B9" s="1001" t="s">
        <v>528</v>
      </c>
      <c r="C9" s="958" t="s">
        <v>529</v>
      </c>
    </row>
    <row r="10" spans="1:3" x14ac:dyDescent="0.25">
      <c r="A10" s="1002">
        <v>42649</v>
      </c>
      <c r="B10" s="1001" t="s">
        <v>530</v>
      </c>
      <c r="C10" s="958" t="s">
        <v>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C16" sqref="C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807 E Main</v>
      </c>
      <c r="D9" s="1713"/>
      <c r="E9" s="134" t="s">
        <v>319</v>
      </c>
      <c r="F9" s="135" t="str">
        <f>'building data'!H9</f>
        <v>English</v>
      </c>
    </row>
    <row r="10" spans="1:17" ht="15" customHeight="1" x14ac:dyDescent="0.25">
      <c r="B10" s="136" t="s">
        <v>311</v>
      </c>
      <c r="C10" s="1714">
        <f>'building data'!C10</f>
        <v>27332</v>
      </c>
      <c r="D10" s="1714"/>
      <c r="E10" s="137" t="s">
        <v>320</v>
      </c>
      <c r="F10" s="138" t="str">
        <f>'building data'!H10</f>
        <v>807 E Main St</v>
      </c>
      <c r="G10" s="331"/>
      <c r="H10" s="331"/>
      <c r="I10" s="331"/>
      <c r="J10" s="331"/>
    </row>
    <row r="11" spans="1:17" ht="15" customHeight="1" x14ac:dyDescent="0.25">
      <c r="B11" s="136" t="s">
        <v>312</v>
      </c>
      <c r="C11" s="1714" t="str">
        <f>'building data'!C11</f>
        <v>Ted Bleecker</v>
      </c>
      <c r="D11" s="1714"/>
      <c r="E11" s="139" t="s">
        <v>321</v>
      </c>
      <c r="F11" s="138" t="str">
        <f>'building data'!H12</f>
        <v>ASCE/SEI 7-10</v>
      </c>
      <c r="G11" s="331"/>
      <c r="H11" s="331"/>
      <c r="I11" s="331"/>
      <c r="J11" s="331"/>
    </row>
    <row r="12" spans="1:17" ht="15" customHeight="1" thickBot="1" x14ac:dyDescent="0.3">
      <c r="B12" s="140" t="s">
        <v>313</v>
      </c>
      <c r="C12" s="1715">
        <f ca="1">'building data'!C12</f>
        <v>42649</v>
      </c>
      <c r="D12" s="1715"/>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tr">
        <f>'building data'!B20</f>
        <v>Building width:</v>
      </c>
      <c r="G14" s="424">
        <f>'building data'!C20</f>
        <v>91.44</v>
      </c>
      <c r="H14" s="212" t="s">
        <v>0</v>
      </c>
    </row>
    <row r="15" spans="1:17" ht="15" customHeight="1" x14ac:dyDescent="0.25">
      <c r="A15" s="456"/>
      <c r="B15" s="143" t="str">
        <f>'wind load calc_10d'!B38</f>
        <v>Load case 'Uplift'</v>
      </c>
      <c r="C15" s="357"/>
      <c r="D15" s="445" t="s">
        <v>59</v>
      </c>
      <c r="E15" s="357"/>
      <c r="F15" s="213" t="str">
        <f>'building data'!B21</f>
        <v>Building length:</v>
      </c>
      <c r="G15" s="424">
        <f>'building data'!C21</f>
        <v>91.44</v>
      </c>
      <c r="H15" s="212" t="s">
        <v>0</v>
      </c>
    </row>
    <row r="16" spans="1:17" ht="15" customHeight="1" x14ac:dyDescent="0.25">
      <c r="A16" s="341"/>
      <c r="B16" s="209" t="str">
        <f>'wind load calc_10d'!B40</f>
        <v>Applied number of modules which share loads:</v>
      </c>
      <c r="C16" s="358">
        <f>'wind load calc_10d'!C39</f>
        <v>25</v>
      </c>
      <c r="D16" s="446">
        <f>(G17*G18*C16)</f>
        <v>49.853609969999994</v>
      </c>
      <c r="E16" s="357"/>
      <c r="F16" s="213" t="str">
        <f>'building data'!B16</f>
        <v>Roof height:</v>
      </c>
      <c r="G16" s="424">
        <f>'building data'!C16</f>
        <v>7.3152000000000008</v>
      </c>
      <c r="H16" s="212" t="s">
        <v>0</v>
      </c>
    </row>
    <row r="17" spans="1:18" ht="15" customHeight="1" x14ac:dyDescent="0.25">
      <c r="A17" s="341"/>
      <c r="C17" s="215"/>
      <c r="D17" s="215"/>
      <c r="E17" s="215"/>
      <c r="F17" s="213" t="str">
        <f>'wind load calc_10d'!E20</f>
        <v>Module's length:</v>
      </c>
      <c r="G17" s="424">
        <f>'wind load calc_10d'!F20</f>
        <v>1.9926299999999999</v>
      </c>
      <c r="H17" s="212" t="s">
        <v>0</v>
      </c>
    </row>
    <row r="18" spans="1:18" ht="15" customHeight="1" x14ac:dyDescent="0.25">
      <c r="A18" s="341"/>
      <c r="B18" s="143" t="str">
        <f>'wind load calc_10d'!F38</f>
        <v>Load case 'Sliding'</v>
      </c>
      <c r="C18" s="215"/>
      <c r="D18" s="445" t="s">
        <v>59</v>
      </c>
      <c r="E18" s="357"/>
      <c r="F18" s="213" t="str">
        <f>'wind load calc_10d'!E19</f>
        <v>Module's width:</v>
      </c>
      <c r="G18" s="424">
        <f>'wind load calc_10d'!F19</f>
        <v>1.0007599999999999</v>
      </c>
      <c r="H18" s="212" t="s">
        <v>0</v>
      </c>
      <c r="K18" s="455"/>
    </row>
    <row r="19" spans="1:18" ht="15" customHeight="1" x14ac:dyDescent="0.25">
      <c r="A19" s="341"/>
      <c r="B19" s="209" t="str">
        <f>'wind load calc_10d'!F40</f>
        <v>Applied number of modules which share loads:</v>
      </c>
      <c r="C19" s="358">
        <f>'wind load calc_10d'!G40</f>
        <v>81</v>
      </c>
      <c r="D19" s="446">
        <f>(G17*G18*C19)</f>
        <v>161.52569630279996</v>
      </c>
      <c r="E19" s="357"/>
      <c r="F19" s="213" t="s">
        <v>45</v>
      </c>
      <c r="G19" s="424">
        <f>MIN('building data'!C18/'building data'!C16,0.2)</f>
        <v>1.7361111111111108E-2</v>
      </c>
      <c r="H19" s="212" t="s">
        <v>4</v>
      </c>
      <c r="K19" s="455"/>
    </row>
    <row r="20" spans="1:18" ht="15" customHeight="1" x14ac:dyDescent="0.25">
      <c r="A20" s="341"/>
      <c r="B20" s="209"/>
      <c r="C20" s="357"/>
      <c r="D20" s="357"/>
      <c r="E20" s="357"/>
      <c r="I20" s="357"/>
      <c r="K20" s="455"/>
    </row>
    <row r="21" spans="1:18" ht="15" customHeight="1" x14ac:dyDescent="0.25">
      <c r="A21" s="341"/>
      <c r="B21" s="209"/>
      <c r="C21" s="357"/>
      <c r="D21" s="357"/>
      <c r="E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D41</f>
        <v>-0.12443615823918312</v>
      </c>
      <c r="E26" s="480">
        <f t="shared" ref="E26:M33" ca="1" si="0">E41</f>
        <v>-0.13605265413361239</v>
      </c>
      <c r="F26" s="463">
        <f t="shared" ca="1" si="0"/>
        <v>-0.11</v>
      </c>
      <c r="G26" s="542">
        <f t="shared" ca="1" si="0"/>
        <v>-0.11</v>
      </c>
      <c r="H26" s="468">
        <f t="shared" ca="1" si="0"/>
        <v>-0.1</v>
      </c>
      <c r="I26" s="460">
        <f t="shared" ca="1" si="0"/>
        <v>-0.1554951756862136</v>
      </c>
      <c r="J26" s="480">
        <f t="shared" ca="1" si="0"/>
        <v>-0.23221876300340111</v>
      </c>
      <c r="K26" s="463">
        <f t="shared" ca="1" si="0"/>
        <v>-0.14454925740383925</v>
      </c>
      <c r="L26" s="542">
        <f t="shared" ca="1" si="0"/>
        <v>-0.15307267270071306</v>
      </c>
      <c r="M26" s="469">
        <f t="shared" ca="1" si="0"/>
        <v>-0.15787349384034235</v>
      </c>
      <c r="R26"/>
    </row>
    <row r="27" spans="1:18" ht="15" customHeight="1" thickBot="1" x14ac:dyDescent="0.3">
      <c r="B27" s="1717"/>
      <c r="C27" s="275" t="s">
        <v>462</v>
      </c>
      <c r="D27" s="461">
        <f t="shared" ref="D27:H33" ca="1" si="1">D42</f>
        <v>-0.11924240117718184</v>
      </c>
      <c r="E27" s="482">
        <f t="shared" ca="1" si="1"/>
        <v>-0.13577745649752243</v>
      </c>
      <c r="F27" s="466">
        <f t="shared" ca="1" si="1"/>
        <v>-0.11</v>
      </c>
      <c r="G27" s="543">
        <f t="shared" ca="1" si="1"/>
        <v>-0.11</v>
      </c>
      <c r="H27" s="464">
        <f t="shared" ca="1" si="1"/>
        <v>-0.1</v>
      </c>
      <c r="I27" s="461">
        <f t="shared" ca="1" si="0"/>
        <v>-0.13912718594182913</v>
      </c>
      <c r="J27" s="482">
        <f t="shared" ca="1" si="0"/>
        <v>-0.25720251121220794</v>
      </c>
      <c r="K27" s="466">
        <f t="shared" ca="1" si="0"/>
        <v>-0.11551423376553438</v>
      </c>
      <c r="L27" s="543">
        <f t="shared" ca="1" si="0"/>
        <v>-0.14615972268617342</v>
      </c>
      <c r="M27" s="471">
        <f t="shared" ca="1" si="0"/>
        <v>-0.15968370278162375</v>
      </c>
      <c r="R27"/>
    </row>
    <row r="28" spans="1:18" ht="15" customHeight="1" x14ac:dyDescent="0.25">
      <c r="B28" s="1716" t="s">
        <v>463</v>
      </c>
      <c r="C28" s="241" t="s">
        <v>461</v>
      </c>
      <c r="D28" s="460">
        <f t="shared" ca="1" si="1"/>
        <v>-0.11609063313660083</v>
      </c>
      <c r="E28" s="480">
        <f t="shared" ca="1" si="1"/>
        <v>-0.13581670555543396</v>
      </c>
      <c r="F28" s="463">
        <f t="shared" ca="1" si="1"/>
        <v>-0.11</v>
      </c>
      <c r="G28" s="542">
        <f t="shared" ca="1" si="1"/>
        <v>-0.11</v>
      </c>
      <c r="H28" s="468">
        <f t="shared" ca="1" si="1"/>
        <v>-0.1</v>
      </c>
      <c r="I28" s="460">
        <f t="shared" ca="1" si="0"/>
        <v>-0.14179820784697567</v>
      </c>
      <c r="J28" s="480">
        <f t="shared" ca="1" si="0"/>
        <v>-0.16335526528756353</v>
      </c>
      <c r="K28" s="463">
        <f t="shared" ca="1" si="0"/>
        <v>-0.1</v>
      </c>
      <c r="L28" s="542">
        <f t="shared" ca="1" si="0"/>
        <v>-0.1041063812876368</v>
      </c>
      <c r="M28" s="469">
        <f t="shared" ca="1" si="0"/>
        <v>-0.1</v>
      </c>
      <c r="R28"/>
    </row>
    <row r="29" spans="1:18" ht="15" customHeight="1" thickBot="1" x14ac:dyDescent="0.3">
      <c r="B29" s="1717"/>
      <c r="C29" s="276" t="s">
        <v>462</v>
      </c>
      <c r="D29" s="462">
        <f t="shared" ca="1" si="1"/>
        <v>-0.11602721740613772</v>
      </c>
      <c r="E29" s="483">
        <f t="shared" ca="1" si="1"/>
        <v>-0.13398496232611318</v>
      </c>
      <c r="F29" s="467">
        <f t="shared" ca="1" si="1"/>
        <v>-0.11</v>
      </c>
      <c r="G29" s="544">
        <f t="shared" ca="1" si="1"/>
        <v>-0.11</v>
      </c>
      <c r="H29" s="465">
        <f t="shared" ca="1" si="1"/>
        <v>-0.1</v>
      </c>
      <c r="I29" s="462">
        <f t="shared" ca="1" si="0"/>
        <v>-0.14000000000000001</v>
      </c>
      <c r="J29" s="483">
        <f t="shared" ca="1" si="0"/>
        <v>-0.16181919607791434</v>
      </c>
      <c r="K29" s="467">
        <f t="shared" ca="1" si="0"/>
        <v>-0.1</v>
      </c>
      <c r="L29" s="544">
        <f t="shared" ca="1" si="0"/>
        <v>-0.1020531906438184</v>
      </c>
      <c r="M29" s="470">
        <f t="shared" ca="1" si="0"/>
        <v>-0.1</v>
      </c>
      <c r="R29"/>
    </row>
    <row r="30" spans="1:18" ht="15" customHeight="1" x14ac:dyDescent="0.25">
      <c r="B30" s="1716" t="s">
        <v>464</v>
      </c>
      <c r="C30" s="241" t="s">
        <v>461</v>
      </c>
      <c r="D30" s="460">
        <f t="shared" ca="1" si="1"/>
        <v>-0.12218126627320167</v>
      </c>
      <c r="E30" s="480">
        <f t="shared" ca="1" si="1"/>
        <v>-0.1331558352639664</v>
      </c>
      <c r="F30" s="463">
        <f t="shared" ca="1" si="1"/>
        <v>-0.11</v>
      </c>
      <c r="G30" s="542">
        <f t="shared" ca="1" si="1"/>
        <v>-0.11</v>
      </c>
      <c r="H30" s="468">
        <f t="shared" ca="1" si="1"/>
        <v>-0.1</v>
      </c>
      <c r="I30" s="460">
        <f t="shared" ca="1" si="0"/>
        <v>-0.17359641569395134</v>
      </c>
      <c r="J30" s="480">
        <f t="shared" ca="1" si="0"/>
        <v>-0.16327384556408767</v>
      </c>
      <c r="K30" s="463">
        <f t="shared" ca="1" si="0"/>
        <v>-0.10540949849077176</v>
      </c>
      <c r="L30" s="542">
        <f t="shared" ca="1" si="0"/>
        <v>-0.1</v>
      </c>
      <c r="M30" s="469">
        <f t="shared" ca="1" si="0"/>
        <v>-0.10544381864552026</v>
      </c>
      <c r="R30"/>
    </row>
    <row r="31" spans="1:18" ht="15" customHeight="1" thickBot="1" x14ac:dyDescent="0.3">
      <c r="B31" s="1717"/>
      <c r="C31" s="276" t="s">
        <v>462</v>
      </c>
      <c r="D31" s="462">
        <f t="shared" ca="1" si="1"/>
        <v>-0.11567446931274719</v>
      </c>
      <c r="E31" s="483">
        <f t="shared" ca="1" si="1"/>
        <v>-0.13774356993105674</v>
      </c>
      <c r="F31" s="467">
        <f t="shared" ca="1" si="1"/>
        <v>-0.11</v>
      </c>
      <c r="G31" s="544">
        <f t="shared" ca="1" si="1"/>
        <v>-0.11</v>
      </c>
      <c r="H31" s="465">
        <f t="shared" ca="1" si="1"/>
        <v>-0.1</v>
      </c>
      <c r="I31" s="462">
        <f t="shared" ca="1" si="0"/>
        <v>-0.13962548401474109</v>
      </c>
      <c r="J31" s="483">
        <f t="shared" ca="1" si="0"/>
        <v>-0.16863700464128006</v>
      </c>
      <c r="K31" s="467">
        <f t="shared" ca="1" si="0"/>
        <v>-0.1</v>
      </c>
      <c r="L31" s="544">
        <f t="shared" ca="1" si="0"/>
        <v>-0.1</v>
      </c>
      <c r="M31" s="470">
        <f t="shared" ca="1" si="0"/>
        <v>-0.10544381864552026</v>
      </c>
      <c r="R31"/>
    </row>
    <row r="32" spans="1:18" ht="15" customHeight="1" x14ac:dyDescent="0.25">
      <c r="B32" s="1716" t="s">
        <v>465</v>
      </c>
      <c r="C32" s="241" t="s">
        <v>461</v>
      </c>
      <c r="D32" s="460">
        <f t="shared" ca="1" si="1"/>
        <v>-0.11702155269216796</v>
      </c>
      <c r="E32" s="480">
        <f t="shared" ca="1" si="1"/>
        <v>-0.13478757966026567</v>
      </c>
      <c r="F32" s="463">
        <f t="shared" ca="1" si="1"/>
        <v>-0.11</v>
      </c>
      <c r="G32" s="542">
        <f t="shared" ca="1" si="1"/>
        <v>-0.11</v>
      </c>
      <c r="H32" s="468">
        <f t="shared" ca="1" si="1"/>
        <v>-0.1</v>
      </c>
      <c r="I32" s="460">
        <f t="shared" ca="1" si="0"/>
        <v>-0.14665838787306382</v>
      </c>
      <c r="J32" s="480">
        <f t="shared" ca="1" si="0"/>
        <v>-0.16</v>
      </c>
      <c r="K32" s="463">
        <f t="shared" ca="1" si="0"/>
        <v>-0.1</v>
      </c>
      <c r="L32" s="542">
        <f t="shared" ca="1" si="0"/>
        <v>-0.1</v>
      </c>
      <c r="M32" s="469">
        <f t="shared" ca="1" si="0"/>
        <v>-0.1</v>
      </c>
      <c r="R32"/>
    </row>
    <row r="33" spans="2:18" ht="15" customHeight="1" thickBot="1" x14ac:dyDescent="0.3">
      <c r="B33" s="1717"/>
      <c r="C33" s="276" t="s">
        <v>462</v>
      </c>
      <c r="D33" s="462">
        <f t="shared" ca="1" si="1"/>
        <v>-0.11783687837140472</v>
      </c>
      <c r="E33" s="483">
        <f t="shared" ca="1" si="1"/>
        <v>-0.13478757966026567</v>
      </c>
      <c r="F33" s="467">
        <f t="shared" ca="1" si="1"/>
        <v>-0.11</v>
      </c>
      <c r="G33" s="544">
        <f t="shared" ca="1" si="1"/>
        <v>-0.11</v>
      </c>
      <c r="H33" s="465">
        <f t="shared" ca="1" si="1"/>
        <v>-0.1</v>
      </c>
      <c r="I33" s="462">
        <f t="shared" ca="1" si="0"/>
        <v>-0.15091507101747267</v>
      </c>
      <c r="J33" s="483">
        <f t="shared" ca="1" si="0"/>
        <v>-0.16206065122887342</v>
      </c>
      <c r="K33" s="467">
        <f t="shared" ca="1" si="0"/>
        <v>-0.1</v>
      </c>
      <c r="L33" s="544">
        <f t="shared" ca="1" si="0"/>
        <v>-0.1</v>
      </c>
      <c r="M33" s="470">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80"/>
      <c r="I35" s="380"/>
      <c r="J35" s="380"/>
      <c r="K35" s="380"/>
      <c r="L35" s="380"/>
      <c r="M35" s="380"/>
      <c r="N35" s="380"/>
      <c r="O35" s="380"/>
      <c r="P35" s="380"/>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466</v>
      </c>
      <c r="C37" s="231"/>
      <c r="D37" s="187"/>
      <c r="E37" s="187"/>
      <c r="F37" s="187"/>
      <c r="G37" s="187"/>
      <c r="H37" s="187"/>
      <c r="I37" s="187"/>
      <c r="J37" s="187"/>
      <c r="K37" s="187"/>
      <c r="L37" s="187"/>
      <c r="M37" s="187"/>
      <c r="N37" s="187"/>
      <c r="O37" s="187"/>
      <c r="P37" s="187"/>
      <c r="Q37" s="187"/>
      <c r="R37"/>
    </row>
    <row r="38" spans="2:18" ht="15" customHeight="1" thickBot="1" x14ac:dyDescent="0.3">
      <c r="C38" s="231"/>
      <c r="D38" s="591"/>
      <c r="E38" s="592"/>
      <c r="F38" s="592" t="str">
        <f>$F$23</f>
        <v>Sliding</v>
      </c>
      <c r="G38" s="592"/>
      <c r="H38" s="592"/>
      <c r="I38" s="591"/>
      <c r="J38" s="592"/>
      <c r="K38" s="592" t="str">
        <f>$K$23</f>
        <v>Uplift</v>
      </c>
      <c r="L38" s="592"/>
      <c r="M38" s="593"/>
      <c r="R38"/>
    </row>
    <row r="39" spans="2:18" ht="15" customHeight="1" thickBot="1" x14ac:dyDescent="0.3">
      <c r="C39" s="231"/>
      <c r="D39" s="437" t="str">
        <f>$D$24</f>
        <v>Roof position 1</v>
      </c>
      <c r="E39" s="438" t="str">
        <f>$E$24</f>
        <v>Roof position 2</v>
      </c>
      <c r="F39" s="438" t="str">
        <f>$F$24</f>
        <v>Roof position 3</v>
      </c>
      <c r="G39" s="438" t="str">
        <f>$G$24</f>
        <v>Roof position 4</v>
      </c>
      <c r="H39" s="526" t="str">
        <f>$H$24</f>
        <v>Roof position 5</v>
      </c>
      <c r="I39" s="437" t="str">
        <f>$I$24</f>
        <v>Roof position 1</v>
      </c>
      <c r="J39" s="438" t="str">
        <f>$J$24</f>
        <v>Roof position 2</v>
      </c>
      <c r="K39" s="438" t="str">
        <f>$K$24</f>
        <v>Roof position 3</v>
      </c>
      <c r="L39" s="438" t="str">
        <f>$L$24</f>
        <v>Roof position 4</v>
      </c>
      <c r="M39" s="439" t="str">
        <f>$H$24</f>
        <v>Roof position 5</v>
      </c>
      <c r="R39"/>
    </row>
    <row r="40" spans="2:18" ht="15" customHeight="1" thickBot="1" x14ac:dyDescent="0.3">
      <c r="B40" s="143"/>
      <c r="C40" s="231"/>
      <c r="D40" s="437" t="s">
        <v>68</v>
      </c>
      <c r="E40" s="438" t="s">
        <v>68</v>
      </c>
      <c r="F40" s="438" t="s">
        <v>68</v>
      </c>
      <c r="G40" s="438" t="s">
        <v>68</v>
      </c>
      <c r="H40" s="438" t="s">
        <v>68</v>
      </c>
      <c r="I40" s="437" t="s">
        <v>69</v>
      </c>
      <c r="J40" s="438" t="s">
        <v>69</v>
      </c>
      <c r="K40" s="438" t="s">
        <v>69</v>
      </c>
      <c r="L40" s="438" t="s">
        <v>69</v>
      </c>
      <c r="M40" s="439" t="s">
        <v>69</v>
      </c>
      <c r="R40"/>
    </row>
    <row r="41" spans="2:18" ht="15" customHeight="1" x14ac:dyDescent="0.25">
      <c r="B41" s="1716" t="str">
        <f>$B$26</f>
        <v>North row</v>
      </c>
      <c r="C41" s="183" t="str">
        <f>$C$26</f>
        <v>1st-4th module</v>
      </c>
      <c r="D41" s="189">
        <f ca="1">D69</f>
        <v>-0.12443615823918312</v>
      </c>
      <c r="E41" s="190">
        <f ca="1">E69</f>
        <v>-0.13605265413361239</v>
      </c>
      <c r="F41" s="190">
        <f t="shared" ref="F41:M41" ca="1" si="2">F69</f>
        <v>-0.11</v>
      </c>
      <c r="G41" s="573">
        <f t="shared" ca="1" si="2"/>
        <v>-0.11</v>
      </c>
      <c r="H41" s="573">
        <f t="shared" ca="1" si="2"/>
        <v>-0.1</v>
      </c>
      <c r="I41" s="189">
        <f t="shared" ca="1" si="2"/>
        <v>-0.1554951756862136</v>
      </c>
      <c r="J41" s="190">
        <f t="shared" ca="1" si="2"/>
        <v>-0.23221876300340111</v>
      </c>
      <c r="K41" s="190">
        <f t="shared" ca="1" si="2"/>
        <v>-0.14454925740383925</v>
      </c>
      <c r="L41" s="190">
        <f t="shared" ca="1" si="2"/>
        <v>-0.15307267270071306</v>
      </c>
      <c r="M41" s="191">
        <f t="shared" ca="1" si="2"/>
        <v>-0.15787349384034235</v>
      </c>
      <c r="R41"/>
    </row>
    <row r="42" spans="2:18" ht="15" customHeight="1" thickBot="1" x14ac:dyDescent="0.3">
      <c r="B42" s="1717"/>
      <c r="C42" s="277" t="str">
        <f>$C$27</f>
        <v>Interior modules</v>
      </c>
      <c r="D42" s="578">
        <f t="shared" ref="D42:M48" ca="1" si="3">D70</f>
        <v>-0.11924240117718184</v>
      </c>
      <c r="E42" s="579">
        <f t="shared" ca="1" si="3"/>
        <v>-0.13577745649752243</v>
      </c>
      <c r="F42" s="579">
        <f t="shared" ca="1" si="3"/>
        <v>-0.11</v>
      </c>
      <c r="G42" s="580">
        <f t="shared" ca="1" si="3"/>
        <v>-0.11</v>
      </c>
      <c r="H42" s="580">
        <f t="shared" ca="1" si="3"/>
        <v>-0.1</v>
      </c>
      <c r="I42" s="578">
        <f t="shared" ca="1" si="3"/>
        <v>-0.13912718594182913</v>
      </c>
      <c r="J42" s="579">
        <f t="shared" ca="1" si="3"/>
        <v>-0.25720251121220794</v>
      </c>
      <c r="K42" s="579">
        <f t="shared" ca="1" si="3"/>
        <v>-0.11551423376553438</v>
      </c>
      <c r="L42" s="579">
        <f t="shared" ca="1" si="3"/>
        <v>-0.14615972268617342</v>
      </c>
      <c r="M42" s="581">
        <f t="shared" ca="1" si="3"/>
        <v>-0.15968370278162375</v>
      </c>
      <c r="R42"/>
    </row>
    <row r="43" spans="2:18" ht="15" customHeight="1" x14ac:dyDescent="0.25">
      <c r="B43" s="1716" t="str">
        <f>$B$28</f>
        <v>Inner rows, 2nd to 6th row from north</v>
      </c>
      <c r="C43" s="183" t="str">
        <f>$C$26</f>
        <v>1st-4th module</v>
      </c>
      <c r="D43" s="189">
        <f t="shared" ca="1" si="3"/>
        <v>-0.11609063313660083</v>
      </c>
      <c r="E43" s="190">
        <f t="shared" ca="1" si="3"/>
        <v>-0.13581670555543396</v>
      </c>
      <c r="F43" s="190">
        <f t="shared" ca="1" si="3"/>
        <v>-0.11</v>
      </c>
      <c r="G43" s="573">
        <f t="shared" ca="1" si="3"/>
        <v>-0.11</v>
      </c>
      <c r="H43" s="573">
        <f t="shared" ca="1" si="3"/>
        <v>-0.1</v>
      </c>
      <c r="I43" s="189">
        <f t="shared" ca="1" si="3"/>
        <v>-0.14179820784697567</v>
      </c>
      <c r="J43" s="190">
        <f t="shared" ca="1" si="3"/>
        <v>-0.16335526528756353</v>
      </c>
      <c r="K43" s="190">
        <f t="shared" ca="1" si="3"/>
        <v>-0.1</v>
      </c>
      <c r="L43" s="190">
        <f t="shared" ca="1" si="3"/>
        <v>-0.1041063812876368</v>
      </c>
      <c r="M43" s="191">
        <f t="shared" ca="1" si="3"/>
        <v>-0.1</v>
      </c>
      <c r="R43"/>
    </row>
    <row r="44" spans="2:18" ht="15" customHeight="1" thickBot="1" x14ac:dyDescent="0.3">
      <c r="B44" s="1717"/>
      <c r="C44" s="277" t="str">
        <f>$C$27</f>
        <v>Interior modules</v>
      </c>
      <c r="D44" s="578">
        <f t="shared" ca="1" si="3"/>
        <v>-0.11602721740613772</v>
      </c>
      <c r="E44" s="579">
        <f t="shared" ca="1" si="3"/>
        <v>-0.13398496232611318</v>
      </c>
      <c r="F44" s="579">
        <f t="shared" ca="1" si="3"/>
        <v>-0.11</v>
      </c>
      <c r="G44" s="580">
        <f t="shared" ca="1" si="3"/>
        <v>-0.11</v>
      </c>
      <c r="H44" s="580">
        <f t="shared" ca="1" si="3"/>
        <v>-0.1</v>
      </c>
      <c r="I44" s="578">
        <f t="shared" ca="1" si="3"/>
        <v>-0.14000000000000001</v>
      </c>
      <c r="J44" s="579">
        <f t="shared" ca="1" si="3"/>
        <v>-0.16181919607791434</v>
      </c>
      <c r="K44" s="579">
        <f t="shared" ca="1" si="3"/>
        <v>-0.1</v>
      </c>
      <c r="L44" s="579">
        <f t="shared" ca="1" si="3"/>
        <v>-0.1020531906438184</v>
      </c>
      <c r="M44" s="581">
        <f t="shared" ca="1" si="3"/>
        <v>-0.1</v>
      </c>
      <c r="R44"/>
    </row>
    <row r="45" spans="2:18" ht="15" customHeight="1" x14ac:dyDescent="0.25">
      <c r="B45" s="1716" t="str">
        <f>$B$30</f>
        <v>Inner rows, from 7th row from north</v>
      </c>
      <c r="C45" s="183" t="str">
        <f>$C$26</f>
        <v>1st-4th module</v>
      </c>
      <c r="D45" s="189">
        <f t="shared" ca="1" si="3"/>
        <v>-0.12218126627320167</v>
      </c>
      <c r="E45" s="190">
        <f t="shared" ca="1" si="3"/>
        <v>-0.1331558352639664</v>
      </c>
      <c r="F45" s="190">
        <f t="shared" ca="1" si="3"/>
        <v>-0.11</v>
      </c>
      <c r="G45" s="573">
        <f t="shared" ca="1" si="3"/>
        <v>-0.11</v>
      </c>
      <c r="H45" s="573">
        <f t="shared" ca="1" si="3"/>
        <v>-0.1</v>
      </c>
      <c r="I45" s="189">
        <f t="shared" ca="1" si="3"/>
        <v>-0.17359641569395134</v>
      </c>
      <c r="J45" s="190">
        <f t="shared" ca="1" si="3"/>
        <v>-0.16327384556408767</v>
      </c>
      <c r="K45" s="190">
        <f t="shared" ca="1" si="3"/>
        <v>-0.10540949849077176</v>
      </c>
      <c r="L45" s="190">
        <f t="shared" ca="1" si="3"/>
        <v>-0.1</v>
      </c>
      <c r="M45" s="191">
        <f t="shared" ca="1" si="3"/>
        <v>-0.10544381864552026</v>
      </c>
      <c r="R45"/>
    </row>
    <row r="46" spans="2:18" ht="15" customHeight="1" thickBot="1" x14ac:dyDescent="0.3">
      <c r="B46" s="1717"/>
      <c r="C46" s="277" t="str">
        <f>$C$27</f>
        <v>Interior modules</v>
      </c>
      <c r="D46" s="582">
        <f t="shared" ca="1" si="3"/>
        <v>-0.11567446931274719</v>
      </c>
      <c r="E46" s="583">
        <f t="shared" ca="1" si="3"/>
        <v>-0.13774356993105674</v>
      </c>
      <c r="F46" s="583">
        <f t="shared" ca="1" si="3"/>
        <v>-0.11</v>
      </c>
      <c r="G46" s="584">
        <f t="shared" ca="1" si="3"/>
        <v>-0.11</v>
      </c>
      <c r="H46" s="584">
        <f t="shared" ca="1" si="3"/>
        <v>-0.1</v>
      </c>
      <c r="I46" s="582">
        <f t="shared" ca="1" si="3"/>
        <v>-0.13962548401474109</v>
      </c>
      <c r="J46" s="583">
        <f t="shared" ca="1" si="3"/>
        <v>-0.16863700464128006</v>
      </c>
      <c r="K46" s="583">
        <f t="shared" ca="1" si="3"/>
        <v>-0.1</v>
      </c>
      <c r="L46" s="583">
        <f t="shared" ca="1" si="3"/>
        <v>-0.1</v>
      </c>
      <c r="M46" s="585">
        <f t="shared" ca="1" si="3"/>
        <v>-0.10544381864552026</v>
      </c>
      <c r="R46"/>
    </row>
    <row r="47" spans="2:18" ht="15" customHeight="1" x14ac:dyDescent="0.25">
      <c r="B47" s="1716" t="str">
        <f>$B$32</f>
        <v>South row</v>
      </c>
      <c r="C47" s="183" t="str">
        <f>$C$26</f>
        <v>1st-4th module</v>
      </c>
      <c r="D47" s="189">
        <f t="shared" ca="1" si="3"/>
        <v>-0.11702155269216796</v>
      </c>
      <c r="E47" s="190">
        <f t="shared" ca="1" si="3"/>
        <v>-0.13478757966026567</v>
      </c>
      <c r="F47" s="190">
        <f t="shared" ca="1" si="3"/>
        <v>-0.11</v>
      </c>
      <c r="G47" s="573">
        <f t="shared" ca="1" si="3"/>
        <v>-0.11</v>
      </c>
      <c r="H47" s="573">
        <f t="shared" ca="1" si="3"/>
        <v>-0.1</v>
      </c>
      <c r="I47" s="189">
        <f t="shared" ca="1" si="3"/>
        <v>-0.14665838787306382</v>
      </c>
      <c r="J47" s="190">
        <f t="shared" ca="1" si="3"/>
        <v>-0.16</v>
      </c>
      <c r="K47" s="190">
        <f t="shared" ca="1" si="3"/>
        <v>-0.1</v>
      </c>
      <c r="L47" s="190">
        <f t="shared" ca="1" si="3"/>
        <v>-0.1</v>
      </c>
      <c r="M47" s="191">
        <f t="shared" ca="1" si="3"/>
        <v>-0.1</v>
      </c>
      <c r="R47"/>
    </row>
    <row r="48" spans="2:18" ht="15" customHeight="1" thickBot="1" x14ac:dyDescent="0.3">
      <c r="B48" s="1717"/>
      <c r="C48" s="277" t="str">
        <f>$C$27</f>
        <v>Interior modules</v>
      </c>
      <c r="D48" s="578">
        <f t="shared" ca="1" si="3"/>
        <v>-0.11783687837140472</v>
      </c>
      <c r="E48" s="579">
        <f t="shared" ca="1" si="3"/>
        <v>-0.13478757966026567</v>
      </c>
      <c r="F48" s="579">
        <f t="shared" ca="1" si="3"/>
        <v>-0.11</v>
      </c>
      <c r="G48" s="580">
        <f t="shared" ca="1" si="3"/>
        <v>-0.11</v>
      </c>
      <c r="H48" s="580">
        <f t="shared" ca="1" si="3"/>
        <v>-0.1</v>
      </c>
      <c r="I48" s="578">
        <f t="shared" ca="1" si="3"/>
        <v>-0.15091507101747267</v>
      </c>
      <c r="J48" s="579">
        <f t="shared" ca="1" si="3"/>
        <v>-0.16206065122887342</v>
      </c>
      <c r="K48" s="579">
        <f t="shared" ca="1" si="3"/>
        <v>-0.1</v>
      </c>
      <c r="L48" s="579">
        <f t="shared" ca="1" si="3"/>
        <v>-0.1</v>
      </c>
      <c r="M48" s="581">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467</v>
      </c>
      <c r="M51" s="121"/>
    </row>
    <row r="52" spans="2:31" ht="15" customHeight="1" thickBot="1" x14ac:dyDescent="0.3">
      <c r="D52" s="591"/>
      <c r="E52" s="592"/>
      <c r="F52" s="592" t="str">
        <f>$F$23</f>
        <v>Sliding</v>
      </c>
      <c r="G52" s="592"/>
      <c r="H52" s="592"/>
      <c r="I52" s="591"/>
      <c r="J52" s="592"/>
      <c r="K52" s="592" t="str">
        <f>$K$23</f>
        <v>Uplift</v>
      </c>
      <c r="L52" s="592"/>
      <c r="M52" s="592"/>
      <c r="N52" s="952"/>
      <c r="O52" s="956"/>
      <c r="P52" s="956" t="s">
        <v>62</v>
      </c>
      <c r="Q52" s="956"/>
      <c r="R52" s="957"/>
    </row>
    <row r="53" spans="2:31" ht="15" customHeight="1" thickBot="1" x14ac:dyDescent="0.3">
      <c r="D53" s="437" t="str">
        <f>$D$24</f>
        <v>Roof position 1</v>
      </c>
      <c r="E53" s="438" t="str">
        <f>$E$24</f>
        <v>Roof position 2</v>
      </c>
      <c r="F53" s="438" t="str">
        <f>$F$24</f>
        <v>Roof position 3</v>
      </c>
      <c r="G53" s="438" t="str">
        <f>$G$24</f>
        <v>Roof position 4</v>
      </c>
      <c r="H53" s="526" t="str">
        <f>$H$24</f>
        <v>Roof position 5</v>
      </c>
      <c r="I53" s="437" t="str">
        <f>$I$24</f>
        <v>Roof position 1</v>
      </c>
      <c r="J53" s="438" t="str">
        <f>$J$24</f>
        <v>Roof position 2</v>
      </c>
      <c r="K53" s="438" t="str">
        <f>$K$24</f>
        <v>Roof position 3</v>
      </c>
      <c r="L53" s="438" t="str">
        <f>$L$24</f>
        <v>Roof position 4</v>
      </c>
      <c r="M53" s="526" t="str">
        <f>$H$24</f>
        <v>Roof position 5</v>
      </c>
      <c r="N53" s="437" t="str">
        <f>$I$24</f>
        <v>Roof position 1</v>
      </c>
      <c r="O53" s="438" t="str">
        <f>$J$24</f>
        <v>Roof position 2</v>
      </c>
      <c r="P53" s="438" t="str">
        <f>$K$24</f>
        <v>Roof position 3</v>
      </c>
      <c r="Q53" s="438" t="str">
        <f>$L$24</f>
        <v>Roof position 4</v>
      </c>
      <c r="R53" s="439" t="str">
        <f>$H$24</f>
        <v>Roof position 5</v>
      </c>
    </row>
    <row r="54" spans="2:31" ht="15" customHeight="1" thickBot="1" x14ac:dyDescent="0.3">
      <c r="B54" s="143"/>
      <c r="C54" s="231"/>
      <c r="D54" s="437" t="s">
        <v>58</v>
      </c>
      <c r="E54" s="438" t="s">
        <v>58</v>
      </c>
      <c r="F54" s="438" t="s">
        <v>58</v>
      </c>
      <c r="G54" s="438" t="s">
        <v>58</v>
      </c>
      <c r="H54" s="438" t="s">
        <v>58</v>
      </c>
      <c r="I54" s="437" t="s">
        <v>58</v>
      </c>
      <c r="J54" s="438" t="s">
        <v>58</v>
      </c>
      <c r="K54" s="438" t="s">
        <v>58</v>
      </c>
      <c r="L54" s="438" t="s">
        <v>58</v>
      </c>
      <c r="M54" s="438" t="s">
        <v>58</v>
      </c>
      <c r="N54" s="565" t="s">
        <v>63</v>
      </c>
      <c r="O54" s="438" t="s">
        <v>63</v>
      </c>
      <c r="P54" s="438" t="s">
        <v>63</v>
      </c>
      <c r="Q54" s="438" t="s">
        <v>63</v>
      </c>
      <c r="R54" s="439" t="s">
        <v>63</v>
      </c>
    </row>
    <row r="55" spans="2:31" ht="15" customHeight="1" x14ac:dyDescent="0.2">
      <c r="B55" s="1716" t="str">
        <f>$B$26</f>
        <v>North row</v>
      </c>
      <c r="C55" s="183" t="str">
        <f>$C$26</f>
        <v>1st-4th module</v>
      </c>
      <c r="D55" s="189">
        <f>IF(N55=-2,1000*($G$17*$G$18*$C$19)/625,1000*($G$17*$G$18*$C$19)/(MAX(150,MIN($G$16*MAX($G$14:$G$15),4*$G$16^2,4*(MIN($G$14:$G$15))^2))*(MAX(6.12,$G$16)/12.5)^N55))</f>
        <v>504.91278222705347</v>
      </c>
      <c r="E55" s="190">
        <f t="shared" ref="E55:H62" si="4">IF(O55=-2,1000*($G$17*$G$18*$C$19)/625,1000*($G$17*$G$18*$C$19)/(MAX(150,MIN($G$16*MAX($G$14:$G$15),4*$G$16^2,4*(MIN($G$14:$G$15))^2))*(MAX(6.12,$G$16)/12.5)^O55))</f>
        <v>386.25530831708727</v>
      </c>
      <c r="F55" s="190">
        <f t="shared" si="4"/>
        <v>295.48303876378742</v>
      </c>
      <c r="G55" s="190">
        <f t="shared" si="4"/>
        <v>295.48303876378742</v>
      </c>
      <c r="H55" s="573">
        <f t="shared" si="4"/>
        <v>295.48303876378742</v>
      </c>
      <c r="I55" s="189">
        <f>IF(N55=-2,1000*($G$17*$G$18*$C$16)/625,1000*($G$17*$G$18*$C$16)/(MAX(150,MIN($G$16*MAX($G$14:$G$15),4*$G$16^2,4*(MIN($G$14:$G$15))^2))*(MAX(6.12,$G$16)/12.5)^N55))</f>
        <v>155.83727846513997</v>
      </c>
      <c r="J55" s="190">
        <f t="shared" ref="J55:M62" si="5">IF(O55=-2,1000*($G$17*$G$18*$C$16)/625,1000*($G$17*$G$18*$C$16)/(MAX(150,MIN($G$16*MAX($G$14:$G$15),4*$G$16^2,4*(MIN($G$14:$G$15))^2))*(MAX(6.12,$G$16)/12.5)^O55))</f>
        <v>119.21460133243437</v>
      </c>
      <c r="K55" s="190">
        <f t="shared" si="5"/>
        <v>91.198468754255387</v>
      </c>
      <c r="L55" s="190">
        <f t="shared" si="5"/>
        <v>91.198468754255387</v>
      </c>
      <c r="M55" s="573">
        <f>IF(R55=-2,1000*($G$17*$G$18*$C$16)/625,1000*($G$17*$G$18*$C$16)/(MAX(150,MIN($G$16*MAX($G$14:$G$15),4*$G$16^2,4*(MIN($G$14:$G$15))^2))*(MAX(6.12,$G$16)/12.5)^R55))</f>
        <v>91.198468754255387</v>
      </c>
      <c r="N55" s="189">
        <v>-0.75</v>
      </c>
      <c r="O55" s="190">
        <v>-1.25</v>
      </c>
      <c r="P55" s="190">
        <v>-1.75</v>
      </c>
      <c r="Q55" s="190">
        <v>-1.75</v>
      </c>
      <c r="R55" s="191">
        <v>-1.75</v>
      </c>
    </row>
    <row r="56" spans="2:31" ht="15" customHeight="1" thickBot="1" x14ac:dyDescent="0.25">
      <c r="B56" s="1717"/>
      <c r="C56" s="277" t="str">
        <f>$C$27</f>
        <v>Interior modules</v>
      </c>
      <c r="D56" s="574">
        <f t="shared" ref="D56:D62" si="6">IF(N56=-2,1000*($G$17*$G$18*$C$19)/625,1000*($G$17*$G$18*$C$19)/(MAX(150,MIN($G$16*MAX($G$14:$G$15),4*$G$16^2,4*(MIN($G$14:$G$15))^2))*(MAX(6.12,$G$16)/12.5)^N56))</f>
        <v>504.91278222705347</v>
      </c>
      <c r="E56" s="575">
        <f t="shared" si="4"/>
        <v>386.25530831708727</v>
      </c>
      <c r="F56" s="575">
        <f t="shared" si="4"/>
        <v>295.48303876378742</v>
      </c>
      <c r="G56" s="575">
        <f t="shared" si="4"/>
        <v>295.48303876378742</v>
      </c>
      <c r="H56" s="576">
        <f t="shared" si="4"/>
        <v>295.48303876378742</v>
      </c>
      <c r="I56" s="574">
        <f t="shared" ref="I56:I62" si="7">IF(N56=-2,1000*($G$17*$G$18*$C$16)/625,1000*($G$17*$G$18*$C$16)/(MAX(150,MIN($G$16*MAX($G$14:$G$15),4*$G$16^2,4*(MIN($G$14:$G$15))^2))*(MAX(6.12,$G$16)/12.5)^N56))</f>
        <v>155.83727846513997</v>
      </c>
      <c r="J56" s="575">
        <f t="shared" si="5"/>
        <v>119.21460133243437</v>
      </c>
      <c r="K56" s="575">
        <f t="shared" si="5"/>
        <v>91.198468754255387</v>
      </c>
      <c r="L56" s="575">
        <f t="shared" si="5"/>
        <v>91.198468754255387</v>
      </c>
      <c r="M56" s="576">
        <f t="shared" si="5"/>
        <v>91.198468754255387</v>
      </c>
      <c r="N56" s="574">
        <v>-0.75</v>
      </c>
      <c r="O56" s="575">
        <v>-1.25</v>
      </c>
      <c r="P56" s="575">
        <v>-1.75</v>
      </c>
      <c r="Q56" s="575">
        <v>-1.75</v>
      </c>
      <c r="R56" s="577">
        <v>-1.75</v>
      </c>
    </row>
    <row r="57" spans="2:31" ht="15" customHeight="1" x14ac:dyDescent="0.2">
      <c r="B57" s="1716" t="str">
        <f>$B$28</f>
        <v>Inner rows, 2nd to 6th row from north</v>
      </c>
      <c r="C57" s="241" t="str">
        <f>$C$26</f>
        <v>1st-4th module</v>
      </c>
      <c r="D57" s="190">
        <f t="shared" si="6"/>
        <v>660.02178395171563</v>
      </c>
      <c r="E57" s="190">
        <f t="shared" si="4"/>
        <v>441.6166237499998</v>
      </c>
      <c r="F57" s="190">
        <f t="shared" si="4"/>
        <v>441.6166237499998</v>
      </c>
      <c r="G57" s="190">
        <f t="shared" si="4"/>
        <v>295.48303876378742</v>
      </c>
      <c r="H57" s="573">
        <f t="shared" si="4"/>
        <v>295.48303876378742</v>
      </c>
      <c r="I57" s="189">
        <f t="shared" si="7"/>
        <v>203.7104271455913</v>
      </c>
      <c r="J57" s="190">
        <f t="shared" si="5"/>
        <v>136.30142708333329</v>
      </c>
      <c r="K57" s="190">
        <f t="shared" si="5"/>
        <v>136.30142708333329</v>
      </c>
      <c r="L57" s="190">
        <f t="shared" si="5"/>
        <v>91.198468754255387</v>
      </c>
      <c r="M57" s="573">
        <f t="shared" si="5"/>
        <v>91.198468754255387</v>
      </c>
      <c r="N57" s="189">
        <v>-0.25</v>
      </c>
      <c r="O57" s="190">
        <v>-1</v>
      </c>
      <c r="P57" s="190">
        <v>-1</v>
      </c>
      <c r="Q57" s="190">
        <v>-1.75</v>
      </c>
      <c r="R57" s="191">
        <v>-1.75</v>
      </c>
    </row>
    <row r="58" spans="2:31" ht="15" customHeight="1" thickBot="1" x14ac:dyDescent="0.25">
      <c r="B58" s="1717"/>
      <c r="C58" s="524" t="str">
        <f>$C$27</f>
        <v>Interior modules</v>
      </c>
      <c r="D58" s="578">
        <f t="shared" si="6"/>
        <v>660.02178395171563</v>
      </c>
      <c r="E58" s="579">
        <f t="shared" si="4"/>
        <v>441.6166237499998</v>
      </c>
      <c r="F58" s="579">
        <f t="shared" si="4"/>
        <v>441.6166237499998</v>
      </c>
      <c r="G58" s="579">
        <f t="shared" si="4"/>
        <v>295.48303876378742</v>
      </c>
      <c r="H58" s="580">
        <f t="shared" si="4"/>
        <v>295.48303876378742</v>
      </c>
      <c r="I58" s="578">
        <f t="shared" si="7"/>
        <v>203.7104271455913</v>
      </c>
      <c r="J58" s="579">
        <f t="shared" si="5"/>
        <v>136.30142708333329</v>
      </c>
      <c r="K58" s="579">
        <f t="shared" si="5"/>
        <v>136.30142708333329</v>
      </c>
      <c r="L58" s="579">
        <f t="shared" si="5"/>
        <v>91.198468754255387</v>
      </c>
      <c r="M58" s="580">
        <f t="shared" si="5"/>
        <v>91.198468754255387</v>
      </c>
      <c r="N58" s="578">
        <v>-0.25</v>
      </c>
      <c r="O58" s="579">
        <v>-1</v>
      </c>
      <c r="P58" s="579">
        <v>-1</v>
      </c>
      <c r="Q58" s="579">
        <v>-1.75</v>
      </c>
      <c r="R58" s="581">
        <v>-1.75</v>
      </c>
    </row>
    <row r="59" spans="2:31" ht="15" customHeight="1" x14ac:dyDescent="0.2">
      <c r="B59" s="1716" t="str">
        <f>$B$30</f>
        <v>Inner rows, from 7th row from north</v>
      </c>
      <c r="C59" s="183" t="str">
        <f>$C$26</f>
        <v>1st-4th module</v>
      </c>
      <c r="D59" s="189">
        <f t="shared" si="6"/>
        <v>660.02178395171563</v>
      </c>
      <c r="E59" s="190">
        <f t="shared" si="4"/>
        <v>441.6166237499998</v>
      </c>
      <c r="F59" s="190">
        <f t="shared" si="4"/>
        <v>441.6166237499998</v>
      </c>
      <c r="G59" s="190">
        <f t="shared" si="4"/>
        <v>295.48303876378742</v>
      </c>
      <c r="H59" s="573">
        <f t="shared" si="4"/>
        <v>295.48303876378742</v>
      </c>
      <c r="I59" s="189">
        <f t="shared" si="7"/>
        <v>203.7104271455913</v>
      </c>
      <c r="J59" s="190">
        <f t="shared" si="5"/>
        <v>136.30142708333329</v>
      </c>
      <c r="K59" s="190">
        <f t="shared" si="5"/>
        <v>136.30142708333329</v>
      </c>
      <c r="L59" s="190">
        <f t="shared" si="5"/>
        <v>91.198468754255387</v>
      </c>
      <c r="M59" s="573">
        <f t="shared" si="5"/>
        <v>91.198468754255387</v>
      </c>
      <c r="N59" s="189">
        <v>-0.25</v>
      </c>
      <c r="O59" s="190">
        <v>-1</v>
      </c>
      <c r="P59" s="190">
        <v>-1</v>
      </c>
      <c r="Q59" s="190">
        <v>-1.75</v>
      </c>
      <c r="R59" s="191">
        <v>-1.75</v>
      </c>
    </row>
    <row r="60" spans="2:31" ht="15" customHeight="1" thickBot="1" x14ac:dyDescent="0.25">
      <c r="B60" s="1717"/>
      <c r="C60" s="277" t="str">
        <f>$C$27</f>
        <v>Interior modules</v>
      </c>
      <c r="D60" s="582">
        <f t="shared" si="6"/>
        <v>660.02178395171563</v>
      </c>
      <c r="E60" s="583">
        <f t="shared" si="4"/>
        <v>441.6166237499998</v>
      </c>
      <c r="F60" s="583">
        <f t="shared" si="4"/>
        <v>441.6166237499998</v>
      </c>
      <c r="G60" s="583">
        <f t="shared" si="4"/>
        <v>295.48303876378742</v>
      </c>
      <c r="H60" s="584">
        <f t="shared" si="4"/>
        <v>295.48303876378742</v>
      </c>
      <c r="I60" s="582">
        <f t="shared" si="7"/>
        <v>203.7104271455913</v>
      </c>
      <c r="J60" s="583">
        <f t="shared" si="5"/>
        <v>136.30142708333329</v>
      </c>
      <c r="K60" s="583">
        <f t="shared" si="5"/>
        <v>136.30142708333329</v>
      </c>
      <c r="L60" s="583">
        <f t="shared" si="5"/>
        <v>91.198468754255387</v>
      </c>
      <c r="M60" s="584">
        <f t="shared" si="5"/>
        <v>91.198468754255387</v>
      </c>
      <c r="N60" s="582">
        <v>-0.25</v>
      </c>
      <c r="O60" s="583">
        <v>-1</v>
      </c>
      <c r="P60" s="583">
        <v>-1</v>
      </c>
      <c r="Q60" s="583">
        <v>-1.75</v>
      </c>
      <c r="R60" s="585">
        <v>-1.75</v>
      </c>
    </row>
    <row r="61" spans="2:31" ht="15" customHeight="1" x14ac:dyDescent="0.2">
      <c r="B61" s="1716" t="str">
        <f>$B$32</f>
        <v>South row</v>
      </c>
      <c r="C61" s="183" t="str">
        <f>$C$26</f>
        <v>1st-4th module</v>
      </c>
      <c r="D61" s="189">
        <f t="shared" si="6"/>
        <v>660.02178395171563</v>
      </c>
      <c r="E61" s="190">
        <f t="shared" si="4"/>
        <v>441.6166237499998</v>
      </c>
      <c r="F61" s="190">
        <f t="shared" si="4"/>
        <v>441.6166237499998</v>
      </c>
      <c r="G61" s="190">
        <f t="shared" si="4"/>
        <v>295.48303876378742</v>
      </c>
      <c r="H61" s="573">
        <f t="shared" si="4"/>
        <v>295.48303876378742</v>
      </c>
      <c r="I61" s="189">
        <f t="shared" si="7"/>
        <v>203.7104271455913</v>
      </c>
      <c r="J61" s="190">
        <f t="shared" si="5"/>
        <v>136.30142708333329</v>
      </c>
      <c r="K61" s="190">
        <f t="shared" si="5"/>
        <v>136.30142708333329</v>
      </c>
      <c r="L61" s="190">
        <f t="shared" si="5"/>
        <v>91.198468754255387</v>
      </c>
      <c r="M61" s="573">
        <f t="shared" si="5"/>
        <v>91.198468754255387</v>
      </c>
      <c r="N61" s="189">
        <v>-0.25</v>
      </c>
      <c r="O61" s="190">
        <v>-1</v>
      </c>
      <c r="P61" s="190">
        <v>-1</v>
      </c>
      <c r="Q61" s="190">
        <v>-1.75</v>
      </c>
      <c r="R61" s="191">
        <v>-1.75</v>
      </c>
    </row>
    <row r="62" spans="2:31" ht="15" customHeight="1" thickBot="1" x14ac:dyDescent="0.25">
      <c r="B62" s="1717"/>
      <c r="C62" s="277" t="str">
        <f>$C$27</f>
        <v>Interior modules</v>
      </c>
      <c r="D62" s="578">
        <f t="shared" si="6"/>
        <v>660.02178395171563</v>
      </c>
      <c r="E62" s="579">
        <f t="shared" si="4"/>
        <v>441.6166237499998</v>
      </c>
      <c r="F62" s="579">
        <f t="shared" si="4"/>
        <v>441.6166237499998</v>
      </c>
      <c r="G62" s="579">
        <f t="shared" si="4"/>
        <v>295.48303876378742</v>
      </c>
      <c r="H62" s="580">
        <f>IF(R62=-2,1000*($G$17*$G$18*$C$19)/625,1000*($G$17*$G$18*$C$19)/(MAX(150,MIN($G$16*MAX($G$14:$G$15),4*$G$16^2,4*(MIN($G$14:$G$15))^2))*(MAX(6.12,$G$16)/12.5)^R62))</f>
        <v>295.48303876378742</v>
      </c>
      <c r="I62" s="578">
        <f t="shared" si="7"/>
        <v>203.7104271455913</v>
      </c>
      <c r="J62" s="579">
        <f t="shared" si="5"/>
        <v>136.30142708333329</v>
      </c>
      <c r="K62" s="579">
        <f t="shared" si="5"/>
        <v>136.30142708333329</v>
      </c>
      <c r="L62" s="579">
        <f t="shared" si="5"/>
        <v>91.198468754255387</v>
      </c>
      <c r="M62" s="580">
        <f>IF(R62=-2,1000*($G$17*$G$18*$C$16)/625,1000*($G$17*$G$18*$C$16)/(MAX(150,MIN($G$16*MAX($G$14:$G$15),4*$G$16^2,4*(MIN($G$14:$G$15))^2))*(MAX(6.12,$G$16)/12.5)^R62))</f>
        <v>91.198468754255387</v>
      </c>
      <c r="N62" s="578">
        <v>-0.25</v>
      </c>
      <c r="O62" s="579">
        <v>-1</v>
      </c>
      <c r="P62" s="579">
        <v>-1</v>
      </c>
      <c r="Q62" s="579">
        <v>-1.75</v>
      </c>
      <c r="R62" s="581">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468</v>
      </c>
      <c r="M65" s="121"/>
      <c r="V65" s="121">
        <v>0</v>
      </c>
      <c r="W65" s="121">
        <v>3</v>
      </c>
      <c r="X65" s="121">
        <v>6</v>
      </c>
      <c r="Y65" s="121">
        <v>9</v>
      </c>
      <c r="Z65" s="121">
        <v>12</v>
      </c>
      <c r="AA65" s="121">
        <v>0</v>
      </c>
      <c r="AB65" s="121">
        <v>3</v>
      </c>
      <c r="AC65" s="121">
        <v>6</v>
      </c>
      <c r="AD65" s="121">
        <v>9</v>
      </c>
      <c r="AE65" s="121">
        <v>12</v>
      </c>
    </row>
    <row r="66" spans="2:71" ht="15" customHeight="1" thickBot="1" x14ac:dyDescent="0.3">
      <c r="D66" s="591"/>
      <c r="E66" s="592"/>
      <c r="F66" s="592" t="str">
        <f>$F$23</f>
        <v>Sliding</v>
      </c>
      <c r="G66" s="592"/>
      <c r="H66" s="592"/>
      <c r="I66" s="591"/>
      <c r="J66" s="592"/>
      <c r="K66" s="592" t="str">
        <f>$K$23</f>
        <v>Uplift</v>
      </c>
      <c r="L66" s="592"/>
      <c r="M66" s="593"/>
      <c r="V66" s="618" t="s">
        <v>473</v>
      </c>
      <c r="W66" s="619"/>
      <c r="X66" s="619"/>
      <c r="Y66" s="619"/>
      <c r="Z66" s="619"/>
      <c r="AA66" s="619"/>
      <c r="AB66" s="619"/>
      <c r="AC66" s="619"/>
      <c r="AD66" s="619"/>
      <c r="AE66" s="620"/>
      <c r="AF66" s="618" t="s">
        <v>83</v>
      </c>
      <c r="AG66" s="619"/>
      <c r="AH66" s="619"/>
      <c r="AI66" s="619"/>
      <c r="AJ66" s="619"/>
      <c r="AK66" s="619"/>
      <c r="AL66" s="619"/>
      <c r="AM66" s="619"/>
      <c r="AN66" s="619"/>
      <c r="AO66" s="620"/>
      <c r="AP66" s="618" t="s">
        <v>84</v>
      </c>
      <c r="AQ66" s="619"/>
      <c r="AR66" s="619"/>
      <c r="AS66" s="619"/>
      <c r="AT66" s="619"/>
      <c r="AU66" s="619"/>
      <c r="AV66" s="619"/>
      <c r="AW66" s="619"/>
      <c r="AX66" s="619"/>
      <c r="AY66" s="620"/>
      <c r="AZ66" s="618" t="s">
        <v>85</v>
      </c>
      <c r="BA66" s="619"/>
      <c r="BB66" s="619"/>
      <c r="BC66" s="619"/>
      <c r="BD66" s="619"/>
      <c r="BE66" s="619"/>
      <c r="BF66" s="619"/>
      <c r="BG66" s="619"/>
      <c r="BH66" s="619"/>
      <c r="BI66" s="620"/>
      <c r="BJ66" s="618" t="s">
        <v>86</v>
      </c>
      <c r="BK66" s="619"/>
      <c r="BL66" s="619"/>
      <c r="BM66" s="619"/>
      <c r="BN66" s="619"/>
      <c r="BO66" s="619"/>
      <c r="BP66" s="619"/>
      <c r="BQ66" s="619"/>
      <c r="BR66" s="619"/>
      <c r="BS66" s="620"/>
    </row>
    <row r="67" spans="2:71" ht="15" customHeight="1" thickBot="1" x14ac:dyDescent="0.3">
      <c r="D67" s="437" t="str">
        <f>$D$24</f>
        <v>Roof position 1</v>
      </c>
      <c r="E67" s="438" t="str">
        <f>$E$24</f>
        <v>Roof position 2</v>
      </c>
      <c r="F67" s="438" t="str">
        <f>$F$24</f>
        <v>Roof position 3</v>
      </c>
      <c r="G67" s="438" t="str">
        <f>$G$24</f>
        <v>Roof position 4</v>
      </c>
      <c r="H67" s="526" t="str">
        <f>$H$24</f>
        <v>Roof position 5</v>
      </c>
      <c r="I67" s="437" t="str">
        <f>$I$24</f>
        <v>Roof position 1</v>
      </c>
      <c r="J67" s="438" t="str">
        <f>$J$24</f>
        <v>Roof position 2</v>
      </c>
      <c r="K67" s="438" t="str">
        <f>$K$24</f>
        <v>Roof position 3</v>
      </c>
      <c r="L67" s="438" t="str">
        <f>$L$24</f>
        <v>Roof position 4</v>
      </c>
      <c r="M67" s="439" t="str">
        <f>$H$24</f>
        <v>Roof position 5</v>
      </c>
      <c r="S67"/>
      <c r="V67" s="591"/>
      <c r="W67" s="592"/>
      <c r="X67" s="592" t="str">
        <f>$F$23</f>
        <v>Sliding</v>
      </c>
      <c r="Y67" s="592"/>
      <c r="Z67" s="592"/>
      <c r="AA67" s="591"/>
      <c r="AB67" s="592"/>
      <c r="AC67" s="592" t="str">
        <f>$K$23</f>
        <v>Uplift</v>
      </c>
      <c r="AD67" s="592"/>
      <c r="AE67" s="593"/>
      <c r="AF67" s="591"/>
      <c r="AG67" s="592"/>
      <c r="AH67" s="592" t="str">
        <f>$F$23</f>
        <v>Sliding</v>
      </c>
      <c r="AI67" s="592"/>
      <c r="AJ67" s="592"/>
      <c r="AK67" s="591"/>
      <c r="AL67" s="592"/>
      <c r="AM67" s="592" t="str">
        <f>$K$23</f>
        <v>Uplift</v>
      </c>
      <c r="AN67" s="592"/>
      <c r="AO67" s="593"/>
      <c r="AP67" s="591"/>
      <c r="AQ67" s="592"/>
      <c r="AR67" s="592" t="str">
        <f>$F$23</f>
        <v>Sliding</v>
      </c>
      <c r="AS67" s="592"/>
      <c r="AT67" s="592"/>
      <c r="AU67" s="591"/>
      <c r="AV67" s="592"/>
      <c r="AW67" s="592" t="str">
        <f>$K$23</f>
        <v>Uplift</v>
      </c>
      <c r="AX67" s="592"/>
      <c r="AY67" s="593"/>
      <c r="AZ67" s="591"/>
      <c r="BA67" s="592"/>
      <c r="BB67" s="592" t="str">
        <f>$F$23</f>
        <v>Sliding</v>
      </c>
      <c r="BC67" s="592"/>
      <c r="BD67" s="592"/>
      <c r="BE67" s="591"/>
      <c r="BF67" s="592"/>
      <c r="BG67" s="592" t="str">
        <f>$K$23</f>
        <v>Uplift</v>
      </c>
      <c r="BH67" s="592"/>
      <c r="BI67" s="593"/>
      <c r="BJ67" s="591"/>
      <c r="BK67" s="592"/>
      <c r="BL67" s="592" t="str">
        <f>$F$23</f>
        <v>Sliding</v>
      </c>
      <c r="BM67" s="592"/>
      <c r="BN67" s="592"/>
      <c r="BO67" s="591"/>
      <c r="BP67" s="592"/>
      <c r="BQ67" s="592" t="str">
        <f>$K$23</f>
        <v>Uplift</v>
      </c>
      <c r="BR67" s="592"/>
      <c r="BS67" s="593"/>
    </row>
    <row r="68" spans="2:71" ht="15" customHeight="1" thickBot="1" x14ac:dyDescent="0.3">
      <c r="B68" s="143"/>
      <c r="C68" s="231"/>
      <c r="D68" s="437" t="s">
        <v>68</v>
      </c>
      <c r="E68" s="438" t="s">
        <v>68</v>
      </c>
      <c r="F68" s="438" t="s">
        <v>68</v>
      </c>
      <c r="G68" s="438" t="s">
        <v>68</v>
      </c>
      <c r="H68" s="438" t="s">
        <v>68</v>
      </c>
      <c r="I68" s="437" t="s">
        <v>69</v>
      </c>
      <c r="J68" s="438" t="s">
        <v>69</v>
      </c>
      <c r="K68" s="438" t="s">
        <v>69</v>
      </c>
      <c r="L68" s="438" t="s">
        <v>69</v>
      </c>
      <c r="M68" s="439" t="s">
        <v>69</v>
      </c>
      <c r="S68"/>
      <c r="T68" s="143"/>
      <c r="U68" s="231"/>
      <c r="V68" s="437" t="str">
        <f>$D$24</f>
        <v>Roof position 1</v>
      </c>
      <c r="W68" s="438" t="str">
        <f>$E$24</f>
        <v>Roof position 2</v>
      </c>
      <c r="X68" s="438" t="str">
        <f>$F$24</f>
        <v>Roof position 3</v>
      </c>
      <c r="Y68" s="438" t="str">
        <f>$G$24</f>
        <v>Roof position 4</v>
      </c>
      <c r="Z68" s="526" t="str">
        <f>$H$24</f>
        <v>Roof position 5</v>
      </c>
      <c r="AA68" s="437" t="str">
        <f>$I$24</f>
        <v>Roof position 1</v>
      </c>
      <c r="AB68" s="438" t="str">
        <f>$J$24</f>
        <v>Roof position 2</v>
      </c>
      <c r="AC68" s="438" t="str">
        <f>$K$24</f>
        <v>Roof position 3</v>
      </c>
      <c r="AD68" s="438" t="str">
        <f>$L$24</f>
        <v>Roof position 4</v>
      </c>
      <c r="AE68" s="439" t="str">
        <f>$H$24</f>
        <v>Roof position 5</v>
      </c>
      <c r="AF68" s="437" t="str">
        <f>$D$24</f>
        <v>Roof position 1</v>
      </c>
      <c r="AG68" s="438" t="str">
        <f>$E$24</f>
        <v>Roof position 2</v>
      </c>
      <c r="AH68" s="438" t="str">
        <f>$F$24</f>
        <v>Roof position 3</v>
      </c>
      <c r="AI68" s="438" t="str">
        <f>$G$24</f>
        <v>Roof position 4</v>
      </c>
      <c r="AJ68" s="526" t="str">
        <f>$H$24</f>
        <v>Roof position 5</v>
      </c>
      <c r="AK68" s="437" t="str">
        <f>$I$24</f>
        <v>Roof position 1</v>
      </c>
      <c r="AL68" s="438" t="str">
        <f>$J$24</f>
        <v>Roof position 2</v>
      </c>
      <c r="AM68" s="438" t="str">
        <f>$K$24</f>
        <v>Roof position 3</v>
      </c>
      <c r="AN68" s="438" t="str">
        <f>$L$24</f>
        <v>Roof position 4</v>
      </c>
      <c r="AO68" s="439" t="str">
        <f>$H$24</f>
        <v>Roof position 5</v>
      </c>
      <c r="AP68" s="437" t="str">
        <f>$D$24</f>
        <v>Roof position 1</v>
      </c>
      <c r="AQ68" s="438" t="str">
        <f>$E$24</f>
        <v>Roof position 2</v>
      </c>
      <c r="AR68" s="438" t="str">
        <f>$F$24</f>
        <v>Roof position 3</v>
      </c>
      <c r="AS68" s="438" t="str">
        <f>$G$24</f>
        <v>Roof position 4</v>
      </c>
      <c r="AT68" s="526" t="str">
        <f>$H$24</f>
        <v>Roof position 5</v>
      </c>
      <c r="AU68" s="437" t="str">
        <f>$I$24</f>
        <v>Roof position 1</v>
      </c>
      <c r="AV68" s="438" t="str">
        <f>$J$24</f>
        <v>Roof position 2</v>
      </c>
      <c r="AW68" s="438" t="str">
        <f>$K$24</f>
        <v>Roof position 3</v>
      </c>
      <c r="AX68" s="438" t="str">
        <f>$L$24</f>
        <v>Roof position 4</v>
      </c>
      <c r="AY68" s="439" t="str">
        <f>$H$24</f>
        <v>Roof position 5</v>
      </c>
      <c r="AZ68" s="437" t="str">
        <f>$D$24</f>
        <v>Roof position 1</v>
      </c>
      <c r="BA68" s="438" t="str">
        <f>$E$24</f>
        <v>Roof position 2</v>
      </c>
      <c r="BB68" s="438" t="str">
        <f>$F$24</f>
        <v>Roof position 3</v>
      </c>
      <c r="BC68" s="438" t="str">
        <f>$G$24</f>
        <v>Roof position 4</v>
      </c>
      <c r="BD68" s="526" t="str">
        <f>$H$24</f>
        <v>Roof position 5</v>
      </c>
      <c r="BE68" s="437" t="str">
        <f>$I$24</f>
        <v>Roof position 1</v>
      </c>
      <c r="BF68" s="438" t="str">
        <f>$J$24</f>
        <v>Roof position 2</v>
      </c>
      <c r="BG68" s="438" t="str">
        <f>$K$24</f>
        <v>Roof position 3</v>
      </c>
      <c r="BH68" s="438" t="str">
        <f>$L$24</f>
        <v>Roof position 4</v>
      </c>
      <c r="BI68" s="439" t="str">
        <f>$H$24</f>
        <v>Roof position 5</v>
      </c>
      <c r="BJ68" s="437" t="str">
        <f>$D$24</f>
        <v>Roof position 1</v>
      </c>
      <c r="BK68" s="438" t="str">
        <f>$E$24</f>
        <v>Roof position 2</v>
      </c>
      <c r="BL68" s="438" t="str">
        <f>$F$24</f>
        <v>Roof position 3</v>
      </c>
      <c r="BM68" s="438" t="str">
        <f>$G$24</f>
        <v>Roof position 4</v>
      </c>
      <c r="BN68" s="526" t="str">
        <f>$H$24</f>
        <v>Roof position 5</v>
      </c>
      <c r="BO68" s="437" t="str">
        <f>$I$24</f>
        <v>Roof position 1</v>
      </c>
      <c r="BP68" s="438" t="str">
        <f>$J$24</f>
        <v>Roof position 2</v>
      </c>
      <c r="BQ68" s="438" t="str">
        <f>$K$24</f>
        <v>Roof position 3</v>
      </c>
      <c r="BR68" s="438" t="str">
        <f>$L$24</f>
        <v>Roof position 4</v>
      </c>
      <c r="BS68" s="439" t="str">
        <f>$H$24</f>
        <v>Roof position 5</v>
      </c>
    </row>
    <row r="69" spans="2:71" ht="15" customHeight="1" x14ac:dyDescent="0.25">
      <c r="B69" s="1716" t="str">
        <f>$B$26</f>
        <v>North row</v>
      </c>
      <c r="C69" s="183" t="str">
        <f>$C$26</f>
        <v>1st-4th module</v>
      </c>
      <c r="D69" s="189">
        <f ca="1">AF69+(AP69-AF69)/(LOG(BJ69)-LOG(AZ69))*(LOG(D55)-LOG(AZ69))</f>
        <v>-0.12443615823918312</v>
      </c>
      <c r="E69" s="190">
        <f t="shared" ref="E69:M69" ca="1" si="8">AG69+(AQ69-AG69)/(LOG(BK69)-LOG(BA69))*(LOG(E55)-LOG(BA69))</f>
        <v>-0.13605265413361239</v>
      </c>
      <c r="F69" s="190">
        <f t="shared" ca="1" si="8"/>
        <v>-0.11</v>
      </c>
      <c r="G69" s="190">
        <f t="shared" ca="1" si="8"/>
        <v>-0.11</v>
      </c>
      <c r="H69" s="573">
        <f t="shared" ca="1" si="8"/>
        <v>-0.1</v>
      </c>
      <c r="I69" s="189">
        <f t="shared" ca="1" si="8"/>
        <v>-0.1554951756862136</v>
      </c>
      <c r="J69" s="190">
        <f t="shared" ca="1" si="8"/>
        <v>-0.23221876300340111</v>
      </c>
      <c r="K69" s="190">
        <f t="shared" ca="1" si="8"/>
        <v>-0.14454925740383925</v>
      </c>
      <c r="L69" s="190">
        <f t="shared" ca="1" si="8"/>
        <v>-0.15307267270071306</v>
      </c>
      <c r="M69" s="191">
        <f t="shared" ca="1" si="8"/>
        <v>-0.15787349384034235</v>
      </c>
      <c r="S69">
        <v>0</v>
      </c>
      <c r="T69" s="954"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73"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-0.11</v>
      </c>
      <c r="AI69" s="190">
        <f t="shared" ca="1" si="10"/>
        <v>-0.11</v>
      </c>
      <c r="AJ69" s="573">
        <f t="shared" ca="1" si="10"/>
        <v>-0.1</v>
      </c>
      <c r="AK69" s="189">
        <f t="shared" ca="1" si="10"/>
        <v>-0.17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73">
        <f t="shared" ca="1" si="11"/>
        <v>-0.1</v>
      </c>
      <c r="AU69" s="189">
        <f t="shared" ca="1" si="11"/>
        <v>-0.11</v>
      </c>
      <c r="AV69" s="190">
        <f t="shared" ca="1" si="11"/>
        <v>-0.12</v>
      </c>
      <c r="AW69" s="190">
        <f t="shared" ca="1" si="11"/>
        <v>-0.1</v>
      </c>
      <c r="AX69" s="190">
        <f t="shared" ca="1" si="11"/>
        <v>-0.1</v>
      </c>
      <c r="AY69" s="191">
        <f t="shared" ca="1" si="11"/>
        <v>-0.1</v>
      </c>
      <c r="AZ69" s="641">
        <f ca="1">INDEX(OFFSET(INDIRECT(V69),0,0),MATCH(D55,INDIRECT(V69),1))</f>
        <v>90</v>
      </c>
      <c r="BA69" s="642">
        <f t="shared" ref="BA69:BI69" ca="1" si="12">INDEX(OFFSET(INDIRECT(W69),0,0),MATCH(E55,INDIRECT(W69),1))</f>
        <v>25</v>
      </c>
      <c r="BB69" s="642">
        <f t="shared" ca="1" si="12"/>
        <v>147</v>
      </c>
      <c r="BC69" s="642">
        <f t="shared" ca="1" si="12"/>
        <v>160</v>
      </c>
      <c r="BD69" s="643">
        <f t="shared" ca="1" si="12"/>
        <v>168</v>
      </c>
      <c r="BE69" s="641">
        <f t="shared" ca="1" si="12"/>
        <v>90</v>
      </c>
      <c r="BF69" s="642">
        <f t="shared" ca="1" si="12"/>
        <v>25</v>
      </c>
      <c r="BG69" s="642">
        <f t="shared" ca="1" si="12"/>
        <v>12.5</v>
      </c>
      <c r="BH69" s="642">
        <f t="shared" ca="1" si="12"/>
        <v>14</v>
      </c>
      <c r="BI69" s="644">
        <f t="shared" ca="1" si="12"/>
        <v>12</v>
      </c>
      <c r="BJ69" s="641">
        <f ca="1">INDEX(OFFSET(INDIRECT(V69),0,0),MATCH(D55,INDIRECT(V69),1)+1)</f>
        <v>872</v>
      </c>
      <c r="BK69" s="642">
        <f t="shared" ref="BK69:BS69" ca="1" si="13">INDEX(OFFSET(INDIRECT(W69),0,0),MATCH(E55,INDIRECT(W69),1)+1)</f>
        <v>470</v>
      </c>
      <c r="BL69" s="642">
        <f t="shared" ca="1" si="13"/>
        <v>10000</v>
      </c>
      <c r="BM69" s="642">
        <f t="shared" ca="1" si="13"/>
        <v>10000</v>
      </c>
      <c r="BN69" s="643">
        <f t="shared" ca="1" si="13"/>
        <v>10000</v>
      </c>
      <c r="BO69" s="641">
        <f t="shared" ca="1" si="13"/>
        <v>872</v>
      </c>
      <c r="BP69" s="642">
        <f t="shared" ca="1" si="13"/>
        <v>470</v>
      </c>
      <c r="BQ69" s="642">
        <f t="shared" ca="1" si="13"/>
        <v>147</v>
      </c>
      <c r="BR69" s="642">
        <f t="shared" ca="1" si="13"/>
        <v>160</v>
      </c>
      <c r="BS69" s="644">
        <f t="shared" ca="1" si="13"/>
        <v>168</v>
      </c>
    </row>
    <row r="70" spans="2:71" ht="15" customHeight="1" thickBot="1" x14ac:dyDescent="0.3">
      <c r="B70" s="1717"/>
      <c r="C70" s="277" t="str">
        <f>$C$27</f>
        <v>Interior modules</v>
      </c>
      <c r="D70" s="574">
        <f t="shared" ref="D70:M76" ca="1" si="14">AF70+(AP70-AF70)/(LOG(BJ70)-LOG(AZ70))*(LOG(D56)-LOG(AZ70))</f>
        <v>-0.11924240117718184</v>
      </c>
      <c r="E70" s="575">
        <f t="shared" ca="1" si="14"/>
        <v>-0.13577745649752243</v>
      </c>
      <c r="F70" s="575">
        <f t="shared" ca="1" si="14"/>
        <v>-0.11</v>
      </c>
      <c r="G70" s="575">
        <f t="shared" ca="1" si="14"/>
        <v>-0.11</v>
      </c>
      <c r="H70" s="576">
        <f t="shared" ca="1" si="14"/>
        <v>-0.1</v>
      </c>
      <c r="I70" s="574">
        <f t="shared" ca="1" si="14"/>
        <v>-0.13912718594182913</v>
      </c>
      <c r="J70" s="575">
        <f t="shared" ca="1" si="14"/>
        <v>-0.25720251121220794</v>
      </c>
      <c r="K70" s="575">
        <f t="shared" ca="1" si="14"/>
        <v>-0.11551423376553438</v>
      </c>
      <c r="L70" s="575">
        <f t="shared" ca="1" si="14"/>
        <v>-0.14615972268617342</v>
      </c>
      <c r="M70" s="577">
        <f t="shared" ca="1" si="14"/>
        <v>-0.15968370278162375</v>
      </c>
      <c r="S70">
        <v>7</v>
      </c>
      <c r="T70" s="955"/>
      <c r="U70" s="277" t="str">
        <f>$C$27</f>
        <v>Interior modules</v>
      </c>
      <c r="V70" s="574" t="str">
        <f t="shared" si="9"/>
        <v>C103:C107</v>
      </c>
      <c r="W70" s="575" t="str">
        <f t="shared" si="9"/>
        <v>F103:F107</v>
      </c>
      <c r="X70" s="575" t="str">
        <f t="shared" si="9"/>
        <v>I103:I107</v>
      </c>
      <c r="Y70" s="575" t="str">
        <f t="shared" si="9"/>
        <v>L103:L107</v>
      </c>
      <c r="Z70" s="576" t="str">
        <f t="shared" si="9"/>
        <v>O103:O107</v>
      </c>
      <c r="AA70" s="574" t="str">
        <f t="shared" si="9"/>
        <v>C161:C165</v>
      </c>
      <c r="AB70" s="575" t="str">
        <f t="shared" si="9"/>
        <v>F161:F165</v>
      </c>
      <c r="AC70" s="575" t="str">
        <f t="shared" si="9"/>
        <v>I161:I165</v>
      </c>
      <c r="AD70" s="575" t="str">
        <f t="shared" si="9"/>
        <v>L161:L165</v>
      </c>
      <c r="AE70" s="577" t="str">
        <f t="shared" si="9"/>
        <v>O161:O165</v>
      </c>
      <c r="AF70" s="574">
        <f t="shared" ref="AF70:AO76" ca="1" si="15">INDEX(OFFSET(INDIRECT(V70),0,1),MATCH(D56,INDIRECT(V70),1))</f>
        <v>-0.14000000000000001</v>
      </c>
      <c r="AG70" s="575">
        <f t="shared" ca="1" si="15"/>
        <v>-0.37</v>
      </c>
      <c r="AH70" s="575">
        <f t="shared" ca="1" si="15"/>
        <v>-0.11</v>
      </c>
      <c r="AI70" s="575">
        <f t="shared" ca="1" si="15"/>
        <v>-0.11</v>
      </c>
      <c r="AJ70" s="576">
        <f t="shared" ca="1" si="15"/>
        <v>-0.1</v>
      </c>
      <c r="AK70" s="574">
        <f t="shared" ca="1" si="15"/>
        <v>-0.14000000000000001</v>
      </c>
      <c r="AL70" s="575">
        <f t="shared" ca="1" si="15"/>
        <v>-0.37</v>
      </c>
      <c r="AM70" s="575">
        <f t="shared" ca="1" si="15"/>
        <v>-0.28000000000000003</v>
      </c>
      <c r="AN70" s="575">
        <f t="shared" ca="1" si="15"/>
        <v>-0.32</v>
      </c>
      <c r="AO70" s="577">
        <f t="shared" ca="1" si="15"/>
        <v>-0.35</v>
      </c>
      <c r="AP70" s="574">
        <f t="shared" ref="AP70:AY76" ca="1" si="16">INDEX(OFFSET(INDIRECT(V70),0,1),MATCH(D56,INDIRECT(V70),1)+1)</f>
        <v>-0.11</v>
      </c>
      <c r="AQ70" s="575">
        <f t="shared" ca="1" si="16"/>
        <v>-0.12</v>
      </c>
      <c r="AR70" s="575">
        <f t="shared" ca="1" si="16"/>
        <v>-0.11</v>
      </c>
      <c r="AS70" s="575">
        <f t="shared" ca="1" si="16"/>
        <v>-0.11</v>
      </c>
      <c r="AT70" s="576">
        <f t="shared" ca="1" si="16"/>
        <v>-0.1</v>
      </c>
      <c r="AU70" s="574">
        <f t="shared" ca="1" si="16"/>
        <v>-0.11</v>
      </c>
      <c r="AV70" s="575">
        <f t="shared" ca="1" si="16"/>
        <v>-0.12</v>
      </c>
      <c r="AW70" s="575">
        <f t="shared" ca="1" si="16"/>
        <v>-0.1</v>
      </c>
      <c r="AX70" s="575">
        <f t="shared" ca="1" si="16"/>
        <v>-0.1</v>
      </c>
      <c r="AY70" s="577">
        <f t="shared" ca="1" si="16"/>
        <v>-0.1</v>
      </c>
      <c r="AZ70" s="645">
        <f t="shared" ref="AZ70:BI76" ca="1" si="17">INDEX(OFFSET(INDIRECT(V70),0,0),MATCH(D56,INDIRECT(V70),1))</f>
        <v>148</v>
      </c>
      <c r="BA70" s="646">
        <f t="shared" ca="1" si="17"/>
        <v>40</v>
      </c>
      <c r="BB70" s="646">
        <f t="shared" ca="1" si="17"/>
        <v>110</v>
      </c>
      <c r="BC70" s="646">
        <f t="shared" ca="1" si="17"/>
        <v>150</v>
      </c>
      <c r="BD70" s="647">
        <f t="shared" ca="1" si="17"/>
        <v>168</v>
      </c>
      <c r="BE70" s="645">
        <f t="shared" ca="1" si="17"/>
        <v>148</v>
      </c>
      <c r="BF70" s="646">
        <f t="shared" ca="1" si="17"/>
        <v>40</v>
      </c>
      <c r="BG70" s="646">
        <f t="shared" ca="1" si="17"/>
        <v>12.5</v>
      </c>
      <c r="BH70" s="646">
        <f t="shared" ca="1" si="17"/>
        <v>14</v>
      </c>
      <c r="BI70" s="648">
        <f t="shared" ca="1" si="17"/>
        <v>13</v>
      </c>
      <c r="BJ70" s="645">
        <f t="shared" ref="BJ70:BS76" ca="1" si="18">INDEX(OFFSET(INDIRECT(V70),0,0),MATCH(D56,INDIRECT(V70),1)+1)</f>
        <v>872</v>
      </c>
      <c r="BK70" s="646">
        <f t="shared" ca="1" si="18"/>
        <v>450</v>
      </c>
      <c r="BL70" s="646">
        <f t="shared" ca="1" si="18"/>
        <v>10000</v>
      </c>
      <c r="BM70" s="646">
        <f t="shared" ca="1" si="18"/>
        <v>10000</v>
      </c>
      <c r="BN70" s="647">
        <f t="shared" ca="1" si="18"/>
        <v>10000</v>
      </c>
      <c r="BO70" s="645">
        <f t="shared" ca="1" si="18"/>
        <v>872</v>
      </c>
      <c r="BP70" s="646">
        <f t="shared" ca="1" si="18"/>
        <v>450</v>
      </c>
      <c r="BQ70" s="646">
        <f t="shared" ca="1" si="18"/>
        <v>110</v>
      </c>
      <c r="BR70" s="646">
        <f t="shared" ca="1" si="18"/>
        <v>150</v>
      </c>
      <c r="BS70" s="648">
        <f t="shared" ca="1" si="18"/>
        <v>168</v>
      </c>
    </row>
    <row r="71" spans="2:71" ht="15" customHeight="1" x14ac:dyDescent="0.25">
      <c r="B71" s="1716" t="str">
        <f>$B$28</f>
        <v>Inner rows, 2nd to 6th row from north</v>
      </c>
      <c r="C71" s="183" t="str">
        <f>$C$26</f>
        <v>1st-4th module</v>
      </c>
      <c r="D71" s="189">
        <f t="shared" ca="1" si="14"/>
        <v>-0.11609063313660083</v>
      </c>
      <c r="E71" s="190">
        <f t="shared" ca="1" si="14"/>
        <v>-0.13581670555543396</v>
      </c>
      <c r="F71" s="190">
        <f t="shared" ca="1" si="14"/>
        <v>-0.11</v>
      </c>
      <c r="G71" s="190">
        <f t="shared" ca="1" si="14"/>
        <v>-0.11</v>
      </c>
      <c r="H71" s="573">
        <f t="shared" ca="1" si="14"/>
        <v>-0.1</v>
      </c>
      <c r="I71" s="189">
        <f t="shared" ca="1" si="14"/>
        <v>-0.14179820784697567</v>
      </c>
      <c r="J71" s="190">
        <f t="shared" ca="1" si="14"/>
        <v>-0.16335526528756353</v>
      </c>
      <c r="K71" s="190">
        <f t="shared" ca="1" si="14"/>
        <v>-0.1</v>
      </c>
      <c r="L71" s="190">
        <f t="shared" ca="1" si="14"/>
        <v>-0.1041063812876368</v>
      </c>
      <c r="M71" s="191">
        <f t="shared" ca="1" si="14"/>
        <v>-0.1</v>
      </c>
      <c r="S71">
        <v>14</v>
      </c>
      <c r="T71" s="954" t="str">
        <f>$B$28</f>
        <v>Inner rows, 2nd to 6th row from north</v>
      </c>
      <c r="U71" s="183" t="str">
        <f>$C$26</f>
        <v>1st-4th module</v>
      </c>
      <c r="V71" s="189" t="str">
        <f t="shared" si="9"/>
        <v>C110:C114</v>
      </c>
      <c r="W71" s="190" t="str">
        <f t="shared" si="9"/>
        <v>F110:F114</v>
      </c>
      <c r="X71" s="190" t="str">
        <f t="shared" si="9"/>
        <v>I110:I114</v>
      </c>
      <c r="Y71" s="190" t="str">
        <f t="shared" si="9"/>
        <v>L110:L114</v>
      </c>
      <c r="Z71" s="573"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-0.11</v>
      </c>
      <c r="AJ71" s="573">
        <f t="shared" ca="1" si="15"/>
        <v>-0.1</v>
      </c>
      <c r="AK71" s="189">
        <f t="shared" ca="1" si="15"/>
        <v>-0.15</v>
      </c>
      <c r="AL71" s="190">
        <f t="shared" ca="1" si="15"/>
        <v>-0.22</v>
      </c>
      <c r="AM71" s="190">
        <f t="shared" ca="1" si="15"/>
        <v>-0.1</v>
      </c>
      <c r="AN71" s="190">
        <f t="shared" ca="1" si="15"/>
        <v>-0.12</v>
      </c>
      <c r="AO71" s="191">
        <f t="shared" ca="1" si="15"/>
        <v>-0.1</v>
      </c>
      <c r="AP71" s="189">
        <f t="shared" ca="1" si="16"/>
        <v>-0.11</v>
      </c>
      <c r="AQ71" s="190">
        <f t="shared" ca="1" si="16"/>
        <v>-0.12</v>
      </c>
      <c r="AR71" s="190">
        <f t="shared" ca="1" si="16"/>
        <v>-0.11</v>
      </c>
      <c r="AS71" s="190">
        <f t="shared" ca="1" si="16"/>
        <v>-0.11</v>
      </c>
      <c r="AT71" s="573">
        <f t="shared" ca="1" si="16"/>
        <v>-0.1</v>
      </c>
      <c r="AU71" s="189">
        <f t="shared" ca="1" si="16"/>
        <v>-0.11</v>
      </c>
      <c r="AV71" s="190">
        <f t="shared" ca="1" si="16"/>
        <v>-0.12</v>
      </c>
      <c r="AW71" s="190">
        <f t="shared" ca="1" si="16"/>
        <v>-0.1</v>
      </c>
      <c r="AX71" s="190">
        <f t="shared" ca="1" si="16"/>
        <v>-0.1</v>
      </c>
      <c r="AY71" s="191">
        <f t="shared" ca="1" si="16"/>
        <v>-0.1</v>
      </c>
      <c r="AZ71" s="641">
        <f t="shared" ca="1" si="17"/>
        <v>140</v>
      </c>
      <c r="BA71" s="642">
        <f t="shared" ca="1" si="17"/>
        <v>15</v>
      </c>
      <c r="BB71" s="642">
        <f t="shared" ca="1" si="17"/>
        <v>95</v>
      </c>
      <c r="BC71" s="642">
        <f t="shared" ca="1" si="17"/>
        <v>148</v>
      </c>
      <c r="BD71" s="643">
        <f t="shared" ca="1" si="17"/>
        <v>15</v>
      </c>
      <c r="BE71" s="641">
        <f t="shared" ca="1" si="17"/>
        <v>140</v>
      </c>
      <c r="BF71" s="642">
        <f t="shared" ca="1" si="17"/>
        <v>15</v>
      </c>
      <c r="BG71" s="642">
        <f t="shared" ca="1" si="17"/>
        <v>95</v>
      </c>
      <c r="BH71" s="642">
        <f t="shared" ca="1" si="17"/>
        <v>14</v>
      </c>
      <c r="BI71" s="644">
        <f t="shared" ca="1" si="17"/>
        <v>15</v>
      </c>
      <c r="BJ71" s="641">
        <f t="shared" ca="1" si="18"/>
        <v>872</v>
      </c>
      <c r="BK71" s="642">
        <f t="shared" ca="1" si="18"/>
        <v>738</v>
      </c>
      <c r="BL71" s="642">
        <f t="shared" ca="1" si="18"/>
        <v>10000</v>
      </c>
      <c r="BM71" s="642">
        <f t="shared" ca="1" si="18"/>
        <v>10000</v>
      </c>
      <c r="BN71" s="643">
        <f t="shared" ca="1" si="18"/>
        <v>10000</v>
      </c>
      <c r="BO71" s="641">
        <f t="shared" ca="1" si="18"/>
        <v>872</v>
      </c>
      <c r="BP71" s="642">
        <f t="shared" ca="1" si="18"/>
        <v>738</v>
      </c>
      <c r="BQ71" s="642">
        <f t="shared" ca="1" si="18"/>
        <v>10000</v>
      </c>
      <c r="BR71" s="642">
        <f t="shared" ca="1" si="18"/>
        <v>148</v>
      </c>
      <c r="BS71" s="644">
        <f t="shared" ca="1" si="18"/>
        <v>10000</v>
      </c>
    </row>
    <row r="72" spans="2:71" ht="15" customHeight="1" thickBot="1" x14ac:dyDescent="0.3">
      <c r="B72" s="1717"/>
      <c r="C72" s="278" t="str">
        <f>$C$27</f>
        <v>Interior modules</v>
      </c>
      <c r="D72" s="578">
        <f t="shared" ca="1" si="14"/>
        <v>-0.11602721740613772</v>
      </c>
      <c r="E72" s="579">
        <f t="shared" ca="1" si="14"/>
        <v>-0.13398496232611318</v>
      </c>
      <c r="F72" s="579">
        <f t="shared" ca="1" si="14"/>
        <v>-0.11</v>
      </c>
      <c r="G72" s="579">
        <f t="shared" ca="1" si="14"/>
        <v>-0.11</v>
      </c>
      <c r="H72" s="580">
        <f t="shared" ca="1" si="14"/>
        <v>-0.1</v>
      </c>
      <c r="I72" s="578">
        <f t="shared" ca="1" si="14"/>
        <v>-0.14000000000000001</v>
      </c>
      <c r="J72" s="579">
        <f t="shared" ca="1" si="14"/>
        <v>-0.16181919607791434</v>
      </c>
      <c r="K72" s="579">
        <f t="shared" ca="1" si="14"/>
        <v>-0.1</v>
      </c>
      <c r="L72" s="579">
        <f t="shared" ca="1" si="14"/>
        <v>-0.1020531906438184</v>
      </c>
      <c r="M72" s="581">
        <f t="shared" ca="1" si="14"/>
        <v>-0.1</v>
      </c>
      <c r="S72">
        <v>21</v>
      </c>
      <c r="T72" s="955"/>
      <c r="U72" s="278" t="str">
        <f>$C$27</f>
        <v>Interior modules</v>
      </c>
      <c r="V72" s="578" t="str">
        <f t="shared" si="9"/>
        <v>C117:C121</v>
      </c>
      <c r="W72" s="579" t="str">
        <f t="shared" si="9"/>
        <v>F117:F121</v>
      </c>
      <c r="X72" s="579" t="str">
        <f t="shared" si="9"/>
        <v>I117:I121</v>
      </c>
      <c r="Y72" s="579" t="str">
        <f t="shared" si="9"/>
        <v>L117:L121</v>
      </c>
      <c r="Z72" s="580" t="str">
        <f t="shared" si="9"/>
        <v>O117:O121</v>
      </c>
      <c r="AA72" s="578" t="str">
        <f t="shared" si="9"/>
        <v>C175:C179</v>
      </c>
      <c r="AB72" s="579" t="str">
        <f t="shared" si="9"/>
        <v>F175:F179</v>
      </c>
      <c r="AC72" s="579" t="str">
        <f t="shared" si="9"/>
        <v>I175:I179</v>
      </c>
      <c r="AD72" s="579" t="str">
        <f t="shared" si="9"/>
        <v>L175:L179</v>
      </c>
      <c r="AE72" s="581" t="str">
        <f t="shared" si="9"/>
        <v>O175:O179</v>
      </c>
      <c r="AF72" s="578">
        <f t="shared" ca="1" si="15"/>
        <v>-0.14000000000000001</v>
      </c>
      <c r="AG72" s="579">
        <f t="shared" ca="1" si="15"/>
        <v>-0.23</v>
      </c>
      <c r="AH72" s="579">
        <f t="shared" ca="1" si="15"/>
        <v>-0.11</v>
      </c>
      <c r="AI72" s="579">
        <f t="shared" ca="1" si="15"/>
        <v>-0.11</v>
      </c>
      <c r="AJ72" s="580">
        <f t="shared" ca="1" si="15"/>
        <v>-0.1</v>
      </c>
      <c r="AK72" s="578">
        <f t="shared" ca="1" si="15"/>
        <v>-0.14000000000000001</v>
      </c>
      <c r="AL72" s="579">
        <f t="shared" ca="1" si="15"/>
        <v>-0.22</v>
      </c>
      <c r="AM72" s="579">
        <f t="shared" ca="1" si="15"/>
        <v>-0.1</v>
      </c>
      <c r="AN72" s="579">
        <f t="shared" ca="1" si="15"/>
        <v>-0.11</v>
      </c>
      <c r="AO72" s="581">
        <f t="shared" ca="1" si="15"/>
        <v>-0.1</v>
      </c>
      <c r="AP72" s="578">
        <f t="shared" ca="1" si="16"/>
        <v>-0.11</v>
      </c>
      <c r="AQ72" s="579">
        <f t="shared" ca="1" si="16"/>
        <v>-0.12</v>
      </c>
      <c r="AR72" s="579">
        <f t="shared" ca="1" si="16"/>
        <v>-0.11</v>
      </c>
      <c r="AS72" s="579">
        <f t="shared" ca="1" si="16"/>
        <v>-0.11</v>
      </c>
      <c r="AT72" s="580">
        <f t="shared" ca="1" si="16"/>
        <v>-0.1</v>
      </c>
      <c r="AU72" s="578">
        <f t="shared" ca="1" si="16"/>
        <v>-0.14000000000000001</v>
      </c>
      <c r="AV72" s="579">
        <f t="shared" ca="1" si="16"/>
        <v>-0.12</v>
      </c>
      <c r="AW72" s="579">
        <f t="shared" ca="1" si="16"/>
        <v>-0.1</v>
      </c>
      <c r="AX72" s="579">
        <f t="shared" ca="1" si="16"/>
        <v>-0.1</v>
      </c>
      <c r="AY72" s="581">
        <f t="shared" ca="1" si="16"/>
        <v>-0.1</v>
      </c>
      <c r="AZ72" s="649">
        <f t="shared" ca="1" si="17"/>
        <v>218</v>
      </c>
      <c r="BA72" s="650">
        <f t="shared" ca="1" si="17"/>
        <v>13</v>
      </c>
      <c r="BB72" s="650">
        <f t="shared" ca="1" si="17"/>
        <v>27</v>
      </c>
      <c r="BC72" s="650">
        <f t="shared" ca="1" si="17"/>
        <v>148</v>
      </c>
      <c r="BD72" s="651">
        <f t="shared" ca="1" si="17"/>
        <v>15</v>
      </c>
      <c r="BE72" s="649">
        <f t="shared" ca="1" si="17"/>
        <v>55</v>
      </c>
      <c r="BF72" s="650">
        <f t="shared" ca="1" si="17"/>
        <v>13</v>
      </c>
      <c r="BG72" s="650">
        <f t="shared" ca="1" si="17"/>
        <v>27</v>
      </c>
      <c r="BH72" s="650">
        <f t="shared" ca="1" si="17"/>
        <v>14</v>
      </c>
      <c r="BI72" s="652">
        <f t="shared" ca="1" si="17"/>
        <v>15</v>
      </c>
      <c r="BJ72" s="649">
        <f t="shared" ca="1" si="18"/>
        <v>872</v>
      </c>
      <c r="BK72" s="650">
        <f t="shared" ca="1" si="18"/>
        <v>738</v>
      </c>
      <c r="BL72" s="650">
        <f t="shared" ca="1" si="18"/>
        <v>10000</v>
      </c>
      <c r="BM72" s="650">
        <f t="shared" ca="1" si="18"/>
        <v>10000</v>
      </c>
      <c r="BN72" s="651">
        <f t="shared" ca="1" si="18"/>
        <v>10000</v>
      </c>
      <c r="BO72" s="649">
        <f t="shared" ca="1" si="18"/>
        <v>218</v>
      </c>
      <c r="BP72" s="650">
        <f t="shared" ca="1" si="18"/>
        <v>738</v>
      </c>
      <c r="BQ72" s="650">
        <f t="shared" ca="1" si="18"/>
        <v>10000</v>
      </c>
      <c r="BR72" s="650">
        <f t="shared" ca="1" si="18"/>
        <v>148</v>
      </c>
      <c r="BS72" s="652">
        <f t="shared" ca="1" si="18"/>
        <v>10000</v>
      </c>
    </row>
    <row r="73" spans="2:71" ht="15" customHeight="1" x14ac:dyDescent="0.25">
      <c r="B73" s="1716" t="str">
        <f>$B$30</f>
        <v>Inner rows, from 7th row from north</v>
      </c>
      <c r="C73" s="183" t="str">
        <f>$C$26</f>
        <v>1st-4th module</v>
      </c>
      <c r="D73" s="189">
        <f t="shared" ca="1" si="14"/>
        <v>-0.12218126627320167</v>
      </c>
      <c r="E73" s="190">
        <f t="shared" ca="1" si="14"/>
        <v>-0.1331558352639664</v>
      </c>
      <c r="F73" s="190">
        <f t="shared" ca="1" si="14"/>
        <v>-0.11</v>
      </c>
      <c r="G73" s="190">
        <f t="shared" ca="1" si="14"/>
        <v>-0.11</v>
      </c>
      <c r="H73" s="190">
        <f t="shared" ca="1" si="14"/>
        <v>-0.1</v>
      </c>
      <c r="I73" s="189">
        <f t="shared" ca="1" si="14"/>
        <v>-0.17359641569395134</v>
      </c>
      <c r="J73" s="190">
        <f t="shared" ca="1" si="14"/>
        <v>-0.16327384556408767</v>
      </c>
      <c r="K73" s="190">
        <f t="shared" ca="1" si="14"/>
        <v>-0.10540949849077176</v>
      </c>
      <c r="L73" s="190">
        <f t="shared" ca="1" si="14"/>
        <v>-0.1</v>
      </c>
      <c r="M73" s="191">
        <f t="shared" ca="1" si="14"/>
        <v>-0.10544381864552026</v>
      </c>
      <c r="S73">
        <v>28</v>
      </c>
      <c r="T73" s="954"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-0.19</v>
      </c>
      <c r="AL73" s="190">
        <f t="shared" ca="1" si="15"/>
        <v>-0.21</v>
      </c>
      <c r="AM73" s="190">
        <f t="shared" ca="1" si="15"/>
        <v>-0.22</v>
      </c>
      <c r="AN73" s="190">
        <f t="shared" ca="1" si="15"/>
        <v>-0.1</v>
      </c>
      <c r="AO73" s="191">
        <f t="shared" ca="1" si="15"/>
        <v>-0.18</v>
      </c>
      <c r="AP73" s="189">
        <f t="shared" ca="1" si="16"/>
        <v>-0.11</v>
      </c>
      <c r="AQ73" s="190">
        <f t="shared" ca="1" si="16"/>
        <v>-0.12</v>
      </c>
      <c r="AR73" s="190">
        <f t="shared" ca="1" si="16"/>
        <v>-0.11</v>
      </c>
      <c r="AS73" s="190">
        <f t="shared" ca="1" si="16"/>
        <v>-0.11</v>
      </c>
      <c r="AT73" s="190">
        <f t="shared" ca="1" si="16"/>
        <v>-0.1</v>
      </c>
      <c r="AU73" s="189">
        <f t="shared" ca="1" si="16"/>
        <v>-0.11</v>
      </c>
      <c r="AV73" s="190">
        <f t="shared" ca="1" si="16"/>
        <v>-0.12</v>
      </c>
      <c r="AW73" s="190">
        <f t="shared" ca="1" si="16"/>
        <v>-0.1</v>
      </c>
      <c r="AX73" s="190">
        <f t="shared" ca="1" si="16"/>
        <v>-0.1</v>
      </c>
      <c r="AY73" s="191">
        <f t="shared" ca="1" si="16"/>
        <v>-0.1</v>
      </c>
      <c r="AZ73" s="641">
        <f t="shared" ca="1" si="17"/>
        <v>140</v>
      </c>
      <c r="BA73" s="642">
        <f t="shared" ca="1" si="17"/>
        <v>22</v>
      </c>
      <c r="BB73" s="642">
        <f t="shared" ca="1" si="17"/>
        <v>147</v>
      </c>
      <c r="BC73" s="642">
        <f t="shared" ca="1" si="17"/>
        <v>77</v>
      </c>
      <c r="BD73" s="642">
        <f t="shared" ca="1" si="17"/>
        <v>110</v>
      </c>
      <c r="BE73" s="641">
        <f t="shared" ca="1" si="17"/>
        <v>140</v>
      </c>
      <c r="BF73" s="642">
        <f t="shared" ca="1" si="17"/>
        <v>22</v>
      </c>
      <c r="BG73" s="642">
        <f t="shared" ca="1" si="17"/>
        <v>27.5</v>
      </c>
      <c r="BH73" s="642">
        <f t="shared" ca="1" si="17"/>
        <v>77</v>
      </c>
      <c r="BI73" s="644">
        <f t="shared" ca="1" si="17"/>
        <v>7</v>
      </c>
      <c r="BJ73" s="641">
        <f t="shared" ca="1" si="18"/>
        <v>872</v>
      </c>
      <c r="BK73" s="642">
        <f t="shared" ca="1" si="18"/>
        <v>738</v>
      </c>
      <c r="BL73" s="642">
        <f t="shared" ca="1" si="18"/>
        <v>10000</v>
      </c>
      <c r="BM73" s="642">
        <f t="shared" ca="1" si="18"/>
        <v>10000</v>
      </c>
      <c r="BN73" s="642">
        <f t="shared" ca="1" si="18"/>
        <v>10000</v>
      </c>
      <c r="BO73" s="641">
        <f t="shared" ca="1" si="18"/>
        <v>872</v>
      </c>
      <c r="BP73" s="642">
        <f t="shared" ca="1" si="18"/>
        <v>738</v>
      </c>
      <c r="BQ73" s="642">
        <f t="shared" ca="1" si="18"/>
        <v>147</v>
      </c>
      <c r="BR73" s="642">
        <f t="shared" ca="1" si="18"/>
        <v>10000</v>
      </c>
      <c r="BS73" s="644">
        <f t="shared" ca="1" si="18"/>
        <v>110</v>
      </c>
    </row>
    <row r="74" spans="2:71" ht="15" customHeight="1" thickBot="1" x14ac:dyDescent="0.3">
      <c r="B74" s="1717"/>
      <c r="C74" s="277" t="str">
        <f>$C$27</f>
        <v>Interior modules</v>
      </c>
      <c r="D74" s="582">
        <f t="shared" ca="1" si="14"/>
        <v>-0.11567446931274719</v>
      </c>
      <c r="E74" s="583">
        <f t="shared" ca="1" si="14"/>
        <v>-0.13774356993105674</v>
      </c>
      <c r="F74" s="583">
        <f t="shared" ca="1" si="14"/>
        <v>-0.11</v>
      </c>
      <c r="G74" s="583">
        <f t="shared" ca="1" si="14"/>
        <v>-0.11</v>
      </c>
      <c r="H74" s="583">
        <f t="shared" ca="1" si="14"/>
        <v>-0.1</v>
      </c>
      <c r="I74" s="582">
        <f t="shared" ca="1" si="14"/>
        <v>-0.13962548401474109</v>
      </c>
      <c r="J74" s="583">
        <f t="shared" ca="1" si="14"/>
        <v>-0.16863700464128006</v>
      </c>
      <c r="K74" s="583">
        <f t="shared" ca="1" si="14"/>
        <v>-0.1</v>
      </c>
      <c r="L74" s="583">
        <f t="shared" ca="1" si="14"/>
        <v>-0.1</v>
      </c>
      <c r="M74" s="585">
        <f t="shared" ca="1" si="14"/>
        <v>-0.10544381864552026</v>
      </c>
      <c r="S74">
        <v>35</v>
      </c>
      <c r="T74" s="955"/>
      <c r="U74" s="277" t="str">
        <f>$C$27</f>
        <v>Interior modules</v>
      </c>
      <c r="V74" s="582" t="str">
        <f t="shared" si="9"/>
        <v>C131:C135</v>
      </c>
      <c r="W74" s="583" t="str">
        <f t="shared" si="9"/>
        <v>F131:F135</v>
      </c>
      <c r="X74" s="583" t="str">
        <f t="shared" si="9"/>
        <v>I131:I135</v>
      </c>
      <c r="Y74" s="583" t="str">
        <f t="shared" si="9"/>
        <v>L131:L135</v>
      </c>
      <c r="Z74" s="583" t="str">
        <f t="shared" si="9"/>
        <v>O131:O135</v>
      </c>
      <c r="AA74" s="582" t="str">
        <f t="shared" si="9"/>
        <v>C189:C193</v>
      </c>
      <c r="AB74" s="583" t="str">
        <f t="shared" si="9"/>
        <v>F189:F193</v>
      </c>
      <c r="AC74" s="583" t="str">
        <f t="shared" si="9"/>
        <v>I189:I193</v>
      </c>
      <c r="AD74" s="583" t="str">
        <f t="shared" si="9"/>
        <v>L189:L193</v>
      </c>
      <c r="AE74" s="585" t="str">
        <f t="shared" si="9"/>
        <v>O189:O193</v>
      </c>
      <c r="AF74" s="582">
        <f t="shared" ca="1" si="15"/>
        <v>-0.14000000000000001</v>
      </c>
      <c r="AG74" s="583">
        <f t="shared" ca="1" si="15"/>
        <v>-0.18</v>
      </c>
      <c r="AH74" s="583">
        <f t="shared" ca="1" si="15"/>
        <v>-0.11</v>
      </c>
      <c r="AI74" s="583">
        <f t="shared" ca="1" si="15"/>
        <v>-0.11</v>
      </c>
      <c r="AJ74" s="583">
        <f t="shared" ca="1" si="15"/>
        <v>-0.1</v>
      </c>
      <c r="AK74" s="582">
        <f t="shared" ca="1" si="15"/>
        <v>-0.14000000000000001</v>
      </c>
      <c r="AL74" s="583">
        <f t="shared" ca="1" si="15"/>
        <v>-0.17</v>
      </c>
      <c r="AM74" s="583">
        <f t="shared" ca="1" si="15"/>
        <v>-0.1</v>
      </c>
      <c r="AN74" s="583">
        <f t="shared" ca="1" si="15"/>
        <v>-0.1</v>
      </c>
      <c r="AO74" s="585">
        <f t="shared" ca="1" si="15"/>
        <v>-0.18</v>
      </c>
      <c r="AP74" s="582">
        <f t="shared" ca="1" si="16"/>
        <v>-0.11</v>
      </c>
      <c r="AQ74" s="583">
        <f t="shared" ca="1" si="16"/>
        <v>-0.12</v>
      </c>
      <c r="AR74" s="583">
        <f t="shared" ca="1" si="16"/>
        <v>-0.11</v>
      </c>
      <c r="AS74" s="583">
        <f t="shared" ca="1" si="16"/>
        <v>-0.11</v>
      </c>
      <c r="AT74" s="583">
        <f t="shared" ca="1" si="16"/>
        <v>-0.1</v>
      </c>
      <c r="AU74" s="582">
        <f t="shared" ca="1" si="16"/>
        <v>-0.11</v>
      </c>
      <c r="AV74" s="583">
        <f t="shared" ca="1" si="16"/>
        <v>-0.12</v>
      </c>
      <c r="AW74" s="583">
        <f t="shared" ca="1" si="16"/>
        <v>-0.1</v>
      </c>
      <c r="AX74" s="583">
        <f t="shared" ca="1" si="16"/>
        <v>-0.1</v>
      </c>
      <c r="AY74" s="585">
        <f t="shared" ca="1" si="16"/>
        <v>-0.1</v>
      </c>
      <c r="AZ74" s="653">
        <f t="shared" ca="1" si="17"/>
        <v>200</v>
      </c>
      <c r="BA74" s="654">
        <f t="shared" ca="1" si="17"/>
        <v>130</v>
      </c>
      <c r="BB74" s="654">
        <f t="shared" ca="1" si="17"/>
        <v>100</v>
      </c>
      <c r="BC74" s="654">
        <f t="shared" ca="1" si="17"/>
        <v>87</v>
      </c>
      <c r="BD74" s="654">
        <f t="shared" ca="1" si="17"/>
        <v>110</v>
      </c>
      <c r="BE74" s="653">
        <f t="shared" ca="1" si="17"/>
        <v>200</v>
      </c>
      <c r="BF74" s="654">
        <f t="shared" ca="1" si="17"/>
        <v>130</v>
      </c>
      <c r="BG74" s="654">
        <f t="shared" ca="1" si="17"/>
        <v>100</v>
      </c>
      <c r="BH74" s="654">
        <f t="shared" ca="1" si="17"/>
        <v>87</v>
      </c>
      <c r="BI74" s="655">
        <f t="shared" ca="1" si="17"/>
        <v>7</v>
      </c>
      <c r="BJ74" s="653">
        <f t="shared" ca="1" si="18"/>
        <v>872</v>
      </c>
      <c r="BK74" s="654">
        <f t="shared" ca="1" si="18"/>
        <v>738</v>
      </c>
      <c r="BL74" s="654">
        <f t="shared" ca="1" si="18"/>
        <v>10000</v>
      </c>
      <c r="BM74" s="654">
        <f t="shared" ca="1" si="18"/>
        <v>10000</v>
      </c>
      <c r="BN74" s="654">
        <f t="shared" ca="1" si="18"/>
        <v>10000</v>
      </c>
      <c r="BO74" s="653">
        <f t="shared" ca="1" si="18"/>
        <v>872</v>
      </c>
      <c r="BP74" s="654">
        <f t="shared" ca="1" si="18"/>
        <v>738</v>
      </c>
      <c r="BQ74" s="654">
        <f t="shared" ca="1" si="18"/>
        <v>10000</v>
      </c>
      <c r="BR74" s="654">
        <f t="shared" ca="1" si="18"/>
        <v>10000</v>
      </c>
      <c r="BS74" s="655">
        <f t="shared" ca="1" si="18"/>
        <v>110</v>
      </c>
    </row>
    <row r="75" spans="2:71" ht="15" customHeight="1" x14ac:dyDescent="0.25">
      <c r="B75" s="1716" t="str">
        <f>$B$32</f>
        <v>South row</v>
      </c>
      <c r="C75" s="183" t="str">
        <f>$C$26</f>
        <v>1st-4th module</v>
      </c>
      <c r="D75" s="189">
        <f t="shared" ca="1" si="14"/>
        <v>-0.11702155269216796</v>
      </c>
      <c r="E75" s="190">
        <f t="shared" ca="1" si="14"/>
        <v>-0.13478757966026567</v>
      </c>
      <c r="F75" s="190">
        <f t="shared" ca="1" si="14"/>
        <v>-0.11</v>
      </c>
      <c r="G75" s="190">
        <f t="shared" ca="1" si="14"/>
        <v>-0.11</v>
      </c>
      <c r="H75" s="573">
        <f t="shared" ca="1" si="14"/>
        <v>-0.1</v>
      </c>
      <c r="I75" s="189">
        <f t="shared" ca="1" si="14"/>
        <v>-0.14665838787306382</v>
      </c>
      <c r="J75" s="190">
        <f t="shared" ca="1" si="14"/>
        <v>-0.16</v>
      </c>
      <c r="K75" s="190">
        <f t="shared" ca="1" si="14"/>
        <v>-0.1</v>
      </c>
      <c r="L75" s="190">
        <f t="shared" ca="1" si="14"/>
        <v>-0.1</v>
      </c>
      <c r="M75" s="191">
        <f t="shared" ca="1" si="14"/>
        <v>-0.1</v>
      </c>
      <c r="S75">
        <v>42</v>
      </c>
      <c r="T75" s="954" t="str">
        <f>$B$32</f>
        <v>South row</v>
      </c>
      <c r="U75" s="183" t="str">
        <f>$C$26</f>
        <v>1st-4th module</v>
      </c>
      <c r="V75" s="189" t="str">
        <f t="shared" si="9"/>
        <v>C138:C142</v>
      </c>
      <c r="W75" s="190" t="str">
        <f t="shared" si="9"/>
        <v>F138:F142</v>
      </c>
      <c r="X75" s="190" t="str">
        <f t="shared" si="9"/>
        <v>I138:I142</v>
      </c>
      <c r="Y75" s="190" t="str">
        <f t="shared" si="9"/>
        <v>L138:L142</v>
      </c>
      <c r="Z75" s="573"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73">
        <f t="shared" ca="1" si="15"/>
        <v>-0.1</v>
      </c>
      <c r="AK75" s="189">
        <f t="shared" ca="1" si="15"/>
        <v>-0.16</v>
      </c>
      <c r="AL75" s="190">
        <f t="shared" ca="1" si="15"/>
        <v>-0.16</v>
      </c>
      <c r="AM75" s="190">
        <f t="shared" ca="1" si="15"/>
        <v>-0.1</v>
      </c>
      <c r="AN75" s="190">
        <f t="shared" ca="1" si="15"/>
        <v>-0.1</v>
      </c>
      <c r="AO75" s="191">
        <f t="shared" ca="1" si="15"/>
        <v>-0.1</v>
      </c>
      <c r="AP75" s="189">
        <f t="shared" ca="1" si="16"/>
        <v>-0.11</v>
      </c>
      <c r="AQ75" s="190">
        <f t="shared" ca="1" si="16"/>
        <v>-0.12</v>
      </c>
      <c r="AR75" s="190">
        <f t="shared" ca="1" si="16"/>
        <v>-0.11</v>
      </c>
      <c r="AS75" s="190">
        <f t="shared" ca="1" si="16"/>
        <v>-0.11</v>
      </c>
      <c r="AT75" s="573">
        <f t="shared" ca="1" si="16"/>
        <v>-0.1</v>
      </c>
      <c r="AU75" s="189">
        <f t="shared" ca="1" si="16"/>
        <v>-0.11</v>
      </c>
      <c r="AV75" s="190">
        <f t="shared" ca="1" si="16"/>
        <v>-0.16</v>
      </c>
      <c r="AW75" s="190">
        <f t="shared" ca="1" si="16"/>
        <v>-0.1</v>
      </c>
      <c r="AX75" s="190">
        <f t="shared" ca="1" si="16"/>
        <v>-0.1</v>
      </c>
      <c r="AY75" s="191">
        <f t="shared" ca="1" si="16"/>
        <v>-0.1</v>
      </c>
      <c r="AZ75" s="641">
        <f t="shared" ca="1" si="17"/>
        <v>120</v>
      </c>
      <c r="BA75" s="642">
        <f t="shared" ca="1" si="17"/>
        <v>184</v>
      </c>
      <c r="BB75" s="642">
        <f t="shared" ca="1" si="17"/>
        <v>96</v>
      </c>
      <c r="BC75" s="642">
        <f t="shared" ca="1" si="17"/>
        <v>30</v>
      </c>
      <c r="BD75" s="643">
        <f t="shared" ca="1" si="17"/>
        <v>30</v>
      </c>
      <c r="BE75" s="641">
        <f t="shared" ca="1" si="17"/>
        <v>120</v>
      </c>
      <c r="BF75" s="642">
        <f t="shared" ca="1" si="17"/>
        <v>12</v>
      </c>
      <c r="BG75" s="642">
        <f t="shared" ca="1" si="17"/>
        <v>96</v>
      </c>
      <c r="BH75" s="642">
        <f t="shared" ca="1" si="17"/>
        <v>30</v>
      </c>
      <c r="BI75" s="644">
        <f t="shared" ca="1" si="17"/>
        <v>30</v>
      </c>
      <c r="BJ75" s="641">
        <f t="shared" ca="1" si="18"/>
        <v>872</v>
      </c>
      <c r="BK75" s="642">
        <f t="shared" ca="1" si="18"/>
        <v>738</v>
      </c>
      <c r="BL75" s="642">
        <f t="shared" ca="1" si="18"/>
        <v>10000</v>
      </c>
      <c r="BM75" s="642">
        <f t="shared" ca="1" si="18"/>
        <v>10000</v>
      </c>
      <c r="BN75" s="643">
        <f t="shared" ca="1" si="18"/>
        <v>10000</v>
      </c>
      <c r="BO75" s="641">
        <f t="shared" ca="1" si="18"/>
        <v>872</v>
      </c>
      <c r="BP75" s="642">
        <f t="shared" ca="1" si="18"/>
        <v>184</v>
      </c>
      <c r="BQ75" s="642">
        <f t="shared" ca="1" si="18"/>
        <v>10000</v>
      </c>
      <c r="BR75" s="642">
        <f t="shared" ca="1" si="18"/>
        <v>10000</v>
      </c>
      <c r="BS75" s="644">
        <f t="shared" ca="1" si="18"/>
        <v>10000</v>
      </c>
    </row>
    <row r="76" spans="2:71" ht="15" customHeight="1" thickBot="1" x14ac:dyDescent="0.3">
      <c r="B76" s="1717"/>
      <c r="C76" s="277" t="str">
        <f>$C$27</f>
        <v>Interior modules</v>
      </c>
      <c r="D76" s="578">
        <f t="shared" ca="1" si="14"/>
        <v>-0.11783687837140472</v>
      </c>
      <c r="E76" s="579">
        <f t="shared" ca="1" si="14"/>
        <v>-0.13478757966026567</v>
      </c>
      <c r="F76" s="579">
        <f t="shared" ca="1" si="14"/>
        <v>-0.11</v>
      </c>
      <c r="G76" s="579">
        <f t="shared" ca="1" si="14"/>
        <v>-0.11</v>
      </c>
      <c r="H76" s="580">
        <f t="shared" ca="1" si="14"/>
        <v>-0.1</v>
      </c>
      <c r="I76" s="578">
        <f t="shared" ca="1" si="14"/>
        <v>-0.15091507101747267</v>
      </c>
      <c r="J76" s="579">
        <f t="shared" ca="1" si="14"/>
        <v>-0.16206065122887342</v>
      </c>
      <c r="K76" s="579">
        <f t="shared" ca="1" si="14"/>
        <v>-0.1</v>
      </c>
      <c r="L76" s="579">
        <f t="shared" ca="1" si="14"/>
        <v>-0.1</v>
      </c>
      <c r="M76" s="581">
        <f t="shared" ca="1" si="14"/>
        <v>-0.1</v>
      </c>
      <c r="S76">
        <v>49</v>
      </c>
      <c r="T76" s="955"/>
      <c r="U76" s="277" t="str">
        <f>$C$27</f>
        <v>Interior modules</v>
      </c>
      <c r="V76" s="578" t="str">
        <f t="shared" si="9"/>
        <v>C145:C149</v>
      </c>
      <c r="W76" s="579" t="str">
        <f t="shared" si="9"/>
        <v>F145:F149</v>
      </c>
      <c r="X76" s="579" t="str">
        <f t="shared" si="9"/>
        <v>I145:I149</v>
      </c>
      <c r="Y76" s="579" t="str">
        <f t="shared" si="9"/>
        <v>L145:L149</v>
      </c>
      <c r="Z76" s="580" t="str">
        <f t="shared" si="9"/>
        <v>O145:O149</v>
      </c>
      <c r="AA76" s="578" t="str">
        <f t="shared" si="9"/>
        <v>C203:C207</v>
      </c>
      <c r="AB76" s="579" t="str">
        <f t="shared" si="9"/>
        <v>F203:F207</v>
      </c>
      <c r="AC76" s="579" t="str">
        <f t="shared" si="9"/>
        <v>I203:I207</v>
      </c>
      <c r="AD76" s="579" t="str">
        <f t="shared" si="9"/>
        <v>L203:L207</v>
      </c>
      <c r="AE76" s="581" t="str">
        <f t="shared" si="9"/>
        <v>O203:O207</v>
      </c>
      <c r="AF76" s="578">
        <f t="shared" ca="1" si="15"/>
        <v>-0.16</v>
      </c>
      <c r="AG76" s="579">
        <f t="shared" ca="1" si="15"/>
        <v>-0.16</v>
      </c>
      <c r="AH76" s="579">
        <f t="shared" ca="1" si="15"/>
        <v>-0.11</v>
      </c>
      <c r="AI76" s="579">
        <f t="shared" ca="1" si="15"/>
        <v>-0.11</v>
      </c>
      <c r="AJ76" s="580">
        <f t="shared" ca="1" si="15"/>
        <v>-0.1</v>
      </c>
      <c r="AK76" s="578">
        <f t="shared" ca="1" si="15"/>
        <v>-0.16</v>
      </c>
      <c r="AL76" s="579">
        <f t="shared" ca="1" si="15"/>
        <v>-0.18</v>
      </c>
      <c r="AM76" s="579">
        <f t="shared" ca="1" si="15"/>
        <v>-0.1</v>
      </c>
      <c r="AN76" s="579">
        <f t="shared" ca="1" si="15"/>
        <v>-0.1</v>
      </c>
      <c r="AO76" s="581">
        <f t="shared" ca="1" si="15"/>
        <v>-0.1</v>
      </c>
      <c r="AP76" s="578">
        <f t="shared" ca="1" si="16"/>
        <v>-0.11</v>
      </c>
      <c r="AQ76" s="579">
        <f t="shared" ca="1" si="16"/>
        <v>-0.12</v>
      </c>
      <c r="AR76" s="579">
        <f t="shared" ca="1" si="16"/>
        <v>-0.11</v>
      </c>
      <c r="AS76" s="579">
        <f t="shared" ca="1" si="16"/>
        <v>-0.11</v>
      </c>
      <c r="AT76" s="580">
        <f t="shared" ca="1" si="16"/>
        <v>-0.1</v>
      </c>
      <c r="AU76" s="578">
        <f t="shared" ca="1" si="16"/>
        <v>-0.11</v>
      </c>
      <c r="AV76" s="579">
        <f t="shared" ca="1" si="16"/>
        <v>-0.16</v>
      </c>
      <c r="AW76" s="579">
        <f t="shared" ca="1" si="16"/>
        <v>-0.1</v>
      </c>
      <c r="AX76" s="579">
        <f t="shared" ca="1" si="16"/>
        <v>-0.1</v>
      </c>
      <c r="AY76" s="581">
        <f t="shared" ca="1" si="16"/>
        <v>-0.1</v>
      </c>
      <c r="AZ76" s="649">
        <f t="shared" ca="1" si="17"/>
        <v>147.5</v>
      </c>
      <c r="BA76" s="650">
        <f t="shared" ca="1" si="17"/>
        <v>184</v>
      </c>
      <c r="BB76" s="650">
        <f t="shared" ca="1" si="17"/>
        <v>60</v>
      </c>
      <c r="BC76" s="650">
        <f t="shared" ca="1" si="17"/>
        <v>9</v>
      </c>
      <c r="BD76" s="651">
        <f t="shared" ca="1" si="17"/>
        <v>30</v>
      </c>
      <c r="BE76" s="649">
        <f t="shared" ca="1" si="17"/>
        <v>147.5</v>
      </c>
      <c r="BF76" s="650">
        <f t="shared" ca="1" si="17"/>
        <v>10</v>
      </c>
      <c r="BG76" s="650">
        <f t="shared" ca="1" si="17"/>
        <v>60</v>
      </c>
      <c r="BH76" s="650">
        <f t="shared" ca="1" si="17"/>
        <v>9</v>
      </c>
      <c r="BI76" s="652">
        <f t="shared" ca="1" si="17"/>
        <v>30</v>
      </c>
      <c r="BJ76" s="649">
        <f t="shared" ca="1" si="18"/>
        <v>872</v>
      </c>
      <c r="BK76" s="650">
        <f t="shared" ca="1" si="18"/>
        <v>738</v>
      </c>
      <c r="BL76" s="650">
        <f t="shared" ca="1" si="18"/>
        <v>10000</v>
      </c>
      <c r="BM76" s="650">
        <f t="shared" ca="1" si="18"/>
        <v>10000</v>
      </c>
      <c r="BN76" s="651">
        <f t="shared" ca="1" si="18"/>
        <v>10000</v>
      </c>
      <c r="BO76" s="649">
        <f t="shared" ca="1" si="18"/>
        <v>872</v>
      </c>
      <c r="BP76" s="650">
        <f t="shared" ca="1" si="18"/>
        <v>184</v>
      </c>
      <c r="BQ76" s="650">
        <f t="shared" ca="1" si="18"/>
        <v>10000</v>
      </c>
      <c r="BR76" s="650">
        <f t="shared" ca="1" si="18"/>
        <v>10000</v>
      </c>
      <c r="BS76" s="652">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469</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91"/>
      <c r="E80" s="592"/>
      <c r="F80" s="592" t="str">
        <f>$F$23</f>
        <v>Sliding</v>
      </c>
      <c r="G80" s="592"/>
      <c r="H80" s="592"/>
      <c r="I80" s="591"/>
      <c r="J80" s="592"/>
      <c r="K80" s="592" t="str">
        <f>$K$23</f>
        <v>Uplift</v>
      </c>
      <c r="L80" s="592"/>
      <c r="M80" s="593"/>
      <c r="N80" s="187"/>
      <c r="V80" s="618" t="s">
        <v>473</v>
      </c>
      <c r="W80" s="619"/>
      <c r="X80" s="619"/>
      <c r="Y80" s="619"/>
      <c r="Z80" s="619"/>
      <c r="AA80" s="619"/>
      <c r="AB80" s="619"/>
      <c r="AC80" s="619"/>
      <c r="AD80" s="619"/>
      <c r="AE80" s="620"/>
      <c r="AF80" s="618" t="s">
        <v>83</v>
      </c>
      <c r="AG80" s="619"/>
      <c r="AH80" s="619"/>
      <c r="AI80" s="619"/>
      <c r="AJ80" s="619"/>
      <c r="AK80" s="619"/>
      <c r="AL80" s="619"/>
      <c r="AM80" s="619"/>
      <c r="AN80" s="619"/>
      <c r="AO80" s="620"/>
      <c r="AP80" s="618" t="s">
        <v>84</v>
      </c>
      <c r="AQ80" s="619"/>
      <c r="AR80" s="619"/>
      <c r="AS80" s="619"/>
      <c r="AT80" s="619"/>
      <c r="AU80" s="619"/>
      <c r="AV80" s="619"/>
      <c r="AW80" s="619"/>
      <c r="AX80" s="619"/>
      <c r="AY80" s="620"/>
      <c r="AZ80" s="618" t="s">
        <v>85</v>
      </c>
      <c r="BA80" s="619"/>
      <c r="BB80" s="619"/>
      <c r="BC80" s="619"/>
      <c r="BD80" s="619"/>
      <c r="BE80" s="619"/>
      <c r="BF80" s="619"/>
      <c r="BG80" s="619"/>
      <c r="BH80" s="619"/>
      <c r="BI80" s="620"/>
      <c r="BJ80" s="618" t="s">
        <v>86</v>
      </c>
      <c r="BK80" s="619"/>
      <c r="BL80" s="619"/>
      <c r="BM80" s="619"/>
      <c r="BN80" s="619"/>
      <c r="BO80" s="619"/>
      <c r="BP80" s="619"/>
      <c r="BQ80" s="619"/>
      <c r="BR80" s="619"/>
      <c r="BS80" s="620"/>
    </row>
    <row r="81" spans="2:71" ht="15" customHeight="1" thickBot="1" x14ac:dyDescent="0.3">
      <c r="D81" s="437" t="str">
        <f>$D$24</f>
        <v>Roof position 1</v>
      </c>
      <c r="E81" s="438" t="str">
        <f>$E$24</f>
        <v>Roof position 2</v>
      </c>
      <c r="F81" s="438" t="str">
        <f>$F$24</f>
        <v>Roof position 3</v>
      </c>
      <c r="G81" s="438" t="str">
        <f>$G$24</f>
        <v>Roof position 4</v>
      </c>
      <c r="H81" s="526" t="str">
        <f>$H$24</f>
        <v>Roof position 5</v>
      </c>
      <c r="I81" s="437" t="str">
        <f>$I$24</f>
        <v>Roof position 1</v>
      </c>
      <c r="J81" s="438" t="str">
        <f>$J$24</f>
        <v>Roof position 2</v>
      </c>
      <c r="K81" s="438" t="str">
        <f>$K$24</f>
        <v>Roof position 3</v>
      </c>
      <c r="L81" s="438" t="str">
        <f>$L$24</f>
        <v>Roof position 4</v>
      </c>
      <c r="M81" s="439" t="str">
        <f>$H$24</f>
        <v>Roof position 5</v>
      </c>
      <c r="N81" s="187"/>
      <c r="O81" s="187"/>
      <c r="P81" s="187"/>
      <c r="Q81" s="187"/>
      <c r="S81"/>
      <c r="V81" s="591"/>
      <c r="W81" s="592"/>
      <c r="X81" s="592" t="str">
        <f>$F$23</f>
        <v>Sliding</v>
      </c>
      <c r="Y81" s="592"/>
      <c r="Z81" s="592"/>
      <c r="AA81" s="591"/>
      <c r="AB81" s="592"/>
      <c r="AC81" s="592" t="str">
        <f>$K$23</f>
        <v>Uplift</v>
      </c>
      <c r="AD81" s="592"/>
      <c r="AE81" s="593"/>
      <c r="AF81" s="591"/>
      <c r="AG81" s="592"/>
      <c r="AH81" s="592" t="str">
        <f>$F$23</f>
        <v>Sliding</v>
      </c>
      <c r="AI81" s="592"/>
      <c r="AJ81" s="592"/>
      <c r="AK81" s="591"/>
      <c r="AL81" s="592"/>
      <c r="AM81" s="592" t="str">
        <f>$K$23</f>
        <v>Uplift</v>
      </c>
      <c r="AN81" s="592"/>
      <c r="AO81" s="593"/>
      <c r="AP81" s="591"/>
      <c r="AQ81" s="592"/>
      <c r="AR81" s="592" t="str">
        <f>$F$23</f>
        <v>Sliding</v>
      </c>
      <c r="AS81" s="592"/>
      <c r="AT81" s="592"/>
      <c r="AU81" s="591"/>
      <c r="AV81" s="592"/>
      <c r="AW81" s="592" t="str">
        <f>$K$23</f>
        <v>Uplift</v>
      </c>
      <c r="AX81" s="592"/>
      <c r="AY81" s="593"/>
      <c r="AZ81" s="591"/>
      <c r="BA81" s="592"/>
      <c r="BB81" s="592" t="str">
        <f>$F$23</f>
        <v>Sliding</v>
      </c>
      <c r="BC81" s="592"/>
      <c r="BD81" s="592"/>
      <c r="BE81" s="591"/>
      <c r="BF81" s="592"/>
      <c r="BG81" s="592" t="str">
        <f>$K$23</f>
        <v>Uplift</v>
      </c>
      <c r="BH81" s="592"/>
      <c r="BI81" s="593"/>
      <c r="BJ81" s="591"/>
      <c r="BK81" s="592"/>
      <c r="BL81" s="592" t="str">
        <f>$F$23</f>
        <v>Sliding</v>
      </c>
      <c r="BM81" s="592"/>
      <c r="BN81" s="592"/>
      <c r="BO81" s="591"/>
      <c r="BP81" s="592"/>
      <c r="BQ81" s="592" t="str">
        <f>$K$23</f>
        <v>Uplift</v>
      </c>
      <c r="BR81" s="592"/>
      <c r="BS81" s="593"/>
    </row>
    <row r="82" spans="2:71" ht="15" customHeight="1" thickBot="1" x14ac:dyDescent="0.3">
      <c r="B82" s="143"/>
      <c r="C82" s="231"/>
      <c r="D82" s="437" t="s">
        <v>66</v>
      </c>
      <c r="E82" s="438" t="s">
        <v>66</v>
      </c>
      <c r="F82" s="438" t="s">
        <v>66</v>
      </c>
      <c r="G82" s="438" t="s">
        <v>66</v>
      </c>
      <c r="H82" s="438" t="s">
        <v>66</v>
      </c>
      <c r="I82" s="437" t="s">
        <v>67</v>
      </c>
      <c r="J82" s="438" t="s">
        <v>67</v>
      </c>
      <c r="K82" s="438" t="s">
        <v>67</v>
      </c>
      <c r="L82" s="438" t="s">
        <v>67</v>
      </c>
      <c r="M82" s="439" t="s">
        <v>67</v>
      </c>
      <c r="N82" s="187"/>
      <c r="O82" s="187"/>
      <c r="P82" s="187"/>
      <c r="Q82" s="187"/>
      <c r="S82"/>
      <c r="T82" s="143"/>
      <c r="U82" s="231"/>
      <c r="V82" s="437" t="str">
        <f>$D$24</f>
        <v>Roof position 1</v>
      </c>
      <c r="W82" s="438" t="str">
        <f>$E$24</f>
        <v>Roof position 2</v>
      </c>
      <c r="X82" s="438" t="str">
        <f>$F$24</f>
        <v>Roof position 3</v>
      </c>
      <c r="Y82" s="438" t="str">
        <f>$G$24</f>
        <v>Roof position 4</v>
      </c>
      <c r="Z82" s="526" t="str">
        <f>$H$24</f>
        <v>Roof position 5</v>
      </c>
      <c r="AA82" s="437" t="str">
        <f>$I$24</f>
        <v>Roof position 1</v>
      </c>
      <c r="AB82" s="438" t="str">
        <f>$J$24</f>
        <v>Roof position 2</v>
      </c>
      <c r="AC82" s="438" t="str">
        <f>$K$24</f>
        <v>Roof position 3</v>
      </c>
      <c r="AD82" s="438" t="str">
        <f>$L$24</f>
        <v>Roof position 4</v>
      </c>
      <c r="AE82" s="439" t="str">
        <f>$H$24</f>
        <v>Roof position 5</v>
      </c>
      <c r="AF82" s="437" t="str">
        <f>$D$24</f>
        <v>Roof position 1</v>
      </c>
      <c r="AG82" s="438" t="str">
        <f>$E$24</f>
        <v>Roof position 2</v>
      </c>
      <c r="AH82" s="438" t="str">
        <f>$F$24</f>
        <v>Roof position 3</v>
      </c>
      <c r="AI82" s="438" t="str">
        <f>$G$24</f>
        <v>Roof position 4</v>
      </c>
      <c r="AJ82" s="526" t="str">
        <f>$H$24</f>
        <v>Roof position 5</v>
      </c>
      <c r="AK82" s="437" t="str">
        <f>$I$24</f>
        <v>Roof position 1</v>
      </c>
      <c r="AL82" s="438" t="str">
        <f>$J$24</f>
        <v>Roof position 2</v>
      </c>
      <c r="AM82" s="438" t="str">
        <f>$K$24</f>
        <v>Roof position 3</v>
      </c>
      <c r="AN82" s="438" t="str">
        <f>$L$24</f>
        <v>Roof position 4</v>
      </c>
      <c r="AO82" s="439" t="str">
        <f>$H$24</f>
        <v>Roof position 5</v>
      </c>
      <c r="AP82" s="437" t="str">
        <f>$D$24</f>
        <v>Roof position 1</v>
      </c>
      <c r="AQ82" s="438" t="str">
        <f>$E$24</f>
        <v>Roof position 2</v>
      </c>
      <c r="AR82" s="438" t="str">
        <f>$F$24</f>
        <v>Roof position 3</v>
      </c>
      <c r="AS82" s="438" t="str">
        <f>$G$24</f>
        <v>Roof position 4</v>
      </c>
      <c r="AT82" s="526" t="str">
        <f>$H$24</f>
        <v>Roof position 5</v>
      </c>
      <c r="AU82" s="437" t="str">
        <f>$I$24</f>
        <v>Roof position 1</v>
      </c>
      <c r="AV82" s="438" t="str">
        <f>$J$24</f>
        <v>Roof position 2</v>
      </c>
      <c r="AW82" s="438" t="str">
        <f>$K$24</f>
        <v>Roof position 3</v>
      </c>
      <c r="AX82" s="438" t="str">
        <f>$L$24</f>
        <v>Roof position 4</v>
      </c>
      <c r="AY82" s="439" t="str">
        <f>$H$24</f>
        <v>Roof position 5</v>
      </c>
      <c r="AZ82" s="437" t="str">
        <f>$D$24</f>
        <v>Roof position 1</v>
      </c>
      <c r="BA82" s="438" t="str">
        <f>$E$24</f>
        <v>Roof position 2</v>
      </c>
      <c r="BB82" s="438" t="str">
        <f>$F$24</f>
        <v>Roof position 3</v>
      </c>
      <c r="BC82" s="438" t="str">
        <f>$G$24</f>
        <v>Roof position 4</v>
      </c>
      <c r="BD82" s="526" t="str">
        <f>$H$24</f>
        <v>Roof position 5</v>
      </c>
      <c r="BE82" s="437" t="str">
        <f>$I$24</f>
        <v>Roof position 1</v>
      </c>
      <c r="BF82" s="438" t="str">
        <f>$J$24</f>
        <v>Roof position 2</v>
      </c>
      <c r="BG82" s="438" t="str">
        <f>$K$24</f>
        <v>Roof position 3</v>
      </c>
      <c r="BH82" s="438" t="str">
        <f>$L$24</f>
        <v>Roof position 4</v>
      </c>
      <c r="BI82" s="439" t="str">
        <f>$H$24</f>
        <v>Roof position 5</v>
      </c>
      <c r="BJ82" s="437" t="str">
        <f>$D$24</f>
        <v>Roof position 1</v>
      </c>
      <c r="BK82" s="438" t="str">
        <f>$E$24</f>
        <v>Roof position 2</v>
      </c>
      <c r="BL82" s="438" t="str">
        <f>$F$24</f>
        <v>Roof position 3</v>
      </c>
      <c r="BM82" s="438" t="str">
        <f>$G$24</f>
        <v>Roof position 4</v>
      </c>
      <c r="BN82" s="526" t="str">
        <f>$H$24</f>
        <v>Roof position 5</v>
      </c>
      <c r="BO82" s="437" t="str">
        <f>$I$24</f>
        <v>Roof position 1</v>
      </c>
      <c r="BP82" s="438" t="str">
        <f>$J$24</f>
        <v>Roof position 2</v>
      </c>
      <c r="BQ82" s="438" t="str">
        <f>$K$24</f>
        <v>Roof position 3</v>
      </c>
      <c r="BR82" s="438" t="str">
        <f>$L$24</f>
        <v>Roof position 4</v>
      </c>
      <c r="BS82" s="439" t="str">
        <f>$H$24</f>
        <v>Roof position 5</v>
      </c>
    </row>
    <row r="83" spans="2:71" ht="15" customHeight="1" x14ac:dyDescent="0.25">
      <c r="B83" s="1716" t="str">
        <f>$B$26</f>
        <v>North row</v>
      </c>
      <c r="C83" s="183" t="str">
        <f>$C$26</f>
        <v>1st-4th module</v>
      </c>
      <c r="D83" s="626">
        <f t="shared" ref="D83:M90" ca="1" si="19">AF83+(AP83-AF83)/(LOG(BJ83)-LOG(AZ83))*(LOG(D55)-LOG(AZ83))</f>
        <v>29.533860658353529</v>
      </c>
      <c r="E83" s="627">
        <f t="shared" ca="1" si="19"/>
        <v>34.220403476774806</v>
      </c>
      <c r="F83" s="627">
        <f t="shared" ca="1" si="19"/>
        <v>24</v>
      </c>
      <c r="G83" s="627">
        <f t="shared" ca="1" si="19"/>
        <v>24</v>
      </c>
      <c r="H83" s="628">
        <f t="shared" ca="1" si="19"/>
        <v>21</v>
      </c>
      <c r="I83" s="626">
        <f t="shared" ca="1" si="19"/>
        <v>24.890299777760521</v>
      </c>
      <c r="J83" s="627">
        <f t="shared" ca="1" si="19"/>
        <v>47.26289436347782</v>
      </c>
      <c r="K83" s="627">
        <f t="shared" ca="1" si="19"/>
        <v>21.783699950666914</v>
      </c>
      <c r="L83" s="627">
        <f t="shared" ca="1" si="19"/>
        <v>24.229549557595924</v>
      </c>
      <c r="M83" s="629">
        <f t="shared" ca="1" si="19"/>
        <v>25.6675662260186</v>
      </c>
      <c r="N83" s="187"/>
      <c r="O83" s="187"/>
      <c r="P83" s="187"/>
      <c r="Q83" s="187"/>
      <c r="S83">
        <v>0</v>
      </c>
      <c r="T83" s="954"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73" t="str">
        <f t="shared" si="20"/>
        <v>O96:O100</v>
      </c>
      <c r="AA83" s="189" t="str">
        <f t="shared" si="20"/>
        <v>C154:C158</v>
      </c>
      <c r="AB83" s="190" t="str">
        <f t="shared" si="20"/>
        <v>F154:F158</v>
      </c>
      <c r="AC83" s="190" t="str">
        <f t="shared" si="20"/>
        <v>I154:I158</v>
      </c>
      <c r="AD83" s="190" t="str">
        <f t="shared" si="20"/>
        <v>L154:L158</v>
      </c>
      <c r="AE83" s="191" t="str">
        <f t="shared" si="20"/>
        <v>O154:O158</v>
      </c>
      <c r="AF83" s="641">
        <f t="shared" ref="AF83:AO90" ca="1" si="21">INDEX(OFFSET(INDIRECT(V83),0,2),MATCH(D55,INDIRECT(V83),1))</f>
        <v>47</v>
      </c>
      <c r="AG83" s="642">
        <f t="shared" ca="1" si="21"/>
        <v>121</v>
      </c>
      <c r="AH83" s="642">
        <f t="shared" ca="1" si="21"/>
        <v>24</v>
      </c>
      <c r="AI83" s="642">
        <f t="shared" ca="1" si="21"/>
        <v>24</v>
      </c>
      <c r="AJ83" s="643">
        <f t="shared" ca="1" si="21"/>
        <v>21</v>
      </c>
      <c r="AK83" s="641">
        <f t="shared" ca="1" si="21"/>
        <v>29</v>
      </c>
      <c r="AL83" s="642">
        <f t="shared" ca="1" si="21"/>
        <v>84</v>
      </c>
      <c r="AM83" s="642">
        <f t="shared" ca="1" si="21"/>
        <v>75</v>
      </c>
      <c r="AN83" s="642">
        <f t="shared" ca="1" si="21"/>
        <v>75</v>
      </c>
      <c r="AO83" s="644">
        <f t="shared" ca="1" si="21"/>
        <v>81</v>
      </c>
      <c r="AP83" s="641">
        <f t="shared" ref="AP83:AY90" ca="1" si="22">INDEX(OFFSET(INDIRECT(V83),0,2),MATCH(D55,INDIRECT(V83),1)+1)</f>
        <v>24</v>
      </c>
      <c r="AQ83" s="642">
        <f t="shared" ca="1" si="22"/>
        <v>28</v>
      </c>
      <c r="AR83" s="642">
        <f t="shared" ca="1" si="22"/>
        <v>24</v>
      </c>
      <c r="AS83" s="642">
        <f t="shared" ca="1" si="22"/>
        <v>24</v>
      </c>
      <c r="AT83" s="643">
        <f t="shared" ca="1" si="22"/>
        <v>21</v>
      </c>
      <c r="AU83" s="641">
        <f t="shared" ca="1" si="22"/>
        <v>12</v>
      </c>
      <c r="AV83" s="642">
        <f t="shared" ca="1" si="22"/>
        <v>15</v>
      </c>
      <c r="AW83" s="642">
        <f t="shared" ca="1" si="22"/>
        <v>9</v>
      </c>
      <c r="AX83" s="642">
        <f t="shared" ca="1" si="22"/>
        <v>9</v>
      </c>
      <c r="AY83" s="644">
        <f t="shared" ca="1" si="22"/>
        <v>9</v>
      </c>
      <c r="AZ83" s="641">
        <f t="shared" ref="AZ83:BI90" ca="1" si="23">INDEX(OFFSET(INDIRECT(V83),0,0),MATCH(D55,INDIRECT(V83),1))</f>
        <v>90</v>
      </c>
      <c r="BA83" s="642">
        <f t="shared" ca="1" si="23"/>
        <v>25</v>
      </c>
      <c r="BB83" s="642">
        <f t="shared" ca="1" si="23"/>
        <v>147</v>
      </c>
      <c r="BC83" s="642">
        <f t="shared" ca="1" si="23"/>
        <v>160</v>
      </c>
      <c r="BD83" s="643">
        <f t="shared" ca="1" si="23"/>
        <v>168</v>
      </c>
      <c r="BE83" s="641">
        <f t="shared" ca="1" si="23"/>
        <v>90</v>
      </c>
      <c r="BF83" s="642">
        <f t="shared" ca="1" si="23"/>
        <v>25</v>
      </c>
      <c r="BG83" s="642">
        <f t="shared" ca="1" si="23"/>
        <v>12.5</v>
      </c>
      <c r="BH83" s="642">
        <f t="shared" ca="1" si="23"/>
        <v>14</v>
      </c>
      <c r="BI83" s="644">
        <f t="shared" ca="1" si="23"/>
        <v>12</v>
      </c>
      <c r="BJ83" s="641">
        <f t="shared" ref="BJ83:BS90" ca="1" si="24">INDEX(OFFSET(INDIRECT(V83),0,0),MATCH(D55,INDIRECT(V83),1)+1)</f>
        <v>872</v>
      </c>
      <c r="BK83" s="642">
        <f t="shared" ca="1" si="24"/>
        <v>470</v>
      </c>
      <c r="BL83" s="642">
        <f t="shared" ca="1" si="24"/>
        <v>10000</v>
      </c>
      <c r="BM83" s="642">
        <f t="shared" ca="1" si="24"/>
        <v>10000</v>
      </c>
      <c r="BN83" s="643">
        <f t="shared" ca="1" si="24"/>
        <v>10000</v>
      </c>
      <c r="BO83" s="641">
        <f t="shared" ca="1" si="24"/>
        <v>872</v>
      </c>
      <c r="BP83" s="642">
        <f t="shared" ca="1" si="24"/>
        <v>470</v>
      </c>
      <c r="BQ83" s="642">
        <f t="shared" ca="1" si="24"/>
        <v>147</v>
      </c>
      <c r="BR83" s="642">
        <f t="shared" ca="1" si="24"/>
        <v>160</v>
      </c>
      <c r="BS83" s="644">
        <f t="shared" ca="1" si="24"/>
        <v>168</v>
      </c>
    </row>
    <row r="84" spans="2:71" ht="15" customHeight="1" thickBot="1" x14ac:dyDescent="0.3">
      <c r="B84" s="1717"/>
      <c r="C84" s="277" t="str">
        <f>$C$27</f>
        <v>Interior modules</v>
      </c>
      <c r="D84" s="630">
        <f t="shared" ca="1" si="19"/>
        <v>27.696960470872735</v>
      </c>
      <c r="E84" s="631">
        <f t="shared" ca="1" si="19"/>
        <v>34.12165312103869</v>
      </c>
      <c r="F84" s="631">
        <f t="shared" ca="1" si="19"/>
        <v>24</v>
      </c>
      <c r="G84" s="631">
        <f t="shared" ca="1" si="19"/>
        <v>24</v>
      </c>
      <c r="H84" s="632">
        <f t="shared" ca="1" si="19"/>
        <v>21</v>
      </c>
      <c r="I84" s="630">
        <f t="shared" ca="1" si="19"/>
        <v>19.767249584487764</v>
      </c>
      <c r="J84" s="631">
        <f t="shared" ca="1" si="19"/>
        <v>54.514323229115895</v>
      </c>
      <c r="K84" s="631">
        <f t="shared" ca="1" si="19"/>
        <v>13.481889754487703</v>
      </c>
      <c r="L84" s="631">
        <f t="shared" ca="1" si="19"/>
        <v>22.428282963250453</v>
      </c>
      <c r="M84" s="633">
        <f t="shared" ca="1" si="19"/>
        <v>26.188906401107637</v>
      </c>
      <c r="N84" s="187"/>
      <c r="O84" s="187"/>
      <c r="P84" s="187"/>
      <c r="Q84" s="187"/>
      <c r="S84">
        <v>7</v>
      </c>
      <c r="T84" s="955"/>
      <c r="U84" s="277" t="str">
        <f>$C$27</f>
        <v>Interior modules</v>
      </c>
      <c r="V84" s="574" t="str">
        <f t="shared" si="20"/>
        <v>C103:C107</v>
      </c>
      <c r="W84" s="575" t="str">
        <f t="shared" si="20"/>
        <v>F103:F107</v>
      </c>
      <c r="X84" s="575" t="str">
        <f t="shared" si="20"/>
        <v>I103:I107</v>
      </c>
      <c r="Y84" s="575" t="str">
        <f t="shared" si="20"/>
        <v>L103:L107</v>
      </c>
      <c r="Z84" s="576" t="str">
        <f t="shared" si="20"/>
        <v>O103:O107</v>
      </c>
      <c r="AA84" s="574" t="str">
        <f t="shared" si="20"/>
        <v>C161:C165</v>
      </c>
      <c r="AB84" s="575" t="str">
        <f t="shared" si="20"/>
        <v>F161:F165</v>
      </c>
      <c r="AC84" s="575" t="str">
        <f t="shared" si="20"/>
        <v>I161:I165</v>
      </c>
      <c r="AD84" s="575" t="str">
        <f t="shared" si="20"/>
        <v>L161:L165</v>
      </c>
      <c r="AE84" s="577" t="str">
        <f t="shared" si="20"/>
        <v>O161:O165</v>
      </c>
      <c r="AF84" s="645">
        <f t="shared" ca="1" si="21"/>
        <v>36</v>
      </c>
      <c r="AG84" s="646">
        <f t="shared" ca="1" si="21"/>
        <v>125</v>
      </c>
      <c r="AH84" s="646">
        <f t="shared" ca="1" si="21"/>
        <v>24</v>
      </c>
      <c r="AI84" s="646">
        <f t="shared" ca="1" si="21"/>
        <v>24</v>
      </c>
      <c r="AJ84" s="647">
        <f t="shared" ca="1" si="21"/>
        <v>21</v>
      </c>
      <c r="AK84" s="645">
        <f t="shared" ca="1" si="21"/>
        <v>20</v>
      </c>
      <c r="AL84" s="646">
        <f t="shared" ca="1" si="21"/>
        <v>87</v>
      </c>
      <c r="AM84" s="646">
        <f t="shared" ca="1" si="21"/>
        <v>61</v>
      </c>
      <c r="AN84" s="646">
        <f t="shared" ca="1" si="21"/>
        <v>73</v>
      </c>
      <c r="AO84" s="648">
        <f t="shared" ca="1" si="21"/>
        <v>81</v>
      </c>
      <c r="AP84" s="645">
        <f t="shared" ca="1" si="22"/>
        <v>24</v>
      </c>
      <c r="AQ84" s="646">
        <f t="shared" ca="1" si="22"/>
        <v>28</v>
      </c>
      <c r="AR84" s="646">
        <f t="shared" ca="1" si="22"/>
        <v>24</v>
      </c>
      <c r="AS84" s="646">
        <f t="shared" ca="1" si="22"/>
        <v>24</v>
      </c>
      <c r="AT84" s="647">
        <f t="shared" ca="1" si="22"/>
        <v>21</v>
      </c>
      <c r="AU84" s="645">
        <f t="shared" ca="1" si="22"/>
        <v>12</v>
      </c>
      <c r="AV84" s="646">
        <f t="shared" ca="1" si="22"/>
        <v>15</v>
      </c>
      <c r="AW84" s="646">
        <f t="shared" ca="1" si="22"/>
        <v>9</v>
      </c>
      <c r="AX84" s="646">
        <f t="shared" ca="1" si="22"/>
        <v>9</v>
      </c>
      <c r="AY84" s="648">
        <f t="shared" ca="1" si="22"/>
        <v>9</v>
      </c>
      <c r="AZ84" s="645">
        <f t="shared" ca="1" si="23"/>
        <v>148</v>
      </c>
      <c r="BA84" s="646">
        <f t="shared" ca="1" si="23"/>
        <v>40</v>
      </c>
      <c r="BB84" s="646">
        <f t="shared" ca="1" si="23"/>
        <v>110</v>
      </c>
      <c r="BC84" s="646">
        <f t="shared" ca="1" si="23"/>
        <v>150</v>
      </c>
      <c r="BD84" s="647">
        <f t="shared" ca="1" si="23"/>
        <v>168</v>
      </c>
      <c r="BE84" s="645">
        <f t="shared" ca="1" si="23"/>
        <v>148</v>
      </c>
      <c r="BF84" s="646">
        <f t="shared" ca="1" si="23"/>
        <v>40</v>
      </c>
      <c r="BG84" s="646">
        <f t="shared" ca="1" si="23"/>
        <v>12.5</v>
      </c>
      <c r="BH84" s="646">
        <f t="shared" ca="1" si="23"/>
        <v>14</v>
      </c>
      <c r="BI84" s="648">
        <f t="shared" ca="1" si="23"/>
        <v>13</v>
      </c>
      <c r="BJ84" s="645">
        <f t="shared" ca="1" si="24"/>
        <v>872</v>
      </c>
      <c r="BK84" s="646">
        <f t="shared" ca="1" si="24"/>
        <v>450</v>
      </c>
      <c r="BL84" s="646">
        <f t="shared" ca="1" si="24"/>
        <v>10000</v>
      </c>
      <c r="BM84" s="646">
        <f t="shared" ca="1" si="24"/>
        <v>10000</v>
      </c>
      <c r="BN84" s="647">
        <f t="shared" ca="1" si="24"/>
        <v>10000</v>
      </c>
      <c r="BO84" s="645">
        <f t="shared" ca="1" si="24"/>
        <v>872</v>
      </c>
      <c r="BP84" s="646">
        <f t="shared" ca="1" si="24"/>
        <v>450</v>
      </c>
      <c r="BQ84" s="646">
        <f t="shared" ca="1" si="24"/>
        <v>110</v>
      </c>
      <c r="BR84" s="646">
        <f t="shared" ca="1" si="24"/>
        <v>150</v>
      </c>
      <c r="BS84" s="648">
        <f t="shared" ca="1" si="24"/>
        <v>168</v>
      </c>
    </row>
    <row r="85" spans="2:71" ht="15" customHeight="1" x14ac:dyDescent="0.25">
      <c r="B85" s="1716" t="str">
        <f>$B$28</f>
        <v>Inner rows, 2nd to 6th row from north</v>
      </c>
      <c r="C85" s="183" t="str">
        <f>$C$26</f>
        <v>1st-4th module</v>
      </c>
      <c r="D85" s="626">
        <f t="shared" ca="1" si="19"/>
        <v>26.436253254640331</v>
      </c>
      <c r="E85" s="627">
        <f t="shared" ca="1" si="19"/>
        <v>34.194876342544966</v>
      </c>
      <c r="F85" s="627">
        <f t="shared" ca="1" si="19"/>
        <v>24</v>
      </c>
      <c r="G85" s="627">
        <f t="shared" ca="1" si="19"/>
        <v>24</v>
      </c>
      <c r="H85" s="628">
        <f t="shared" ca="1" si="19"/>
        <v>21</v>
      </c>
      <c r="I85" s="626">
        <f t="shared" ca="1" si="19"/>
        <v>20.74450715791831</v>
      </c>
      <c r="J85" s="627">
        <f t="shared" ca="1" si="19"/>
        <v>27.573026933393425</v>
      </c>
      <c r="K85" s="627">
        <f t="shared" ca="1" si="19"/>
        <v>9</v>
      </c>
      <c r="L85" s="627">
        <f t="shared" ca="1" si="19"/>
        <v>10.231914386291038</v>
      </c>
      <c r="M85" s="629">
        <f t="shared" ca="1" si="19"/>
        <v>9</v>
      </c>
      <c r="N85" s="187"/>
      <c r="O85" s="187"/>
      <c r="P85" s="187"/>
      <c r="Q85" s="187"/>
      <c r="S85">
        <v>14</v>
      </c>
      <c r="T85" s="954"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73" t="str">
        <f t="shared" si="20"/>
        <v>O110:O114</v>
      </c>
      <c r="AA85" s="189" t="str">
        <f t="shared" si="20"/>
        <v>C168:C172</v>
      </c>
      <c r="AB85" s="190" t="str">
        <f t="shared" si="20"/>
        <v>F168:F172</v>
      </c>
      <c r="AC85" s="190" t="str">
        <f t="shared" si="20"/>
        <v>I168:I172</v>
      </c>
      <c r="AD85" s="190" t="str">
        <f t="shared" si="20"/>
        <v>L168:L172</v>
      </c>
      <c r="AE85" s="191" t="str">
        <f t="shared" si="20"/>
        <v>O168:O172</v>
      </c>
      <c r="AF85" s="641">
        <f t="shared" ca="1" si="21"/>
        <v>40</v>
      </c>
      <c r="AG85" s="642">
        <f t="shared" ca="1" si="21"/>
        <v>75</v>
      </c>
      <c r="AH85" s="642">
        <f t="shared" ca="1" si="21"/>
        <v>24</v>
      </c>
      <c r="AI85" s="642">
        <f t="shared" ca="1" si="21"/>
        <v>24</v>
      </c>
      <c r="AJ85" s="643">
        <f t="shared" ca="1" si="21"/>
        <v>21</v>
      </c>
      <c r="AK85" s="641">
        <f t="shared" ca="1" si="21"/>
        <v>23</v>
      </c>
      <c r="AL85" s="642">
        <f t="shared" ca="1" si="21"/>
        <v>44</v>
      </c>
      <c r="AM85" s="642">
        <f t="shared" ca="1" si="21"/>
        <v>9</v>
      </c>
      <c r="AN85" s="642">
        <f t="shared" ca="1" si="21"/>
        <v>15</v>
      </c>
      <c r="AO85" s="644">
        <f t="shared" ca="1" si="21"/>
        <v>9</v>
      </c>
      <c r="AP85" s="641">
        <f t="shared" ca="1" si="22"/>
        <v>24</v>
      </c>
      <c r="AQ85" s="642">
        <f t="shared" ca="1" si="22"/>
        <v>28</v>
      </c>
      <c r="AR85" s="642">
        <f t="shared" ca="1" si="22"/>
        <v>24</v>
      </c>
      <c r="AS85" s="642">
        <f t="shared" ca="1" si="22"/>
        <v>24</v>
      </c>
      <c r="AT85" s="643">
        <f t="shared" ca="1" si="22"/>
        <v>21</v>
      </c>
      <c r="AU85" s="641">
        <f t="shared" ca="1" si="22"/>
        <v>12</v>
      </c>
      <c r="AV85" s="642">
        <f t="shared" ca="1" si="22"/>
        <v>15</v>
      </c>
      <c r="AW85" s="642">
        <f t="shared" ca="1" si="22"/>
        <v>9</v>
      </c>
      <c r="AX85" s="642">
        <f t="shared" ca="1" si="22"/>
        <v>9</v>
      </c>
      <c r="AY85" s="644">
        <f t="shared" ca="1" si="22"/>
        <v>9</v>
      </c>
      <c r="AZ85" s="641">
        <f t="shared" ca="1" si="23"/>
        <v>140</v>
      </c>
      <c r="BA85" s="642">
        <f t="shared" ca="1" si="23"/>
        <v>15</v>
      </c>
      <c r="BB85" s="642">
        <f t="shared" ca="1" si="23"/>
        <v>95</v>
      </c>
      <c r="BC85" s="642">
        <f t="shared" ca="1" si="23"/>
        <v>148</v>
      </c>
      <c r="BD85" s="643">
        <f t="shared" ca="1" si="23"/>
        <v>15</v>
      </c>
      <c r="BE85" s="641">
        <f t="shared" ca="1" si="23"/>
        <v>140</v>
      </c>
      <c r="BF85" s="642">
        <f t="shared" ca="1" si="23"/>
        <v>15</v>
      </c>
      <c r="BG85" s="642">
        <f t="shared" ca="1" si="23"/>
        <v>95</v>
      </c>
      <c r="BH85" s="642">
        <f t="shared" ca="1" si="23"/>
        <v>14</v>
      </c>
      <c r="BI85" s="644">
        <f t="shared" ca="1" si="23"/>
        <v>15</v>
      </c>
      <c r="BJ85" s="641">
        <f t="shared" ca="1" si="24"/>
        <v>872</v>
      </c>
      <c r="BK85" s="642">
        <f t="shared" ca="1" si="24"/>
        <v>738</v>
      </c>
      <c r="BL85" s="642">
        <f t="shared" ca="1" si="24"/>
        <v>10000</v>
      </c>
      <c r="BM85" s="642">
        <f t="shared" ca="1" si="24"/>
        <v>10000</v>
      </c>
      <c r="BN85" s="643">
        <f t="shared" ca="1" si="24"/>
        <v>10000</v>
      </c>
      <c r="BO85" s="641">
        <f t="shared" ca="1" si="24"/>
        <v>872</v>
      </c>
      <c r="BP85" s="642">
        <f t="shared" ca="1" si="24"/>
        <v>738</v>
      </c>
      <c r="BQ85" s="642">
        <f t="shared" ca="1" si="24"/>
        <v>10000</v>
      </c>
      <c r="BR85" s="642">
        <f t="shared" ca="1" si="24"/>
        <v>148</v>
      </c>
      <c r="BS85" s="644">
        <f t="shared" ca="1" si="24"/>
        <v>10000</v>
      </c>
    </row>
    <row r="86" spans="2:71" ht="15" customHeight="1" thickBot="1" x14ac:dyDescent="0.3">
      <c r="B86" s="1717"/>
      <c r="C86" s="278" t="str">
        <f>$C$27</f>
        <v>Interior modules</v>
      </c>
      <c r="D86" s="634">
        <f t="shared" ca="1" si="19"/>
        <v>26.410886962455088</v>
      </c>
      <c r="E86" s="635">
        <f t="shared" ca="1" si="19"/>
        <v>33.46684890929879</v>
      </c>
      <c r="F86" s="635">
        <f t="shared" ca="1" si="19"/>
        <v>24</v>
      </c>
      <c r="G86" s="635">
        <f t="shared" ca="1" si="19"/>
        <v>24</v>
      </c>
      <c r="H86" s="636">
        <f t="shared" ca="1" si="19"/>
        <v>21</v>
      </c>
      <c r="I86" s="634">
        <f t="shared" ca="1" si="19"/>
        <v>20</v>
      </c>
      <c r="J86" s="635">
        <f t="shared" ca="1" si="19"/>
        <v>27.12756686259516</v>
      </c>
      <c r="K86" s="635">
        <f t="shared" ca="1" si="19"/>
        <v>9</v>
      </c>
      <c r="L86" s="635">
        <f t="shared" ca="1" si="19"/>
        <v>9.615957193145519</v>
      </c>
      <c r="M86" s="637">
        <f t="shared" ca="1" si="19"/>
        <v>9</v>
      </c>
      <c r="N86" s="187"/>
      <c r="O86" s="187"/>
      <c r="P86" s="187"/>
      <c r="Q86" s="187"/>
      <c r="S86">
        <v>21</v>
      </c>
      <c r="T86" s="955"/>
      <c r="U86" s="278" t="str">
        <f>$C$27</f>
        <v>Interior modules</v>
      </c>
      <c r="V86" s="578" t="str">
        <f t="shared" si="20"/>
        <v>C117:C121</v>
      </c>
      <c r="W86" s="579" t="str">
        <f t="shared" si="20"/>
        <v>F117:F121</v>
      </c>
      <c r="X86" s="579" t="str">
        <f t="shared" si="20"/>
        <v>I117:I121</v>
      </c>
      <c r="Y86" s="579" t="str">
        <f t="shared" si="20"/>
        <v>L117:L121</v>
      </c>
      <c r="Z86" s="580" t="str">
        <f t="shared" si="20"/>
        <v>O117:O121</v>
      </c>
      <c r="AA86" s="578" t="str">
        <f t="shared" si="20"/>
        <v>C175:C179</v>
      </c>
      <c r="AB86" s="579" t="str">
        <f t="shared" si="20"/>
        <v>F175:F179</v>
      </c>
      <c r="AC86" s="579" t="str">
        <f t="shared" si="20"/>
        <v>I175:I179</v>
      </c>
      <c r="AD86" s="579" t="str">
        <f t="shared" si="20"/>
        <v>L175:L179</v>
      </c>
      <c r="AE86" s="581" t="str">
        <f t="shared" si="20"/>
        <v>O175:O179</v>
      </c>
      <c r="AF86" s="649">
        <f t="shared" ca="1" si="21"/>
        <v>36</v>
      </c>
      <c r="AG86" s="650">
        <f t="shared" ca="1" si="21"/>
        <v>71</v>
      </c>
      <c r="AH86" s="650">
        <f t="shared" ca="1" si="21"/>
        <v>24</v>
      </c>
      <c r="AI86" s="650">
        <f t="shared" ca="1" si="21"/>
        <v>24</v>
      </c>
      <c r="AJ86" s="651">
        <f t="shared" ca="1" si="21"/>
        <v>21</v>
      </c>
      <c r="AK86" s="649">
        <f t="shared" ca="1" si="21"/>
        <v>20</v>
      </c>
      <c r="AL86" s="650">
        <f t="shared" ca="1" si="21"/>
        <v>44</v>
      </c>
      <c r="AM86" s="650">
        <f t="shared" ca="1" si="21"/>
        <v>9</v>
      </c>
      <c r="AN86" s="650">
        <f t="shared" ca="1" si="21"/>
        <v>12</v>
      </c>
      <c r="AO86" s="652">
        <f t="shared" ca="1" si="21"/>
        <v>9</v>
      </c>
      <c r="AP86" s="649">
        <f t="shared" ca="1" si="22"/>
        <v>24</v>
      </c>
      <c r="AQ86" s="650">
        <f t="shared" ca="1" si="22"/>
        <v>28</v>
      </c>
      <c r="AR86" s="650">
        <f t="shared" ca="1" si="22"/>
        <v>24</v>
      </c>
      <c r="AS86" s="650">
        <f t="shared" ca="1" si="22"/>
        <v>24</v>
      </c>
      <c r="AT86" s="651">
        <f t="shared" ca="1" si="22"/>
        <v>21</v>
      </c>
      <c r="AU86" s="649">
        <f t="shared" ca="1" si="22"/>
        <v>20</v>
      </c>
      <c r="AV86" s="650">
        <f t="shared" ca="1" si="22"/>
        <v>15</v>
      </c>
      <c r="AW86" s="650">
        <f t="shared" ca="1" si="22"/>
        <v>9</v>
      </c>
      <c r="AX86" s="650">
        <f t="shared" ca="1" si="22"/>
        <v>9</v>
      </c>
      <c r="AY86" s="652">
        <f t="shared" ca="1" si="22"/>
        <v>9</v>
      </c>
      <c r="AZ86" s="649">
        <f t="shared" ca="1" si="23"/>
        <v>218</v>
      </c>
      <c r="BA86" s="650">
        <f t="shared" ca="1" si="23"/>
        <v>13</v>
      </c>
      <c r="BB86" s="650">
        <f t="shared" ca="1" si="23"/>
        <v>27</v>
      </c>
      <c r="BC86" s="650">
        <f t="shared" ca="1" si="23"/>
        <v>148</v>
      </c>
      <c r="BD86" s="651">
        <f t="shared" ca="1" si="23"/>
        <v>15</v>
      </c>
      <c r="BE86" s="649">
        <f t="shared" ca="1" si="23"/>
        <v>55</v>
      </c>
      <c r="BF86" s="650">
        <f t="shared" ca="1" si="23"/>
        <v>13</v>
      </c>
      <c r="BG86" s="650">
        <f t="shared" ca="1" si="23"/>
        <v>27</v>
      </c>
      <c r="BH86" s="650">
        <f t="shared" ca="1" si="23"/>
        <v>14</v>
      </c>
      <c r="BI86" s="652">
        <f t="shared" ca="1" si="23"/>
        <v>15</v>
      </c>
      <c r="BJ86" s="649">
        <f t="shared" ca="1" si="24"/>
        <v>872</v>
      </c>
      <c r="BK86" s="650">
        <f t="shared" ca="1" si="24"/>
        <v>738</v>
      </c>
      <c r="BL86" s="650">
        <f t="shared" ca="1" si="24"/>
        <v>10000</v>
      </c>
      <c r="BM86" s="650">
        <f t="shared" ca="1" si="24"/>
        <v>10000</v>
      </c>
      <c r="BN86" s="651">
        <f t="shared" ca="1" si="24"/>
        <v>10000</v>
      </c>
      <c r="BO86" s="649">
        <f t="shared" ca="1" si="24"/>
        <v>218</v>
      </c>
      <c r="BP86" s="650">
        <f t="shared" ca="1" si="24"/>
        <v>738</v>
      </c>
      <c r="BQ86" s="650">
        <f t="shared" ca="1" si="24"/>
        <v>10000</v>
      </c>
      <c r="BR86" s="650">
        <f t="shared" ca="1" si="24"/>
        <v>148</v>
      </c>
      <c r="BS86" s="652">
        <f t="shared" ca="1" si="24"/>
        <v>10000</v>
      </c>
    </row>
    <row r="87" spans="2:71" ht="15" customHeight="1" x14ac:dyDescent="0.25">
      <c r="B87" s="1716" t="str">
        <f>$B$30</f>
        <v>Inner rows, from 7th row from north</v>
      </c>
      <c r="C87" s="183" t="str">
        <f>$C$26</f>
        <v>1st-4th module</v>
      </c>
      <c r="D87" s="626">
        <f t="shared" ca="1" si="19"/>
        <v>28.72024068086564</v>
      </c>
      <c r="E87" s="627">
        <f t="shared" ca="1" si="19"/>
        <v>33.11615815820916</v>
      </c>
      <c r="F87" s="627">
        <f t="shared" ca="1" si="19"/>
        <v>24</v>
      </c>
      <c r="G87" s="627">
        <f t="shared" ca="1" si="19"/>
        <v>24</v>
      </c>
      <c r="H87" s="627">
        <f t="shared" ca="1" si="19"/>
        <v>21</v>
      </c>
      <c r="I87" s="626">
        <f t="shared" ca="1" si="19"/>
        <v>30.283969512011016</v>
      </c>
      <c r="J87" s="627">
        <f t="shared" ca="1" si="19"/>
        <v>27.501333162958659</v>
      </c>
      <c r="K87" s="627">
        <f t="shared" ca="1" si="19"/>
        <v>10.577770393141762</v>
      </c>
      <c r="L87" s="627">
        <f t="shared" ca="1" si="19"/>
        <v>9</v>
      </c>
      <c r="M87" s="629">
        <f t="shared" ca="1" si="19"/>
        <v>10.565097860587073</v>
      </c>
      <c r="N87" s="187"/>
      <c r="O87" s="187"/>
      <c r="P87" s="187"/>
      <c r="Q87" s="187"/>
      <c r="S87">
        <v>28</v>
      </c>
      <c r="T87" s="954"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41">
        <f t="shared" ca="1" si="21"/>
        <v>55</v>
      </c>
      <c r="AG87" s="642">
        <f t="shared" ca="1" si="21"/>
        <v>63</v>
      </c>
      <c r="AH87" s="642">
        <f t="shared" ca="1" si="21"/>
        <v>24</v>
      </c>
      <c r="AI87" s="642">
        <f t="shared" ca="1" si="21"/>
        <v>24</v>
      </c>
      <c r="AJ87" s="642">
        <f t="shared" ca="1" si="21"/>
        <v>21</v>
      </c>
      <c r="AK87" s="641">
        <f t="shared" ca="1" si="21"/>
        <v>35</v>
      </c>
      <c r="AL87" s="642">
        <f t="shared" ca="1" si="21"/>
        <v>41</v>
      </c>
      <c r="AM87" s="642">
        <f t="shared" ca="1" si="21"/>
        <v>44</v>
      </c>
      <c r="AN87" s="642">
        <f t="shared" ca="1" si="21"/>
        <v>9</v>
      </c>
      <c r="AO87" s="644">
        <f t="shared" ca="1" si="21"/>
        <v>32</v>
      </c>
      <c r="AP87" s="641">
        <f t="shared" ca="1" si="22"/>
        <v>24</v>
      </c>
      <c r="AQ87" s="642">
        <f t="shared" ca="1" si="22"/>
        <v>28</v>
      </c>
      <c r="AR87" s="642">
        <f t="shared" ca="1" si="22"/>
        <v>24</v>
      </c>
      <c r="AS87" s="642">
        <f t="shared" ca="1" si="22"/>
        <v>24</v>
      </c>
      <c r="AT87" s="642">
        <f t="shared" ca="1" si="22"/>
        <v>21</v>
      </c>
      <c r="AU87" s="641">
        <f t="shared" ca="1" si="22"/>
        <v>12</v>
      </c>
      <c r="AV87" s="642">
        <f t="shared" ca="1" si="22"/>
        <v>15</v>
      </c>
      <c r="AW87" s="642">
        <f t="shared" ca="1" si="22"/>
        <v>9</v>
      </c>
      <c r="AX87" s="642">
        <f t="shared" ca="1" si="22"/>
        <v>9</v>
      </c>
      <c r="AY87" s="644">
        <f t="shared" ca="1" si="22"/>
        <v>9</v>
      </c>
      <c r="AZ87" s="641">
        <f t="shared" ca="1" si="23"/>
        <v>140</v>
      </c>
      <c r="BA87" s="642">
        <f t="shared" ca="1" si="23"/>
        <v>22</v>
      </c>
      <c r="BB87" s="642">
        <f t="shared" ca="1" si="23"/>
        <v>147</v>
      </c>
      <c r="BC87" s="642">
        <f t="shared" ca="1" si="23"/>
        <v>77</v>
      </c>
      <c r="BD87" s="642">
        <f t="shared" ca="1" si="23"/>
        <v>110</v>
      </c>
      <c r="BE87" s="641">
        <f t="shared" ca="1" si="23"/>
        <v>140</v>
      </c>
      <c r="BF87" s="642">
        <f t="shared" ca="1" si="23"/>
        <v>22</v>
      </c>
      <c r="BG87" s="642">
        <f t="shared" ca="1" si="23"/>
        <v>27.5</v>
      </c>
      <c r="BH87" s="642">
        <f t="shared" ca="1" si="23"/>
        <v>77</v>
      </c>
      <c r="BI87" s="644">
        <f t="shared" ca="1" si="23"/>
        <v>7</v>
      </c>
      <c r="BJ87" s="641">
        <f t="shared" ca="1" si="24"/>
        <v>872</v>
      </c>
      <c r="BK87" s="642">
        <f t="shared" ca="1" si="24"/>
        <v>738</v>
      </c>
      <c r="BL87" s="642">
        <f t="shared" ca="1" si="24"/>
        <v>10000</v>
      </c>
      <c r="BM87" s="642">
        <f t="shared" ca="1" si="24"/>
        <v>10000</v>
      </c>
      <c r="BN87" s="642">
        <f t="shared" ca="1" si="24"/>
        <v>10000</v>
      </c>
      <c r="BO87" s="641">
        <f t="shared" ca="1" si="24"/>
        <v>872</v>
      </c>
      <c r="BP87" s="642">
        <f t="shared" ca="1" si="24"/>
        <v>738</v>
      </c>
      <c r="BQ87" s="642">
        <f t="shared" ca="1" si="24"/>
        <v>147</v>
      </c>
      <c r="BR87" s="642">
        <f t="shared" ca="1" si="24"/>
        <v>10000</v>
      </c>
      <c r="BS87" s="644">
        <f t="shared" ca="1" si="24"/>
        <v>110</v>
      </c>
    </row>
    <row r="88" spans="2:71" ht="15" customHeight="1" thickBot="1" x14ac:dyDescent="0.3">
      <c r="B88" s="1717"/>
      <c r="C88" s="277" t="str">
        <f>$C$27</f>
        <v>Interior modules</v>
      </c>
      <c r="D88" s="638">
        <f t="shared" ca="1" si="19"/>
        <v>26.269787725098872</v>
      </c>
      <c r="E88" s="639">
        <f t="shared" ca="1" si="19"/>
        <v>34.801701806905086</v>
      </c>
      <c r="F88" s="639">
        <f t="shared" ca="1" si="19"/>
        <v>24</v>
      </c>
      <c r="G88" s="639">
        <f t="shared" ca="1" si="19"/>
        <v>24</v>
      </c>
      <c r="H88" s="639">
        <f t="shared" ca="1" si="19"/>
        <v>21</v>
      </c>
      <c r="I88" s="638">
        <f t="shared" ca="1" si="19"/>
        <v>19.900129070597622</v>
      </c>
      <c r="J88" s="639">
        <f t="shared" ca="1" si="19"/>
        <v>28.618361299558412</v>
      </c>
      <c r="K88" s="639">
        <f t="shared" ca="1" si="19"/>
        <v>9</v>
      </c>
      <c r="L88" s="639">
        <f t="shared" ca="1" si="19"/>
        <v>9</v>
      </c>
      <c r="M88" s="640">
        <f t="shared" ca="1" si="19"/>
        <v>10.565097860587073</v>
      </c>
      <c r="N88" s="187"/>
      <c r="O88" s="187"/>
      <c r="P88" s="187"/>
      <c r="Q88" s="187"/>
      <c r="S88">
        <v>35</v>
      </c>
      <c r="T88" s="955"/>
      <c r="U88" s="277" t="str">
        <f>$C$27</f>
        <v>Interior modules</v>
      </c>
      <c r="V88" s="582" t="str">
        <f t="shared" si="20"/>
        <v>C131:C135</v>
      </c>
      <c r="W88" s="583" t="str">
        <f t="shared" si="20"/>
        <v>F131:F135</v>
      </c>
      <c r="X88" s="583" t="str">
        <f t="shared" si="20"/>
        <v>I131:I135</v>
      </c>
      <c r="Y88" s="583" t="str">
        <f t="shared" si="20"/>
        <v>L131:L135</v>
      </c>
      <c r="Z88" s="583" t="str">
        <f t="shared" si="20"/>
        <v>O131:O135</v>
      </c>
      <c r="AA88" s="582" t="str">
        <f t="shared" si="20"/>
        <v>C189:C193</v>
      </c>
      <c r="AB88" s="583" t="str">
        <f t="shared" si="20"/>
        <v>F189:F193</v>
      </c>
      <c r="AC88" s="583" t="str">
        <f t="shared" si="20"/>
        <v>I189:I193</v>
      </c>
      <c r="AD88" s="583" t="str">
        <f t="shared" si="20"/>
        <v>L189:L193</v>
      </c>
      <c r="AE88" s="585" t="str">
        <f t="shared" si="20"/>
        <v>O189:O193</v>
      </c>
      <c r="AF88" s="653">
        <f t="shared" ca="1" si="21"/>
        <v>36</v>
      </c>
      <c r="AG88" s="654">
        <f t="shared" ca="1" si="21"/>
        <v>51</v>
      </c>
      <c r="AH88" s="654">
        <f t="shared" ca="1" si="21"/>
        <v>24</v>
      </c>
      <c r="AI88" s="654">
        <f t="shared" ca="1" si="21"/>
        <v>24</v>
      </c>
      <c r="AJ88" s="654">
        <f t="shared" ca="1" si="21"/>
        <v>21</v>
      </c>
      <c r="AK88" s="653">
        <f t="shared" ca="1" si="21"/>
        <v>20</v>
      </c>
      <c r="AL88" s="654">
        <f t="shared" ca="1" si="21"/>
        <v>29</v>
      </c>
      <c r="AM88" s="654">
        <f t="shared" ca="1" si="21"/>
        <v>9</v>
      </c>
      <c r="AN88" s="654">
        <f t="shared" ca="1" si="21"/>
        <v>9</v>
      </c>
      <c r="AO88" s="655">
        <f t="shared" ca="1" si="21"/>
        <v>32</v>
      </c>
      <c r="AP88" s="653">
        <f t="shared" ca="1" si="22"/>
        <v>24</v>
      </c>
      <c r="AQ88" s="654">
        <f t="shared" ca="1" si="22"/>
        <v>28</v>
      </c>
      <c r="AR88" s="654">
        <f t="shared" ca="1" si="22"/>
        <v>24</v>
      </c>
      <c r="AS88" s="654">
        <f t="shared" ca="1" si="22"/>
        <v>24</v>
      </c>
      <c r="AT88" s="654">
        <f t="shared" ca="1" si="22"/>
        <v>21</v>
      </c>
      <c r="AU88" s="653">
        <f t="shared" ca="1" si="22"/>
        <v>12</v>
      </c>
      <c r="AV88" s="654">
        <f t="shared" ca="1" si="22"/>
        <v>15</v>
      </c>
      <c r="AW88" s="654">
        <f t="shared" ca="1" si="22"/>
        <v>9</v>
      </c>
      <c r="AX88" s="654">
        <f t="shared" ca="1" si="22"/>
        <v>9</v>
      </c>
      <c r="AY88" s="655">
        <f t="shared" ca="1" si="22"/>
        <v>9</v>
      </c>
      <c r="AZ88" s="653">
        <f t="shared" ca="1" si="23"/>
        <v>200</v>
      </c>
      <c r="BA88" s="654">
        <f t="shared" ca="1" si="23"/>
        <v>130</v>
      </c>
      <c r="BB88" s="654">
        <f t="shared" ca="1" si="23"/>
        <v>100</v>
      </c>
      <c r="BC88" s="654">
        <f t="shared" ca="1" si="23"/>
        <v>87</v>
      </c>
      <c r="BD88" s="654">
        <f t="shared" ca="1" si="23"/>
        <v>110</v>
      </c>
      <c r="BE88" s="653">
        <f t="shared" ca="1" si="23"/>
        <v>200</v>
      </c>
      <c r="BF88" s="654">
        <f t="shared" ca="1" si="23"/>
        <v>130</v>
      </c>
      <c r="BG88" s="654">
        <f t="shared" ca="1" si="23"/>
        <v>100</v>
      </c>
      <c r="BH88" s="654">
        <f t="shared" ca="1" si="23"/>
        <v>87</v>
      </c>
      <c r="BI88" s="655">
        <f t="shared" ca="1" si="23"/>
        <v>7</v>
      </c>
      <c r="BJ88" s="653">
        <f t="shared" ca="1" si="24"/>
        <v>872</v>
      </c>
      <c r="BK88" s="654">
        <f t="shared" ca="1" si="24"/>
        <v>738</v>
      </c>
      <c r="BL88" s="654">
        <f t="shared" ca="1" si="24"/>
        <v>10000</v>
      </c>
      <c r="BM88" s="654">
        <f t="shared" ca="1" si="24"/>
        <v>10000</v>
      </c>
      <c r="BN88" s="654">
        <f t="shared" ca="1" si="24"/>
        <v>10000</v>
      </c>
      <c r="BO88" s="653">
        <f t="shared" ca="1" si="24"/>
        <v>872</v>
      </c>
      <c r="BP88" s="654">
        <f t="shared" ca="1" si="24"/>
        <v>738</v>
      </c>
      <c r="BQ88" s="654">
        <f t="shared" ca="1" si="24"/>
        <v>10000</v>
      </c>
      <c r="BR88" s="654">
        <f t="shared" ca="1" si="24"/>
        <v>10000</v>
      </c>
      <c r="BS88" s="655">
        <f t="shared" ca="1" si="24"/>
        <v>110</v>
      </c>
    </row>
    <row r="89" spans="2:71" ht="15" customHeight="1" x14ac:dyDescent="0.25">
      <c r="B89" s="1716" t="str">
        <f>$B$32</f>
        <v>South row</v>
      </c>
      <c r="C89" s="183" t="str">
        <f>$C$26</f>
        <v>1st-4th module</v>
      </c>
      <c r="D89" s="626">
        <f t="shared" ca="1" si="19"/>
        <v>26.808621076867187</v>
      </c>
      <c r="E89" s="627">
        <f t="shared" ca="1" si="19"/>
        <v>33.915031864106261</v>
      </c>
      <c r="F89" s="627">
        <f t="shared" ca="1" si="19"/>
        <v>24</v>
      </c>
      <c r="G89" s="627">
        <f t="shared" ca="1" si="19"/>
        <v>24</v>
      </c>
      <c r="H89" s="628">
        <f t="shared" ca="1" si="19"/>
        <v>21</v>
      </c>
      <c r="I89" s="626">
        <f t="shared" ca="1" si="19"/>
        <v>22.264348604457869</v>
      </c>
      <c r="J89" s="627">
        <f t="shared" ca="1" si="19"/>
        <v>26</v>
      </c>
      <c r="K89" s="627">
        <f t="shared" ca="1" si="19"/>
        <v>9</v>
      </c>
      <c r="L89" s="627">
        <f t="shared" ca="1" si="19"/>
        <v>9</v>
      </c>
      <c r="M89" s="629">
        <f t="shared" ca="1" si="19"/>
        <v>9</v>
      </c>
      <c r="N89" s="187"/>
      <c r="O89" s="187"/>
      <c r="P89" s="187"/>
      <c r="Q89" s="187"/>
      <c r="S89">
        <v>42</v>
      </c>
      <c r="T89" s="954" t="str">
        <f>$B$32</f>
        <v>South row</v>
      </c>
      <c r="U89" s="183" t="str">
        <f>$C$26</f>
        <v>1st-4th module</v>
      </c>
      <c r="V89" s="189" t="str">
        <f t="shared" si="20"/>
        <v>C138:C142</v>
      </c>
      <c r="W89" s="190" t="str">
        <f t="shared" si="20"/>
        <v>F138:F142</v>
      </c>
      <c r="X89" s="190" t="str">
        <f t="shared" si="20"/>
        <v>I138:I142</v>
      </c>
      <c r="Y89" s="190" t="str">
        <f t="shared" si="20"/>
        <v>L138:L142</v>
      </c>
      <c r="Z89" s="573" t="str">
        <f t="shared" si="20"/>
        <v>O138:O142</v>
      </c>
      <c r="AA89" s="189" t="str">
        <f t="shared" si="20"/>
        <v>C196:C200</v>
      </c>
      <c r="AB89" s="190" t="str">
        <f t="shared" si="20"/>
        <v>F196:F200</v>
      </c>
      <c r="AC89" s="190" t="str">
        <f t="shared" si="20"/>
        <v>I196:I200</v>
      </c>
      <c r="AD89" s="190" t="str">
        <f t="shared" si="20"/>
        <v>L196:L200</v>
      </c>
      <c r="AE89" s="191" t="str">
        <f t="shared" si="20"/>
        <v>O196:O200</v>
      </c>
      <c r="AF89" s="641">
        <f t="shared" ca="1" si="21"/>
        <v>44</v>
      </c>
      <c r="AG89" s="642">
        <f t="shared" ca="1" si="21"/>
        <v>44</v>
      </c>
      <c r="AH89" s="642">
        <f t="shared" ca="1" si="21"/>
        <v>24</v>
      </c>
      <c r="AI89" s="642">
        <f t="shared" ca="1" si="21"/>
        <v>24</v>
      </c>
      <c r="AJ89" s="643">
        <f t="shared" ca="1" si="21"/>
        <v>21</v>
      </c>
      <c r="AK89" s="641">
        <f t="shared" ca="1" si="21"/>
        <v>26</v>
      </c>
      <c r="AL89" s="642">
        <f t="shared" ca="1" si="21"/>
        <v>26</v>
      </c>
      <c r="AM89" s="642">
        <f t="shared" ca="1" si="21"/>
        <v>9</v>
      </c>
      <c r="AN89" s="642">
        <f t="shared" ca="1" si="21"/>
        <v>9</v>
      </c>
      <c r="AO89" s="644">
        <f t="shared" ca="1" si="21"/>
        <v>9</v>
      </c>
      <c r="AP89" s="641">
        <f t="shared" ca="1" si="22"/>
        <v>24</v>
      </c>
      <c r="AQ89" s="642">
        <f t="shared" ca="1" si="22"/>
        <v>28</v>
      </c>
      <c r="AR89" s="642">
        <f t="shared" ca="1" si="22"/>
        <v>24</v>
      </c>
      <c r="AS89" s="642">
        <f t="shared" ca="1" si="22"/>
        <v>24</v>
      </c>
      <c r="AT89" s="643">
        <f t="shared" ca="1" si="22"/>
        <v>21</v>
      </c>
      <c r="AU89" s="641">
        <f t="shared" ca="1" si="22"/>
        <v>12</v>
      </c>
      <c r="AV89" s="642">
        <f t="shared" ca="1" si="22"/>
        <v>26</v>
      </c>
      <c r="AW89" s="642">
        <f t="shared" ca="1" si="22"/>
        <v>9</v>
      </c>
      <c r="AX89" s="642">
        <f t="shared" ca="1" si="22"/>
        <v>9</v>
      </c>
      <c r="AY89" s="644">
        <f t="shared" ca="1" si="22"/>
        <v>9</v>
      </c>
      <c r="AZ89" s="641">
        <f t="shared" ca="1" si="23"/>
        <v>120</v>
      </c>
      <c r="BA89" s="642">
        <f t="shared" ca="1" si="23"/>
        <v>184</v>
      </c>
      <c r="BB89" s="642">
        <f t="shared" ca="1" si="23"/>
        <v>96</v>
      </c>
      <c r="BC89" s="642">
        <f t="shared" ca="1" si="23"/>
        <v>30</v>
      </c>
      <c r="BD89" s="643">
        <f t="shared" ca="1" si="23"/>
        <v>30</v>
      </c>
      <c r="BE89" s="641">
        <f t="shared" ca="1" si="23"/>
        <v>120</v>
      </c>
      <c r="BF89" s="642">
        <f t="shared" ca="1" si="23"/>
        <v>12</v>
      </c>
      <c r="BG89" s="642">
        <f t="shared" ca="1" si="23"/>
        <v>96</v>
      </c>
      <c r="BH89" s="642">
        <f t="shared" ca="1" si="23"/>
        <v>30</v>
      </c>
      <c r="BI89" s="644">
        <f t="shared" ca="1" si="23"/>
        <v>30</v>
      </c>
      <c r="BJ89" s="641">
        <f t="shared" ca="1" si="24"/>
        <v>872</v>
      </c>
      <c r="BK89" s="642">
        <f t="shared" ca="1" si="24"/>
        <v>738</v>
      </c>
      <c r="BL89" s="642">
        <f t="shared" ca="1" si="24"/>
        <v>10000</v>
      </c>
      <c r="BM89" s="642">
        <f t="shared" ca="1" si="24"/>
        <v>10000</v>
      </c>
      <c r="BN89" s="643">
        <f t="shared" ca="1" si="24"/>
        <v>10000</v>
      </c>
      <c r="BO89" s="641">
        <f t="shared" ca="1" si="24"/>
        <v>872</v>
      </c>
      <c r="BP89" s="642">
        <f t="shared" ca="1" si="24"/>
        <v>184</v>
      </c>
      <c r="BQ89" s="642">
        <f t="shared" ca="1" si="24"/>
        <v>10000</v>
      </c>
      <c r="BR89" s="642">
        <f t="shared" ca="1" si="24"/>
        <v>10000</v>
      </c>
      <c r="BS89" s="644">
        <f t="shared" ca="1" si="24"/>
        <v>10000</v>
      </c>
    </row>
    <row r="90" spans="2:71" ht="15" customHeight="1" thickBot="1" x14ac:dyDescent="0.3">
      <c r="B90" s="1717"/>
      <c r="C90" s="277" t="str">
        <f>$C$27</f>
        <v>Interior modules</v>
      </c>
      <c r="D90" s="634">
        <f t="shared" ca="1" si="19"/>
        <v>27.134751348561885</v>
      </c>
      <c r="E90" s="635">
        <f t="shared" ca="1" si="19"/>
        <v>33.915031864106261</v>
      </c>
      <c r="F90" s="635">
        <f t="shared" ca="1" si="19"/>
        <v>24</v>
      </c>
      <c r="G90" s="635">
        <f t="shared" ca="1" si="19"/>
        <v>24</v>
      </c>
      <c r="H90" s="636">
        <f t="shared" ca="1" si="19"/>
        <v>21</v>
      </c>
      <c r="I90" s="634">
        <f t="shared" ca="1" si="19"/>
        <v>23.456219884892345</v>
      </c>
      <c r="J90" s="635">
        <f t="shared" ca="1" si="19"/>
        <v>26.618195368662029</v>
      </c>
      <c r="K90" s="635">
        <f t="shared" ca="1" si="19"/>
        <v>9</v>
      </c>
      <c r="L90" s="635">
        <f t="shared" ca="1" si="19"/>
        <v>9</v>
      </c>
      <c r="M90" s="637">
        <f t="shared" ca="1" si="19"/>
        <v>9</v>
      </c>
      <c r="N90" s="187"/>
      <c r="O90" s="187"/>
      <c r="P90" s="187"/>
      <c r="Q90" s="187"/>
      <c r="S90">
        <v>49</v>
      </c>
      <c r="T90" s="955"/>
      <c r="U90" s="277" t="str">
        <f>$C$27</f>
        <v>Interior modules</v>
      </c>
      <c r="V90" s="578" t="str">
        <f t="shared" si="20"/>
        <v>C145:C149</v>
      </c>
      <c r="W90" s="579" t="str">
        <f t="shared" si="20"/>
        <v>F145:F149</v>
      </c>
      <c r="X90" s="579" t="str">
        <f t="shared" si="20"/>
        <v>I145:I149</v>
      </c>
      <c r="Y90" s="579" t="str">
        <f t="shared" si="20"/>
        <v>L145:L149</v>
      </c>
      <c r="Z90" s="580" t="str">
        <f t="shared" si="20"/>
        <v>O145:O149</v>
      </c>
      <c r="AA90" s="578" t="str">
        <f t="shared" si="20"/>
        <v>C203:C207</v>
      </c>
      <c r="AB90" s="579" t="str">
        <f t="shared" si="20"/>
        <v>F203:F207</v>
      </c>
      <c r="AC90" s="579" t="str">
        <f t="shared" si="20"/>
        <v>I203:I207</v>
      </c>
      <c r="AD90" s="579" t="str">
        <f t="shared" si="20"/>
        <v>L203:L207</v>
      </c>
      <c r="AE90" s="581" t="str">
        <f t="shared" si="20"/>
        <v>O203:O207</v>
      </c>
      <c r="AF90" s="649">
        <f t="shared" ca="1" si="21"/>
        <v>44</v>
      </c>
      <c r="AG90" s="650">
        <f t="shared" ca="1" si="21"/>
        <v>44</v>
      </c>
      <c r="AH90" s="650">
        <f t="shared" ca="1" si="21"/>
        <v>24</v>
      </c>
      <c r="AI90" s="650">
        <f t="shared" ca="1" si="21"/>
        <v>24</v>
      </c>
      <c r="AJ90" s="651">
        <f t="shared" ca="1" si="21"/>
        <v>21</v>
      </c>
      <c r="AK90" s="649">
        <f t="shared" ca="1" si="21"/>
        <v>26</v>
      </c>
      <c r="AL90" s="650">
        <f t="shared" ca="1" si="21"/>
        <v>32</v>
      </c>
      <c r="AM90" s="650">
        <f t="shared" ca="1" si="21"/>
        <v>9</v>
      </c>
      <c r="AN90" s="650">
        <f t="shared" ca="1" si="21"/>
        <v>9</v>
      </c>
      <c r="AO90" s="652">
        <f t="shared" ca="1" si="21"/>
        <v>9</v>
      </c>
      <c r="AP90" s="649">
        <f t="shared" ca="1" si="22"/>
        <v>24</v>
      </c>
      <c r="AQ90" s="650">
        <f t="shared" ca="1" si="22"/>
        <v>28</v>
      </c>
      <c r="AR90" s="650">
        <f t="shared" ca="1" si="22"/>
        <v>24</v>
      </c>
      <c r="AS90" s="650">
        <f t="shared" ca="1" si="22"/>
        <v>24</v>
      </c>
      <c r="AT90" s="651">
        <f t="shared" ca="1" si="22"/>
        <v>21</v>
      </c>
      <c r="AU90" s="649">
        <f t="shared" ca="1" si="22"/>
        <v>12</v>
      </c>
      <c r="AV90" s="650">
        <f t="shared" ca="1" si="22"/>
        <v>26</v>
      </c>
      <c r="AW90" s="650">
        <f t="shared" ca="1" si="22"/>
        <v>9</v>
      </c>
      <c r="AX90" s="650">
        <f t="shared" ca="1" si="22"/>
        <v>9</v>
      </c>
      <c r="AY90" s="652">
        <f t="shared" ca="1" si="22"/>
        <v>9</v>
      </c>
      <c r="AZ90" s="649">
        <f t="shared" ca="1" si="23"/>
        <v>147.5</v>
      </c>
      <c r="BA90" s="650">
        <f t="shared" ca="1" si="23"/>
        <v>184</v>
      </c>
      <c r="BB90" s="650">
        <f t="shared" ca="1" si="23"/>
        <v>60</v>
      </c>
      <c r="BC90" s="650">
        <f t="shared" ca="1" si="23"/>
        <v>9</v>
      </c>
      <c r="BD90" s="651">
        <f t="shared" ca="1" si="23"/>
        <v>30</v>
      </c>
      <c r="BE90" s="649">
        <f t="shared" ca="1" si="23"/>
        <v>147.5</v>
      </c>
      <c r="BF90" s="650">
        <f t="shared" ca="1" si="23"/>
        <v>10</v>
      </c>
      <c r="BG90" s="650">
        <f t="shared" ca="1" si="23"/>
        <v>60</v>
      </c>
      <c r="BH90" s="650">
        <f t="shared" ca="1" si="23"/>
        <v>9</v>
      </c>
      <c r="BI90" s="652">
        <f t="shared" ca="1" si="23"/>
        <v>30</v>
      </c>
      <c r="BJ90" s="649">
        <f t="shared" ca="1" si="24"/>
        <v>872</v>
      </c>
      <c r="BK90" s="650">
        <f t="shared" ca="1" si="24"/>
        <v>738</v>
      </c>
      <c r="BL90" s="650">
        <f t="shared" ca="1" si="24"/>
        <v>10000</v>
      </c>
      <c r="BM90" s="650">
        <f t="shared" ca="1" si="24"/>
        <v>10000</v>
      </c>
      <c r="BN90" s="651">
        <f t="shared" ca="1" si="24"/>
        <v>10000</v>
      </c>
      <c r="BO90" s="649">
        <f t="shared" ca="1" si="24"/>
        <v>872</v>
      </c>
      <c r="BP90" s="650">
        <f t="shared" ca="1" si="24"/>
        <v>184</v>
      </c>
      <c r="BQ90" s="650">
        <f t="shared" ca="1" si="24"/>
        <v>10000</v>
      </c>
      <c r="BR90" s="650">
        <f t="shared" ca="1" si="24"/>
        <v>10000</v>
      </c>
      <c r="BS90" s="652">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4" t="str">
        <f>F23</f>
        <v>Sliding</v>
      </c>
      <c r="C93" s="1718" t="str">
        <f>$D$24</f>
        <v>Roof position 1</v>
      </c>
      <c r="D93" s="1719"/>
      <c r="E93" s="1720"/>
      <c r="F93" s="1718" t="str">
        <f>$E$24</f>
        <v>Roof position 2</v>
      </c>
      <c r="G93" s="1719"/>
      <c r="H93" s="1720"/>
      <c r="I93" s="1718" t="str">
        <f>$F$24</f>
        <v>Roof position 3</v>
      </c>
      <c r="J93" s="1719"/>
      <c r="K93" s="1720"/>
      <c r="L93" s="1718" t="str">
        <f>$G$24</f>
        <v>Roof position 4</v>
      </c>
      <c r="M93" s="1719"/>
      <c r="N93" s="1720"/>
      <c r="O93" s="1718" t="str">
        <f>$H$24</f>
        <v>Roof position 5</v>
      </c>
      <c r="P93" s="1719"/>
      <c r="Q93" s="1720"/>
    </row>
    <row r="94" spans="2:71" ht="15" customHeight="1" x14ac:dyDescent="0.25">
      <c r="B94" s="429"/>
      <c r="C94" s="1721" t="str">
        <f>CONCATENATE(B26," - ",C26)</f>
        <v>North row - 1st-4th module</v>
      </c>
      <c r="D94" s="1722"/>
      <c r="E94" s="1723"/>
      <c r="F94" s="1721" t="str">
        <f>$C$94</f>
        <v>North row - 1st-4th module</v>
      </c>
      <c r="G94" s="1722"/>
      <c r="H94" s="1723"/>
      <c r="I94" s="1721" t="str">
        <f>$C$94</f>
        <v>North row - 1st-4th module</v>
      </c>
      <c r="J94" s="1722"/>
      <c r="K94" s="1723"/>
      <c r="L94" s="1721" t="str">
        <f>$C$94</f>
        <v>North row - 1st-4th module</v>
      </c>
      <c r="M94" s="1722"/>
      <c r="N94" s="1723"/>
      <c r="O94" s="1721" t="str">
        <f>$C$94</f>
        <v>North row - 1st-4th module</v>
      </c>
      <c r="P94" s="1722"/>
      <c r="Q94" s="1723"/>
    </row>
    <row r="95" spans="2:71" ht="15" customHeight="1" thickBot="1" x14ac:dyDescent="0.3">
      <c r="B95" s="430"/>
      <c r="C95" s="431" t="s">
        <v>36</v>
      </c>
      <c r="D95" s="527" t="s">
        <v>65</v>
      </c>
      <c r="E95" s="432" t="s">
        <v>70</v>
      </c>
      <c r="F95" s="431" t="str">
        <f>$C$95</f>
        <v>An i</v>
      </c>
      <c r="G95" s="527" t="str">
        <f>$D$95</f>
        <v>cpMS i</v>
      </c>
      <c r="H95" s="432" t="str">
        <f>$E$95</f>
        <v>mS i</v>
      </c>
      <c r="I95" s="431" t="str">
        <f>$C$95</f>
        <v>An i</v>
      </c>
      <c r="J95" s="527" t="str">
        <f>$D$95</f>
        <v>cpMS i</v>
      </c>
      <c r="K95" s="432" t="str">
        <f>$E$95</f>
        <v>mS i</v>
      </c>
      <c r="L95" s="431" t="str">
        <f>$C$95</f>
        <v>An i</v>
      </c>
      <c r="M95" s="527" t="str">
        <f>$D$95</f>
        <v>cpMS i</v>
      </c>
      <c r="N95" s="432" t="str">
        <f>$E$95</f>
        <v>mS i</v>
      </c>
      <c r="O95" s="431" t="str">
        <f>$C$95</f>
        <v>An i</v>
      </c>
      <c r="P95" s="527" t="str">
        <f>$D$95</f>
        <v>cpMS i</v>
      </c>
      <c r="Q95" s="432" t="str">
        <f>$E$95</f>
        <v>mS i</v>
      </c>
    </row>
    <row r="96" spans="2:71" ht="15" customHeight="1" x14ac:dyDescent="0.25">
      <c r="B96" s="433" t="s">
        <v>37</v>
      </c>
      <c r="C96" s="442">
        <v>1</v>
      </c>
      <c r="D96" s="528">
        <v>-0.91</v>
      </c>
      <c r="E96" s="535">
        <v>336</v>
      </c>
      <c r="F96" s="442">
        <v>1</v>
      </c>
      <c r="G96" s="528">
        <v>-1.1100000000000001</v>
      </c>
      <c r="H96" s="535">
        <v>414</v>
      </c>
      <c r="I96" s="442">
        <v>1</v>
      </c>
      <c r="J96" s="528">
        <v>-0.56000000000000005</v>
      </c>
      <c r="K96" s="535">
        <v>199</v>
      </c>
      <c r="L96" s="442">
        <v>1</v>
      </c>
      <c r="M96" s="528">
        <v>-0.63</v>
      </c>
      <c r="N96" s="535">
        <v>227</v>
      </c>
      <c r="O96" s="442">
        <v>1</v>
      </c>
      <c r="P96" s="528">
        <v>-0.56000000000000005</v>
      </c>
      <c r="Q96" s="535">
        <v>199</v>
      </c>
    </row>
    <row r="97" spans="2:17" ht="15" customHeight="1" x14ac:dyDescent="0.25">
      <c r="B97" s="434" t="s">
        <v>38</v>
      </c>
      <c r="C97" s="443">
        <v>6</v>
      </c>
      <c r="D97" s="529">
        <v>-0.47</v>
      </c>
      <c r="E97" s="536">
        <v>164</v>
      </c>
      <c r="F97" s="443">
        <v>6.5</v>
      </c>
      <c r="G97" s="529">
        <v>-0.93</v>
      </c>
      <c r="H97" s="536">
        <v>344</v>
      </c>
      <c r="I97" s="443">
        <v>6.5</v>
      </c>
      <c r="J97" s="529">
        <v>-0.48</v>
      </c>
      <c r="K97" s="536">
        <v>168</v>
      </c>
      <c r="L97" s="443">
        <v>7</v>
      </c>
      <c r="M97" s="529">
        <v>-0.47</v>
      </c>
      <c r="N97" s="536">
        <v>164</v>
      </c>
      <c r="O97" s="443">
        <v>6.5</v>
      </c>
      <c r="P97" s="529">
        <v>-0.5</v>
      </c>
      <c r="Q97" s="536">
        <v>176</v>
      </c>
    </row>
    <row r="98" spans="2:17" ht="15" customHeight="1" x14ac:dyDescent="0.25">
      <c r="B98" s="434" t="s">
        <v>39</v>
      </c>
      <c r="C98" s="443">
        <v>90</v>
      </c>
      <c r="D98" s="529">
        <v>-0.17</v>
      </c>
      <c r="E98" s="536">
        <v>47</v>
      </c>
      <c r="F98" s="443">
        <v>25</v>
      </c>
      <c r="G98" s="529">
        <v>-0.36</v>
      </c>
      <c r="H98" s="536">
        <v>121</v>
      </c>
      <c r="I98" s="443">
        <v>12.5</v>
      </c>
      <c r="J98" s="529">
        <v>-0.33</v>
      </c>
      <c r="K98" s="536">
        <v>110</v>
      </c>
      <c r="L98" s="443">
        <v>14</v>
      </c>
      <c r="M98" s="529">
        <v>-0.33</v>
      </c>
      <c r="N98" s="536">
        <v>110</v>
      </c>
      <c r="O98" s="443">
        <v>12</v>
      </c>
      <c r="P98" s="529">
        <v>-0.35</v>
      </c>
      <c r="Q98" s="536">
        <v>117</v>
      </c>
    </row>
    <row r="99" spans="2:17" ht="15" customHeight="1" x14ac:dyDescent="0.25">
      <c r="B99" s="434" t="s">
        <v>40</v>
      </c>
      <c r="C99" s="443">
        <v>872</v>
      </c>
      <c r="D99" s="529">
        <v>-0.11</v>
      </c>
      <c r="E99" s="536">
        <v>24</v>
      </c>
      <c r="F99" s="443">
        <v>470</v>
      </c>
      <c r="G99" s="529">
        <v>-0.12</v>
      </c>
      <c r="H99" s="536">
        <v>28</v>
      </c>
      <c r="I99" s="443">
        <v>147</v>
      </c>
      <c r="J99" s="529">
        <v>-0.11</v>
      </c>
      <c r="K99" s="536">
        <v>24</v>
      </c>
      <c r="L99" s="443">
        <v>160</v>
      </c>
      <c r="M99" s="529">
        <v>-0.11</v>
      </c>
      <c r="N99" s="536">
        <v>24</v>
      </c>
      <c r="O99" s="443">
        <v>168</v>
      </c>
      <c r="P99" s="529">
        <v>-0.1</v>
      </c>
      <c r="Q99" s="536">
        <v>21</v>
      </c>
    </row>
    <row r="100" spans="2:17" ht="15" customHeight="1" thickBot="1" x14ac:dyDescent="0.3">
      <c r="B100" s="435" t="s">
        <v>64</v>
      </c>
      <c r="C100" s="444">
        <v>10000</v>
      </c>
      <c r="D100" s="530">
        <v>-0.11</v>
      </c>
      <c r="E100" s="537">
        <v>24</v>
      </c>
      <c r="F100" s="444">
        <v>10000</v>
      </c>
      <c r="G100" s="530">
        <v>-0.12</v>
      </c>
      <c r="H100" s="537">
        <v>28</v>
      </c>
      <c r="I100" s="444">
        <v>10000</v>
      </c>
      <c r="J100" s="530">
        <v>-0.11</v>
      </c>
      <c r="K100" s="537">
        <v>24</v>
      </c>
      <c r="L100" s="444">
        <v>10000</v>
      </c>
      <c r="M100" s="530">
        <v>-0.11</v>
      </c>
      <c r="N100" s="537">
        <v>24</v>
      </c>
      <c r="O100" s="444">
        <v>10000</v>
      </c>
      <c r="P100" s="530">
        <v>-0.1</v>
      </c>
      <c r="Q100" s="537">
        <v>21</v>
      </c>
    </row>
    <row r="101" spans="2:17" ht="15" customHeight="1" x14ac:dyDescent="0.25">
      <c r="B101" s="429"/>
      <c r="C101" s="1721" t="str">
        <f>CONCATENATE(B26," - ",C27)</f>
        <v>North row - Interior modules</v>
      </c>
      <c r="D101" s="1722"/>
      <c r="E101" s="1723"/>
      <c r="F101" s="1721" t="str">
        <f>$C$101</f>
        <v>North row - Interior modules</v>
      </c>
      <c r="G101" s="1722"/>
      <c r="H101" s="1723"/>
      <c r="I101" s="1721" t="str">
        <f>$C$101</f>
        <v>North row - Interior modules</v>
      </c>
      <c r="J101" s="1722"/>
      <c r="K101" s="1723"/>
      <c r="L101" s="1721" t="str">
        <f>$C$101</f>
        <v>North row - Interior modules</v>
      </c>
      <c r="M101" s="1722"/>
      <c r="N101" s="1723"/>
      <c r="O101" s="1721" t="str">
        <f>$C$101</f>
        <v>North row - Interior modules</v>
      </c>
      <c r="P101" s="1722"/>
      <c r="Q101" s="1723"/>
    </row>
    <row r="102" spans="2:17" ht="15" customHeight="1" thickBot="1" x14ac:dyDescent="0.3">
      <c r="B102" s="430"/>
      <c r="C102" s="431" t="str">
        <f>$C$95</f>
        <v>An i</v>
      </c>
      <c r="D102" s="527" t="str">
        <f>$D$95</f>
        <v>cpMS i</v>
      </c>
      <c r="E102" s="432" t="str">
        <f>$E$95</f>
        <v>mS i</v>
      </c>
      <c r="F102" s="431" t="str">
        <f>$C$95</f>
        <v>An i</v>
      </c>
      <c r="G102" s="527" t="str">
        <f>$D$95</f>
        <v>cpMS i</v>
      </c>
      <c r="H102" s="432" t="str">
        <f>$E$95</f>
        <v>mS i</v>
      </c>
      <c r="I102" s="431" t="str">
        <f>$C$95</f>
        <v>An i</v>
      </c>
      <c r="J102" s="527" t="str">
        <f>$D$95</f>
        <v>cpMS i</v>
      </c>
      <c r="K102" s="432" t="str">
        <f>$E$95</f>
        <v>mS i</v>
      </c>
      <c r="L102" s="431" t="str">
        <f>$C$95</f>
        <v>An i</v>
      </c>
      <c r="M102" s="527" t="str">
        <f>$D$95</f>
        <v>cpMS i</v>
      </c>
      <c r="N102" s="432" t="str">
        <f>$E$95</f>
        <v>mS i</v>
      </c>
      <c r="O102" s="431" t="str">
        <f>$C$95</f>
        <v>An i</v>
      </c>
      <c r="P102" s="527" t="str">
        <f>$D$95</f>
        <v>cpMS i</v>
      </c>
      <c r="Q102" s="432" t="str">
        <f>$E$95</f>
        <v>mS i</v>
      </c>
    </row>
    <row r="103" spans="2:17" ht="15" customHeight="1" x14ac:dyDescent="0.25">
      <c r="B103" s="433" t="str">
        <f>$B$96</f>
        <v>i = a</v>
      </c>
      <c r="C103" s="442">
        <v>1</v>
      </c>
      <c r="D103" s="528">
        <v>-0.34</v>
      </c>
      <c r="E103" s="535">
        <v>114</v>
      </c>
      <c r="F103" s="442">
        <v>1</v>
      </c>
      <c r="G103" s="528">
        <v>-1.1499999999999999</v>
      </c>
      <c r="H103" s="535">
        <v>430</v>
      </c>
      <c r="I103" s="442">
        <v>1</v>
      </c>
      <c r="J103" s="528">
        <v>-0.47</v>
      </c>
      <c r="K103" s="535">
        <v>164</v>
      </c>
      <c r="L103" s="442">
        <v>1</v>
      </c>
      <c r="M103" s="528">
        <v>-0.52</v>
      </c>
      <c r="N103" s="535">
        <v>184</v>
      </c>
      <c r="O103" s="442">
        <v>1</v>
      </c>
      <c r="P103" s="528">
        <v>-0.55000000000000004</v>
      </c>
      <c r="Q103" s="535">
        <v>195</v>
      </c>
    </row>
    <row r="104" spans="2:17" ht="15" customHeight="1" x14ac:dyDescent="0.25">
      <c r="B104" s="434" t="str">
        <f>$B$97</f>
        <v>i = b</v>
      </c>
      <c r="C104" s="443">
        <v>7</v>
      </c>
      <c r="D104" s="529">
        <v>-0.21</v>
      </c>
      <c r="E104" s="536">
        <v>63</v>
      </c>
      <c r="F104" s="443">
        <v>6</v>
      </c>
      <c r="G104" s="529">
        <v>-0.97</v>
      </c>
      <c r="H104" s="536">
        <v>360</v>
      </c>
      <c r="I104" s="443">
        <v>6.5</v>
      </c>
      <c r="J104" s="529">
        <v>-0.39</v>
      </c>
      <c r="K104" s="536">
        <v>133</v>
      </c>
      <c r="L104" s="443">
        <v>7</v>
      </c>
      <c r="M104" s="529">
        <v>-0.44</v>
      </c>
      <c r="N104" s="536">
        <v>153</v>
      </c>
      <c r="O104" s="443">
        <v>6.5</v>
      </c>
      <c r="P104" s="529">
        <v>-0.49</v>
      </c>
      <c r="Q104" s="536">
        <v>172</v>
      </c>
    </row>
    <row r="105" spans="2:17" ht="15" customHeight="1" x14ac:dyDescent="0.25">
      <c r="B105" s="434" t="str">
        <f>$B$98</f>
        <v>i = c</v>
      </c>
      <c r="C105" s="443">
        <v>148</v>
      </c>
      <c r="D105" s="529">
        <v>-0.14000000000000001</v>
      </c>
      <c r="E105" s="536">
        <v>36</v>
      </c>
      <c r="F105" s="443">
        <v>40</v>
      </c>
      <c r="G105" s="529">
        <v>-0.37</v>
      </c>
      <c r="H105" s="536">
        <v>125</v>
      </c>
      <c r="I105" s="443">
        <v>12.5</v>
      </c>
      <c r="J105" s="529">
        <v>-0.28000000000000003</v>
      </c>
      <c r="K105" s="536">
        <v>90</v>
      </c>
      <c r="L105" s="443">
        <v>14</v>
      </c>
      <c r="M105" s="529">
        <v>-0.31</v>
      </c>
      <c r="N105" s="536">
        <v>102</v>
      </c>
      <c r="O105" s="443">
        <v>13</v>
      </c>
      <c r="P105" s="529">
        <v>-0.35</v>
      </c>
      <c r="Q105" s="536">
        <v>117</v>
      </c>
    </row>
    <row r="106" spans="2:17" ht="15" customHeight="1" x14ac:dyDescent="0.25">
      <c r="B106" s="434" t="str">
        <f>$B$99</f>
        <v>i = d</v>
      </c>
      <c r="C106" s="443">
        <v>872</v>
      </c>
      <c r="D106" s="529">
        <v>-0.11</v>
      </c>
      <c r="E106" s="536">
        <v>24</v>
      </c>
      <c r="F106" s="443">
        <v>450</v>
      </c>
      <c r="G106" s="529">
        <v>-0.12</v>
      </c>
      <c r="H106" s="536">
        <v>28</v>
      </c>
      <c r="I106" s="443">
        <v>110</v>
      </c>
      <c r="J106" s="529">
        <v>-0.11</v>
      </c>
      <c r="K106" s="536">
        <v>24</v>
      </c>
      <c r="L106" s="443">
        <v>150</v>
      </c>
      <c r="M106" s="529">
        <v>-0.11</v>
      </c>
      <c r="N106" s="536">
        <v>24</v>
      </c>
      <c r="O106" s="443">
        <v>168</v>
      </c>
      <c r="P106" s="529">
        <v>-0.1</v>
      </c>
      <c r="Q106" s="536">
        <v>21</v>
      </c>
    </row>
    <row r="107" spans="2:17" ht="15" customHeight="1" thickBot="1" x14ac:dyDescent="0.3">
      <c r="B107" s="435" t="str">
        <f>$B$100</f>
        <v>i = e</v>
      </c>
      <c r="C107" s="444">
        <v>10000</v>
      </c>
      <c r="D107" s="530">
        <v>-0.11</v>
      </c>
      <c r="E107" s="537">
        <v>24</v>
      </c>
      <c r="F107" s="444">
        <v>10000</v>
      </c>
      <c r="G107" s="530">
        <v>-0.12</v>
      </c>
      <c r="H107" s="537">
        <v>28</v>
      </c>
      <c r="I107" s="444">
        <v>10000</v>
      </c>
      <c r="J107" s="530">
        <v>-0.11</v>
      </c>
      <c r="K107" s="537">
        <v>24</v>
      </c>
      <c r="L107" s="444">
        <v>10000</v>
      </c>
      <c r="M107" s="530">
        <v>-0.11</v>
      </c>
      <c r="N107" s="537">
        <v>24</v>
      </c>
      <c r="O107" s="444">
        <v>10000</v>
      </c>
      <c r="P107" s="530">
        <v>-0.1</v>
      </c>
      <c r="Q107" s="537">
        <v>21</v>
      </c>
    </row>
    <row r="108" spans="2:17" ht="30" customHeight="1" x14ac:dyDescent="0.25">
      <c r="B108" s="429"/>
      <c r="C108" s="1724" t="str">
        <f>CONCATENATE(B28," -",CHAR(10),C28)</f>
        <v>Inner rows, 2nd to 6th row from north -
1st-4th module</v>
      </c>
      <c r="D108" s="1725"/>
      <c r="E108" s="1726"/>
      <c r="F108" s="1724" t="str">
        <f>$C$108</f>
        <v>Inner rows, 2nd to 6th row from north -
1st-4th module</v>
      </c>
      <c r="G108" s="1725"/>
      <c r="H108" s="1726"/>
      <c r="I108" s="1724" t="str">
        <f>$C$108</f>
        <v>Inner rows, 2nd to 6th row from north -
1st-4th module</v>
      </c>
      <c r="J108" s="1725"/>
      <c r="K108" s="1726"/>
      <c r="L108" s="1724" t="str">
        <f>$C$108</f>
        <v>Inner rows, 2nd to 6th row from north -
1st-4th module</v>
      </c>
      <c r="M108" s="1725"/>
      <c r="N108" s="1726"/>
      <c r="O108" s="1724" t="str">
        <f>$C$108</f>
        <v>Inner rows, 2nd to 6th row from north -
1st-4th module</v>
      </c>
      <c r="P108" s="1725"/>
      <c r="Q108" s="1726"/>
    </row>
    <row r="109" spans="2:17" ht="15" customHeight="1" thickBot="1" x14ac:dyDescent="0.3">
      <c r="B109" s="430"/>
      <c r="C109" s="431" t="str">
        <f>$C$95</f>
        <v>An i</v>
      </c>
      <c r="D109" s="527" t="str">
        <f>$D$95</f>
        <v>cpMS i</v>
      </c>
      <c r="E109" s="432" t="str">
        <f>$E$95</f>
        <v>mS i</v>
      </c>
      <c r="F109" s="431" t="str">
        <f>$C$95</f>
        <v>An i</v>
      </c>
      <c r="G109" s="527" t="str">
        <f>$D$95</f>
        <v>cpMS i</v>
      </c>
      <c r="H109" s="432" t="str">
        <f>$E$95</f>
        <v>mS i</v>
      </c>
      <c r="I109" s="431" t="str">
        <f>$C$95</f>
        <v>An i</v>
      </c>
      <c r="J109" s="527" t="str">
        <f>$D$95</f>
        <v>cpMS i</v>
      </c>
      <c r="K109" s="432" t="str">
        <f>$E$95</f>
        <v>mS i</v>
      </c>
      <c r="L109" s="431" t="str">
        <f>$C$95</f>
        <v>An i</v>
      </c>
      <c r="M109" s="527" t="str">
        <f>$D$95</f>
        <v>cpMS i</v>
      </c>
      <c r="N109" s="432" t="str">
        <f>$E$95</f>
        <v>mS i</v>
      </c>
      <c r="O109" s="431" t="str">
        <f>$C$95</f>
        <v>An i</v>
      </c>
      <c r="P109" s="527" t="str">
        <f>$D$95</f>
        <v>cpMS i</v>
      </c>
      <c r="Q109" s="432" t="str">
        <f>$E$95</f>
        <v>mS i</v>
      </c>
    </row>
    <row r="110" spans="2:17" ht="15" customHeight="1" x14ac:dyDescent="0.25">
      <c r="B110" s="433" t="str">
        <f>$B$96</f>
        <v>i = a</v>
      </c>
      <c r="C110" s="442">
        <v>1</v>
      </c>
      <c r="D110" s="528">
        <v>-0.92</v>
      </c>
      <c r="E110" s="535">
        <v>340</v>
      </c>
      <c r="F110" s="442">
        <v>1</v>
      </c>
      <c r="G110" s="528">
        <v>-0.48</v>
      </c>
      <c r="H110" s="535">
        <v>168</v>
      </c>
      <c r="I110" s="442">
        <v>1</v>
      </c>
      <c r="J110" s="528">
        <v>-0.32</v>
      </c>
      <c r="K110" s="535">
        <v>106</v>
      </c>
      <c r="L110" s="442">
        <v>1</v>
      </c>
      <c r="M110" s="528">
        <v>-0.28000000000000003</v>
      </c>
      <c r="N110" s="535">
        <v>90</v>
      </c>
      <c r="O110" s="442">
        <v>1</v>
      </c>
      <c r="P110" s="528">
        <v>-0.25</v>
      </c>
      <c r="Q110" s="535">
        <v>78</v>
      </c>
    </row>
    <row r="111" spans="2:17" ht="15" customHeight="1" x14ac:dyDescent="0.25">
      <c r="B111" s="434" t="str">
        <f>$B$97</f>
        <v>i = b</v>
      </c>
      <c r="C111" s="443">
        <v>13</v>
      </c>
      <c r="D111" s="529">
        <v>-0.35</v>
      </c>
      <c r="E111" s="536">
        <v>117</v>
      </c>
      <c r="F111" s="443">
        <v>6</v>
      </c>
      <c r="G111" s="529">
        <v>-0.34</v>
      </c>
      <c r="H111" s="536">
        <v>114</v>
      </c>
      <c r="I111" s="443">
        <v>6</v>
      </c>
      <c r="J111" s="529">
        <v>-0.28000000000000003</v>
      </c>
      <c r="K111" s="536">
        <v>90</v>
      </c>
      <c r="L111" s="443">
        <v>7</v>
      </c>
      <c r="M111" s="529">
        <v>-0.19</v>
      </c>
      <c r="N111" s="536">
        <v>55</v>
      </c>
      <c r="O111" s="443">
        <v>7</v>
      </c>
      <c r="P111" s="529">
        <v>-0.2</v>
      </c>
      <c r="Q111" s="536">
        <v>59</v>
      </c>
    </row>
    <row r="112" spans="2:17" ht="15" customHeight="1" x14ac:dyDescent="0.25">
      <c r="B112" s="434" t="str">
        <f>$B$98</f>
        <v>i = c</v>
      </c>
      <c r="C112" s="443">
        <v>140</v>
      </c>
      <c r="D112" s="529">
        <v>-0.15</v>
      </c>
      <c r="E112" s="536">
        <v>40</v>
      </c>
      <c r="F112" s="443">
        <v>15</v>
      </c>
      <c r="G112" s="529">
        <v>-0.24</v>
      </c>
      <c r="H112" s="536">
        <v>75</v>
      </c>
      <c r="I112" s="443">
        <v>28</v>
      </c>
      <c r="J112" s="529">
        <v>-0.17</v>
      </c>
      <c r="K112" s="536">
        <v>47</v>
      </c>
      <c r="L112" s="443">
        <v>14</v>
      </c>
      <c r="M112" s="529">
        <v>-0.12</v>
      </c>
      <c r="N112" s="536">
        <v>28</v>
      </c>
      <c r="O112" s="443">
        <v>15</v>
      </c>
      <c r="P112" s="529">
        <v>-0.1</v>
      </c>
      <c r="Q112" s="536">
        <v>21</v>
      </c>
    </row>
    <row r="113" spans="2:17" ht="15" customHeight="1" x14ac:dyDescent="0.25">
      <c r="B113" s="434" t="str">
        <f>$B$99</f>
        <v>i = d</v>
      </c>
      <c r="C113" s="443">
        <v>872</v>
      </c>
      <c r="D113" s="529">
        <v>-0.11</v>
      </c>
      <c r="E113" s="536">
        <v>24</v>
      </c>
      <c r="F113" s="443">
        <v>738</v>
      </c>
      <c r="G113" s="529">
        <v>-0.12</v>
      </c>
      <c r="H113" s="536">
        <v>28</v>
      </c>
      <c r="I113" s="443">
        <v>95</v>
      </c>
      <c r="J113" s="529">
        <v>-0.11</v>
      </c>
      <c r="K113" s="536">
        <v>24</v>
      </c>
      <c r="L113" s="443">
        <v>148</v>
      </c>
      <c r="M113" s="529">
        <v>-0.11</v>
      </c>
      <c r="N113" s="536">
        <v>24</v>
      </c>
      <c r="O113" s="443">
        <v>15</v>
      </c>
      <c r="P113" s="529">
        <v>-0.1</v>
      </c>
      <c r="Q113" s="536">
        <v>21</v>
      </c>
    </row>
    <row r="114" spans="2:17" ht="15" customHeight="1" thickBot="1" x14ac:dyDescent="0.3">
      <c r="B114" s="435" t="str">
        <f>$B$100</f>
        <v>i = e</v>
      </c>
      <c r="C114" s="444">
        <v>10000</v>
      </c>
      <c r="D114" s="530">
        <v>-0.11</v>
      </c>
      <c r="E114" s="537">
        <v>24</v>
      </c>
      <c r="F114" s="444">
        <v>10000</v>
      </c>
      <c r="G114" s="530">
        <v>-0.12</v>
      </c>
      <c r="H114" s="537">
        <v>28</v>
      </c>
      <c r="I114" s="444">
        <v>10000</v>
      </c>
      <c r="J114" s="530">
        <v>-0.11</v>
      </c>
      <c r="K114" s="537">
        <v>24</v>
      </c>
      <c r="L114" s="444">
        <v>10000</v>
      </c>
      <c r="M114" s="530">
        <v>-0.11</v>
      </c>
      <c r="N114" s="537">
        <v>24</v>
      </c>
      <c r="O114" s="444">
        <v>10000</v>
      </c>
      <c r="P114" s="530">
        <v>-0.1</v>
      </c>
      <c r="Q114" s="537">
        <v>21</v>
      </c>
    </row>
    <row r="115" spans="2:17" ht="30" customHeight="1" x14ac:dyDescent="0.25">
      <c r="B115" s="429"/>
      <c r="C115" s="1724" t="str">
        <f>CONCATENATE(B28," -",CHAR(10),C29)</f>
        <v>Inner rows, 2nd to 6th row from north -
Interior modules</v>
      </c>
      <c r="D115" s="1725"/>
      <c r="E115" s="1726"/>
      <c r="F115" s="1724" t="str">
        <f>$C$115</f>
        <v>Inner rows, 2nd to 6th row from north -
Interior modules</v>
      </c>
      <c r="G115" s="1725"/>
      <c r="H115" s="1726"/>
      <c r="I115" s="1724" t="str">
        <f>$C$115</f>
        <v>Inner rows, 2nd to 6th row from north -
Interior modules</v>
      </c>
      <c r="J115" s="1725"/>
      <c r="K115" s="1726"/>
      <c r="L115" s="1724" t="str">
        <f>$C$115</f>
        <v>Inner rows, 2nd to 6th row from north -
Interior modules</v>
      </c>
      <c r="M115" s="1725"/>
      <c r="N115" s="1726"/>
      <c r="O115" s="1724" t="str">
        <f>$C$115</f>
        <v>Inner rows, 2nd to 6th row from north -
Interior modules</v>
      </c>
      <c r="P115" s="1725"/>
      <c r="Q115" s="1726"/>
    </row>
    <row r="116" spans="2:17" ht="15" customHeight="1" thickBot="1" x14ac:dyDescent="0.3">
      <c r="B116" s="430"/>
      <c r="C116" s="431" t="str">
        <f>$C$95</f>
        <v>An i</v>
      </c>
      <c r="D116" s="527" t="str">
        <f>$D$95</f>
        <v>cpMS i</v>
      </c>
      <c r="E116" s="432" t="str">
        <f>$E$95</f>
        <v>mS i</v>
      </c>
      <c r="F116" s="431" t="str">
        <f>$C$95</f>
        <v>An i</v>
      </c>
      <c r="G116" s="527" t="str">
        <f>$D$95</f>
        <v>cpMS i</v>
      </c>
      <c r="H116" s="432" t="str">
        <f>$E$95</f>
        <v>mS i</v>
      </c>
      <c r="I116" s="431" t="str">
        <f>$C$95</f>
        <v>An i</v>
      </c>
      <c r="J116" s="527" t="str">
        <f>$D$95</f>
        <v>cpMS i</v>
      </c>
      <c r="K116" s="432" t="str">
        <f>$E$95</f>
        <v>mS i</v>
      </c>
      <c r="L116" s="431" t="str">
        <f>$C$95</f>
        <v>An i</v>
      </c>
      <c r="M116" s="527" t="str">
        <f>$D$95</f>
        <v>cpMS i</v>
      </c>
      <c r="N116" s="432" t="str">
        <f>$E$95</f>
        <v>mS i</v>
      </c>
      <c r="O116" s="431" t="str">
        <f>$C$95</f>
        <v>An i</v>
      </c>
      <c r="P116" s="527" t="str">
        <f>$D$95</f>
        <v>cpMS i</v>
      </c>
      <c r="Q116" s="432" t="str">
        <f>$E$95</f>
        <v>mS i</v>
      </c>
    </row>
    <row r="117" spans="2:17" ht="15" customHeight="1" x14ac:dyDescent="0.25">
      <c r="B117" s="433" t="str">
        <f>$B$96</f>
        <v>i = a</v>
      </c>
      <c r="C117" s="442">
        <v>1</v>
      </c>
      <c r="D117" s="528">
        <v>-0.43</v>
      </c>
      <c r="E117" s="535">
        <v>149</v>
      </c>
      <c r="F117" s="442">
        <v>1</v>
      </c>
      <c r="G117" s="528">
        <v>-0.46</v>
      </c>
      <c r="H117" s="535">
        <v>160</v>
      </c>
      <c r="I117" s="442">
        <v>1</v>
      </c>
      <c r="J117" s="528">
        <v>-0.21</v>
      </c>
      <c r="K117" s="535">
        <v>63</v>
      </c>
      <c r="L117" s="442">
        <v>1</v>
      </c>
      <c r="M117" s="528">
        <v>-0.27</v>
      </c>
      <c r="N117" s="535">
        <v>86</v>
      </c>
      <c r="O117" s="442">
        <v>1</v>
      </c>
      <c r="P117" s="528">
        <v>-0.23</v>
      </c>
      <c r="Q117" s="535">
        <v>71</v>
      </c>
    </row>
    <row r="118" spans="2:17" ht="15" customHeight="1" x14ac:dyDescent="0.25">
      <c r="B118" s="434" t="str">
        <f>$B$97</f>
        <v>i = b</v>
      </c>
      <c r="C118" s="443">
        <v>55</v>
      </c>
      <c r="D118" s="529">
        <v>-0.14000000000000001</v>
      </c>
      <c r="E118" s="536">
        <v>36</v>
      </c>
      <c r="F118" s="443">
        <v>6.5</v>
      </c>
      <c r="G118" s="529">
        <v>-0.4</v>
      </c>
      <c r="H118" s="536">
        <v>137</v>
      </c>
      <c r="I118" s="443">
        <v>5</v>
      </c>
      <c r="J118" s="529">
        <v>-0.19</v>
      </c>
      <c r="K118" s="536">
        <v>55</v>
      </c>
      <c r="L118" s="443">
        <v>7</v>
      </c>
      <c r="M118" s="529">
        <v>-0.2</v>
      </c>
      <c r="N118" s="536">
        <v>59</v>
      </c>
      <c r="O118" s="443">
        <v>7</v>
      </c>
      <c r="P118" s="529">
        <v>-0.21</v>
      </c>
      <c r="Q118" s="536">
        <v>63</v>
      </c>
    </row>
    <row r="119" spans="2:17" ht="15" customHeight="1" x14ac:dyDescent="0.25">
      <c r="B119" s="434" t="str">
        <f>$B$98</f>
        <v>i = c</v>
      </c>
      <c r="C119" s="443">
        <v>218</v>
      </c>
      <c r="D119" s="529">
        <v>-0.14000000000000001</v>
      </c>
      <c r="E119" s="536">
        <v>36</v>
      </c>
      <c r="F119" s="443">
        <v>13</v>
      </c>
      <c r="G119" s="529">
        <v>-0.23</v>
      </c>
      <c r="H119" s="536">
        <v>71</v>
      </c>
      <c r="I119" s="443">
        <v>10</v>
      </c>
      <c r="J119" s="529">
        <v>-0.17</v>
      </c>
      <c r="K119" s="536">
        <v>47</v>
      </c>
      <c r="L119" s="443">
        <v>14</v>
      </c>
      <c r="M119" s="529">
        <v>-0.11</v>
      </c>
      <c r="N119" s="536">
        <v>24</v>
      </c>
      <c r="O119" s="443">
        <v>15</v>
      </c>
      <c r="P119" s="529">
        <v>-0.1</v>
      </c>
      <c r="Q119" s="536">
        <v>21</v>
      </c>
    </row>
    <row r="120" spans="2:17" ht="15" customHeight="1" x14ac:dyDescent="0.25">
      <c r="B120" s="434" t="str">
        <f>$B$99</f>
        <v>i = d</v>
      </c>
      <c r="C120" s="443">
        <v>872</v>
      </c>
      <c r="D120" s="529">
        <v>-0.11</v>
      </c>
      <c r="E120" s="536">
        <v>24</v>
      </c>
      <c r="F120" s="443">
        <v>738</v>
      </c>
      <c r="G120" s="529">
        <v>-0.12</v>
      </c>
      <c r="H120" s="536">
        <v>28</v>
      </c>
      <c r="I120" s="443">
        <v>27</v>
      </c>
      <c r="J120" s="529">
        <v>-0.11</v>
      </c>
      <c r="K120" s="536">
        <v>24</v>
      </c>
      <c r="L120" s="443">
        <v>148</v>
      </c>
      <c r="M120" s="529">
        <v>-0.11</v>
      </c>
      <c r="N120" s="536">
        <v>24</v>
      </c>
      <c r="O120" s="443">
        <v>15</v>
      </c>
      <c r="P120" s="529">
        <v>-0.1</v>
      </c>
      <c r="Q120" s="536">
        <v>21</v>
      </c>
    </row>
    <row r="121" spans="2:17" ht="15" customHeight="1" thickBot="1" x14ac:dyDescent="0.3">
      <c r="B121" s="435" t="str">
        <f>$B$100</f>
        <v>i = e</v>
      </c>
      <c r="C121" s="444">
        <v>10000</v>
      </c>
      <c r="D121" s="530">
        <v>-0.11</v>
      </c>
      <c r="E121" s="537">
        <v>24</v>
      </c>
      <c r="F121" s="444">
        <v>10000</v>
      </c>
      <c r="G121" s="530">
        <v>-0.12</v>
      </c>
      <c r="H121" s="537">
        <v>28</v>
      </c>
      <c r="I121" s="444">
        <v>10000</v>
      </c>
      <c r="J121" s="530">
        <v>-0.11</v>
      </c>
      <c r="K121" s="537">
        <v>24</v>
      </c>
      <c r="L121" s="444">
        <v>10000</v>
      </c>
      <c r="M121" s="530">
        <v>-0.11</v>
      </c>
      <c r="N121" s="537">
        <v>24</v>
      </c>
      <c r="O121" s="444">
        <v>10000</v>
      </c>
      <c r="P121" s="530">
        <v>-0.1</v>
      </c>
      <c r="Q121" s="537">
        <v>21</v>
      </c>
    </row>
    <row r="122" spans="2:17" ht="30" customHeight="1" x14ac:dyDescent="0.25">
      <c r="B122" s="429"/>
      <c r="C122" s="1724" t="str">
        <f>CONCATENATE(B30," -",CHAR(10),C30)</f>
        <v>Inner rows, from 7th row from north -
1st-4th module</v>
      </c>
      <c r="D122" s="1725"/>
      <c r="E122" s="1726"/>
      <c r="F122" s="1724" t="str">
        <f>$C$122</f>
        <v>Inner rows, from 7th row from north -
1st-4th module</v>
      </c>
      <c r="G122" s="1725"/>
      <c r="H122" s="1726"/>
      <c r="I122" s="1724" t="str">
        <f>$C$122</f>
        <v>Inner rows, from 7th row from north -
1st-4th module</v>
      </c>
      <c r="J122" s="1725"/>
      <c r="K122" s="1726"/>
      <c r="L122" s="1724" t="str">
        <f>$C$122</f>
        <v>Inner rows, from 7th row from north -
1st-4th module</v>
      </c>
      <c r="M122" s="1725"/>
      <c r="N122" s="1726"/>
      <c r="O122" s="1724" t="str">
        <f>$C$122</f>
        <v>Inner rows, from 7th row from north -
1st-4th module</v>
      </c>
      <c r="P122" s="1725"/>
      <c r="Q122" s="1726"/>
    </row>
    <row r="123" spans="2:17" ht="15" customHeight="1" thickBot="1" x14ac:dyDescent="0.3">
      <c r="B123" s="430"/>
      <c r="C123" s="431" t="str">
        <f>$C$95</f>
        <v>An i</v>
      </c>
      <c r="D123" s="527" t="str">
        <f>$D$95</f>
        <v>cpMS i</v>
      </c>
      <c r="E123" s="432" t="str">
        <f>$E$95</f>
        <v>mS i</v>
      </c>
      <c r="F123" s="431" t="str">
        <f>$C$95</f>
        <v>An i</v>
      </c>
      <c r="G123" s="527" t="str">
        <f>$D$95</f>
        <v>cpMS i</v>
      </c>
      <c r="H123" s="432" t="str">
        <f>$E$95</f>
        <v>mS i</v>
      </c>
      <c r="I123" s="431" t="str">
        <f>$C$95</f>
        <v>An i</v>
      </c>
      <c r="J123" s="527" t="str">
        <f>$D$95</f>
        <v>cpMS i</v>
      </c>
      <c r="K123" s="432" t="str">
        <f>$E$95</f>
        <v>mS i</v>
      </c>
      <c r="L123" s="431" t="str">
        <f>$C$95</f>
        <v>An i</v>
      </c>
      <c r="M123" s="527" t="str">
        <f>$D$95</f>
        <v>cpMS i</v>
      </c>
      <c r="N123" s="432" t="str">
        <f>$E$95</f>
        <v>mS i</v>
      </c>
      <c r="O123" s="431" t="str">
        <f>$C$95</f>
        <v>An i</v>
      </c>
      <c r="P123" s="527" t="str">
        <f>$D$95</f>
        <v>cpMS i</v>
      </c>
      <c r="Q123" s="432" t="str">
        <f>$E$95</f>
        <v>mS i</v>
      </c>
    </row>
    <row r="124" spans="2:17" ht="15" customHeight="1" x14ac:dyDescent="0.25">
      <c r="B124" s="433" t="str">
        <f>$B$96</f>
        <v>i = a</v>
      </c>
      <c r="C124" s="442">
        <v>1</v>
      </c>
      <c r="D124" s="528">
        <v>-1.07</v>
      </c>
      <c r="E124" s="535">
        <v>399</v>
      </c>
      <c r="F124" s="442">
        <v>1</v>
      </c>
      <c r="G124" s="528">
        <v>-0.4</v>
      </c>
      <c r="H124" s="535">
        <v>137</v>
      </c>
      <c r="I124" s="442">
        <v>1</v>
      </c>
      <c r="J124" s="528">
        <v>-0.4</v>
      </c>
      <c r="K124" s="535">
        <v>137</v>
      </c>
      <c r="L124" s="442">
        <v>1</v>
      </c>
      <c r="M124" s="528">
        <v>-0.27</v>
      </c>
      <c r="N124" s="535">
        <v>86</v>
      </c>
      <c r="O124" s="442">
        <v>1</v>
      </c>
      <c r="P124" s="528">
        <v>-0.22</v>
      </c>
      <c r="Q124" s="535">
        <v>67</v>
      </c>
    </row>
    <row r="125" spans="2:17" ht="15" customHeight="1" x14ac:dyDescent="0.25">
      <c r="B125" s="434" t="str">
        <f>$B$97</f>
        <v>i = b</v>
      </c>
      <c r="C125" s="443">
        <v>13</v>
      </c>
      <c r="D125" s="529">
        <v>-0.47</v>
      </c>
      <c r="E125" s="536">
        <v>164</v>
      </c>
      <c r="F125" s="443">
        <v>15</v>
      </c>
      <c r="G125" s="529">
        <v>-0.27</v>
      </c>
      <c r="H125" s="536">
        <v>86</v>
      </c>
      <c r="I125" s="443">
        <v>12.5</v>
      </c>
      <c r="J125" s="529">
        <v>-0.27</v>
      </c>
      <c r="K125" s="536">
        <v>86</v>
      </c>
      <c r="L125" s="443">
        <v>7</v>
      </c>
      <c r="M125" s="529">
        <v>-0.19</v>
      </c>
      <c r="N125" s="536">
        <v>55</v>
      </c>
      <c r="O125" s="443">
        <v>7</v>
      </c>
      <c r="P125" s="529">
        <v>-0.18</v>
      </c>
      <c r="Q125" s="536">
        <v>51</v>
      </c>
    </row>
    <row r="126" spans="2:17" ht="15" customHeight="1" x14ac:dyDescent="0.25">
      <c r="B126" s="434" t="str">
        <f>$B$98</f>
        <v>i = c</v>
      </c>
      <c r="C126" s="443">
        <v>140</v>
      </c>
      <c r="D126" s="529">
        <v>-0.19</v>
      </c>
      <c r="E126" s="536">
        <v>55</v>
      </c>
      <c r="F126" s="443">
        <v>22</v>
      </c>
      <c r="G126" s="529">
        <v>-0.21</v>
      </c>
      <c r="H126" s="536">
        <v>63</v>
      </c>
      <c r="I126" s="443">
        <v>27.5</v>
      </c>
      <c r="J126" s="529">
        <v>-0.22</v>
      </c>
      <c r="K126" s="536">
        <v>67</v>
      </c>
      <c r="L126" s="443">
        <v>50</v>
      </c>
      <c r="M126" s="529">
        <v>-0.12</v>
      </c>
      <c r="N126" s="536">
        <v>28</v>
      </c>
      <c r="O126" s="443">
        <v>110</v>
      </c>
      <c r="P126" s="529">
        <v>-0.1</v>
      </c>
      <c r="Q126" s="536">
        <v>21</v>
      </c>
    </row>
    <row r="127" spans="2:17" ht="15" customHeight="1" x14ac:dyDescent="0.25">
      <c r="B127" s="434" t="str">
        <f>$B$99</f>
        <v>i = d</v>
      </c>
      <c r="C127" s="443">
        <v>872</v>
      </c>
      <c r="D127" s="529">
        <v>-0.11</v>
      </c>
      <c r="E127" s="536">
        <v>24</v>
      </c>
      <c r="F127" s="443">
        <v>738</v>
      </c>
      <c r="G127" s="529">
        <v>-0.12</v>
      </c>
      <c r="H127" s="536">
        <v>28</v>
      </c>
      <c r="I127" s="443">
        <v>147</v>
      </c>
      <c r="J127" s="529">
        <v>-0.11</v>
      </c>
      <c r="K127" s="536">
        <v>24</v>
      </c>
      <c r="L127" s="443">
        <v>77</v>
      </c>
      <c r="M127" s="529">
        <v>-0.11</v>
      </c>
      <c r="N127" s="536">
        <v>24</v>
      </c>
      <c r="O127" s="443">
        <v>110</v>
      </c>
      <c r="P127" s="529">
        <v>-0.1</v>
      </c>
      <c r="Q127" s="536">
        <v>21</v>
      </c>
    </row>
    <row r="128" spans="2:17" ht="15" customHeight="1" thickBot="1" x14ac:dyDescent="0.3">
      <c r="B128" s="435" t="str">
        <f>$B$100</f>
        <v>i = e</v>
      </c>
      <c r="C128" s="444">
        <v>10000</v>
      </c>
      <c r="D128" s="530">
        <v>-0.11</v>
      </c>
      <c r="E128" s="537">
        <v>24</v>
      </c>
      <c r="F128" s="444">
        <v>10000</v>
      </c>
      <c r="G128" s="530">
        <v>-0.12</v>
      </c>
      <c r="H128" s="537">
        <v>28</v>
      </c>
      <c r="I128" s="444">
        <v>10000</v>
      </c>
      <c r="J128" s="530">
        <v>-0.11</v>
      </c>
      <c r="K128" s="537">
        <v>24</v>
      </c>
      <c r="L128" s="444">
        <v>10000</v>
      </c>
      <c r="M128" s="530">
        <v>-0.11</v>
      </c>
      <c r="N128" s="537">
        <v>24</v>
      </c>
      <c r="O128" s="444">
        <v>10000</v>
      </c>
      <c r="P128" s="530">
        <v>-0.1</v>
      </c>
      <c r="Q128" s="537">
        <v>21</v>
      </c>
    </row>
    <row r="129" spans="2:17" ht="30" customHeight="1" x14ac:dyDescent="0.25">
      <c r="B129" s="429"/>
      <c r="C129" s="1724" t="str">
        <f>CONCATENATE(B30," -",CHAR(10),C31)</f>
        <v>Inner rows, from 7th row from north -
Interior modules</v>
      </c>
      <c r="D129" s="1725"/>
      <c r="E129" s="1726"/>
      <c r="F129" s="1724" t="str">
        <f>$C$129</f>
        <v>Inner rows, from 7th row from north -
Interior modules</v>
      </c>
      <c r="G129" s="1725"/>
      <c r="H129" s="1726"/>
      <c r="I129" s="1724" t="str">
        <f>$C$129</f>
        <v>Inner rows, from 7th row from north -
Interior modules</v>
      </c>
      <c r="J129" s="1725"/>
      <c r="K129" s="1726"/>
      <c r="L129" s="1724" t="str">
        <f>$C$129</f>
        <v>Inner rows, from 7th row from north -
Interior modules</v>
      </c>
      <c r="M129" s="1725"/>
      <c r="N129" s="1726"/>
      <c r="O129" s="1724" t="str">
        <f>$C$129</f>
        <v>Inner rows, from 7th row from north -
Interior modules</v>
      </c>
      <c r="P129" s="1725"/>
      <c r="Q129" s="1726"/>
    </row>
    <row r="130" spans="2:17" ht="15" customHeight="1" thickBot="1" x14ac:dyDescent="0.3">
      <c r="B130" s="430"/>
      <c r="C130" s="431" t="str">
        <f>$C$95</f>
        <v>An i</v>
      </c>
      <c r="D130" s="527" t="str">
        <f>$D$95</f>
        <v>cpMS i</v>
      </c>
      <c r="E130" s="432" t="str">
        <f>$E$95</f>
        <v>mS i</v>
      </c>
      <c r="F130" s="431" t="str">
        <f>$C$95</f>
        <v>An i</v>
      </c>
      <c r="G130" s="527" t="str">
        <f>$D$95</f>
        <v>cpMS i</v>
      </c>
      <c r="H130" s="432" t="str">
        <f>$E$95</f>
        <v>mS i</v>
      </c>
      <c r="I130" s="431" t="str">
        <f>$C$95</f>
        <v>An i</v>
      </c>
      <c r="J130" s="527" t="str">
        <f>$D$95</f>
        <v>cpMS i</v>
      </c>
      <c r="K130" s="432" t="str">
        <f>$E$95</f>
        <v>mS i</v>
      </c>
      <c r="L130" s="431" t="str">
        <f>$C$95</f>
        <v>An i</v>
      </c>
      <c r="M130" s="527" t="str">
        <f>$D$95</f>
        <v>cpMS i</v>
      </c>
      <c r="N130" s="432" t="str">
        <f>$E$95</f>
        <v>mS i</v>
      </c>
      <c r="O130" s="431" t="str">
        <f>$C$95</f>
        <v>An i</v>
      </c>
      <c r="P130" s="527" t="str">
        <f>$D$95</f>
        <v>cpMS i</v>
      </c>
      <c r="Q130" s="432" t="str">
        <f>$E$95</f>
        <v>mS i</v>
      </c>
    </row>
    <row r="131" spans="2:17" ht="15" customHeight="1" x14ac:dyDescent="0.25">
      <c r="B131" s="433" t="str">
        <f>$B$96</f>
        <v>i = a</v>
      </c>
      <c r="C131" s="442">
        <v>1</v>
      </c>
      <c r="D131" s="528">
        <v>-0.66</v>
      </c>
      <c r="E131" s="535">
        <v>238</v>
      </c>
      <c r="F131" s="442">
        <v>1</v>
      </c>
      <c r="G131" s="528">
        <v>-0.48</v>
      </c>
      <c r="H131" s="535">
        <v>168</v>
      </c>
      <c r="I131" s="442">
        <v>1</v>
      </c>
      <c r="J131" s="528">
        <v>-0.26</v>
      </c>
      <c r="K131" s="535">
        <v>82</v>
      </c>
      <c r="L131" s="442">
        <v>1</v>
      </c>
      <c r="M131" s="528">
        <v>-0.24</v>
      </c>
      <c r="N131" s="535">
        <v>75</v>
      </c>
      <c r="O131" s="442">
        <v>1</v>
      </c>
      <c r="P131" s="528">
        <v>-0.22</v>
      </c>
      <c r="Q131" s="535">
        <v>67</v>
      </c>
    </row>
    <row r="132" spans="2:17" ht="15" customHeight="1" x14ac:dyDescent="0.25">
      <c r="B132" s="434" t="str">
        <f>$B$97</f>
        <v>i = b</v>
      </c>
      <c r="C132" s="443">
        <v>33</v>
      </c>
      <c r="D132" s="529">
        <v>-0.26</v>
      </c>
      <c r="E132" s="536">
        <v>82</v>
      </c>
      <c r="F132" s="443">
        <v>7.5</v>
      </c>
      <c r="G132" s="529">
        <v>-0.36</v>
      </c>
      <c r="H132" s="536">
        <v>121</v>
      </c>
      <c r="I132" s="443">
        <v>6</v>
      </c>
      <c r="J132" s="529">
        <v>-0.18</v>
      </c>
      <c r="K132" s="536">
        <v>51</v>
      </c>
      <c r="L132" s="443">
        <v>7</v>
      </c>
      <c r="M132" s="529">
        <v>-0.18</v>
      </c>
      <c r="N132" s="536">
        <v>51</v>
      </c>
      <c r="O132" s="443">
        <v>7</v>
      </c>
      <c r="P132" s="529">
        <v>-0.18</v>
      </c>
      <c r="Q132" s="536">
        <v>51</v>
      </c>
    </row>
    <row r="133" spans="2:17" ht="15" customHeight="1" x14ac:dyDescent="0.25">
      <c r="B133" s="434" t="str">
        <f>$B$98</f>
        <v>i = c</v>
      </c>
      <c r="C133" s="443">
        <v>200</v>
      </c>
      <c r="D133" s="529">
        <v>-0.14000000000000001</v>
      </c>
      <c r="E133" s="536">
        <v>36</v>
      </c>
      <c r="F133" s="443">
        <v>130</v>
      </c>
      <c r="G133" s="529">
        <v>-0.18</v>
      </c>
      <c r="H133" s="536">
        <v>51</v>
      </c>
      <c r="I133" s="443">
        <v>20.5</v>
      </c>
      <c r="J133" s="529">
        <v>-0.16</v>
      </c>
      <c r="K133" s="536">
        <v>44</v>
      </c>
      <c r="L133" s="443">
        <v>87</v>
      </c>
      <c r="M133" s="529">
        <v>-0.11</v>
      </c>
      <c r="N133" s="536">
        <v>24</v>
      </c>
      <c r="O133" s="443">
        <v>110</v>
      </c>
      <c r="P133" s="529">
        <v>-0.1</v>
      </c>
      <c r="Q133" s="536">
        <v>21</v>
      </c>
    </row>
    <row r="134" spans="2:17" ht="15" customHeight="1" x14ac:dyDescent="0.25">
      <c r="B134" s="434" t="str">
        <f>$B$99</f>
        <v>i = d</v>
      </c>
      <c r="C134" s="443">
        <v>872</v>
      </c>
      <c r="D134" s="529">
        <v>-0.11</v>
      </c>
      <c r="E134" s="536">
        <v>24</v>
      </c>
      <c r="F134" s="443">
        <v>738</v>
      </c>
      <c r="G134" s="529">
        <v>-0.12</v>
      </c>
      <c r="H134" s="536">
        <v>28</v>
      </c>
      <c r="I134" s="443">
        <v>100</v>
      </c>
      <c r="J134" s="529">
        <v>-0.11</v>
      </c>
      <c r="K134" s="536">
        <v>24</v>
      </c>
      <c r="L134" s="443">
        <v>87</v>
      </c>
      <c r="M134" s="529">
        <v>-0.11</v>
      </c>
      <c r="N134" s="536">
        <v>24</v>
      </c>
      <c r="O134" s="443">
        <v>110</v>
      </c>
      <c r="P134" s="529">
        <v>-0.1</v>
      </c>
      <c r="Q134" s="536">
        <v>21</v>
      </c>
    </row>
    <row r="135" spans="2:17" ht="15" customHeight="1" thickBot="1" x14ac:dyDescent="0.3">
      <c r="B135" s="435" t="str">
        <f>$B$100</f>
        <v>i = e</v>
      </c>
      <c r="C135" s="444">
        <v>10000</v>
      </c>
      <c r="D135" s="530">
        <v>-0.11</v>
      </c>
      <c r="E135" s="537">
        <v>24</v>
      </c>
      <c r="F135" s="444">
        <v>10000</v>
      </c>
      <c r="G135" s="530">
        <v>-0.12</v>
      </c>
      <c r="H135" s="537">
        <v>28</v>
      </c>
      <c r="I135" s="444">
        <v>10000</v>
      </c>
      <c r="J135" s="530">
        <v>-0.11</v>
      </c>
      <c r="K135" s="537">
        <v>24</v>
      </c>
      <c r="L135" s="444">
        <v>10000</v>
      </c>
      <c r="M135" s="530">
        <v>-0.11</v>
      </c>
      <c r="N135" s="537">
        <v>24</v>
      </c>
      <c r="O135" s="444">
        <v>10000</v>
      </c>
      <c r="P135" s="530">
        <v>-0.1</v>
      </c>
      <c r="Q135" s="537">
        <v>21</v>
      </c>
    </row>
    <row r="136" spans="2:17" ht="15" customHeight="1" x14ac:dyDescent="0.25">
      <c r="B136" s="429"/>
      <c r="C136" s="1721" t="str">
        <f>CONCATENATE(B32," - ",C32)</f>
        <v>South row - 1st-4th module</v>
      </c>
      <c r="D136" s="1722"/>
      <c r="E136" s="1723"/>
      <c r="F136" s="1721" t="str">
        <f>$C$136</f>
        <v>South row - 1st-4th module</v>
      </c>
      <c r="G136" s="1722"/>
      <c r="H136" s="1723"/>
      <c r="I136" s="1721" t="str">
        <f>$C$136</f>
        <v>South row - 1st-4th module</v>
      </c>
      <c r="J136" s="1722"/>
      <c r="K136" s="1723"/>
      <c r="L136" s="1721" t="str">
        <f>$C$136</f>
        <v>South row - 1st-4th module</v>
      </c>
      <c r="M136" s="1722"/>
      <c r="N136" s="1723"/>
      <c r="O136" s="1721" t="str">
        <f>$C$136</f>
        <v>South row - 1st-4th module</v>
      </c>
      <c r="P136" s="1722"/>
      <c r="Q136" s="1723"/>
    </row>
    <row r="137" spans="2:17" ht="15" customHeight="1" thickBot="1" x14ac:dyDescent="0.3">
      <c r="B137" s="430"/>
      <c r="C137" s="431" t="str">
        <f>$C$95</f>
        <v>An i</v>
      </c>
      <c r="D137" s="527" t="str">
        <f>$D$95</f>
        <v>cpMS i</v>
      </c>
      <c r="E137" s="432" t="str">
        <f>$E$95</f>
        <v>mS i</v>
      </c>
      <c r="F137" s="431" t="str">
        <f>$C$95</f>
        <v>An i</v>
      </c>
      <c r="G137" s="527" t="str">
        <f>$D$95</f>
        <v>cpMS i</v>
      </c>
      <c r="H137" s="432" t="str">
        <f>$E$95</f>
        <v>mS i</v>
      </c>
      <c r="I137" s="431" t="str">
        <f>$C$95</f>
        <v>An i</v>
      </c>
      <c r="J137" s="527" t="str">
        <f>$D$95</f>
        <v>cpMS i</v>
      </c>
      <c r="K137" s="432" t="str">
        <f>$E$95</f>
        <v>mS i</v>
      </c>
      <c r="L137" s="431" t="str">
        <f>$C$95</f>
        <v>An i</v>
      </c>
      <c r="M137" s="527" t="str">
        <f>$D$95</f>
        <v>cpMS i</v>
      </c>
      <c r="N137" s="432" t="str">
        <f>$E$95</f>
        <v>mS i</v>
      </c>
      <c r="O137" s="431" t="str">
        <f>$C$95</f>
        <v>An i</v>
      </c>
      <c r="P137" s="527" t="str">
        <f>$D$95</f>
        <v>cpMS i</v>
      </c>
      <c r="Q137" s="432" t="str">
        <f>$E$95</f>
        <v>mS i</v>
      </c>
    </row>
    <row r="138" spans="2:17" ht="15" customHeight="1" x14ac:dyDescent="0.25">
      <c r="B138" s="433" t="str">
        <f>$B$96</f>
        <v>i = a</v>
      </c>
      <c r="C138" s="442">
        <v>1</v>
      </c>
      <c r="D138" s="528">
        <v>-0.49</v>
      </c>
      <c r="E138" s="535">
        <v>172</v>
      </c>
      <c r="F138" s="442">
        <v>1</v>
      </c>
      <c r="G138" s="528">
        <v>-0.36</v>
      </c>
      <c r="H138" s="535">
        <v>121</v>
      </c>
      <c r="I138" s="442">
        <v>1</v>
      </c>
      <c r="J138" s="528">
        <v>-0.28000000000000003</v>
      </c>
      <c r="K138" s="535">
        <v>90</v>
      </c>
      <c r="L138" s="442">
        <v>1</v>
      </c>
      <c r="M138" s="528">
        <v>-0.32</v>
      </c>
      <c r="N138" s="535">
        <v>106</v>
      </c>
      <c r="O138" s="442">
        <v>1</v>
      </c>
      <c r="P138" s="528">
        <v>-0.33</v>
      </c>
      <c r="Q138" s="535">
        <v>110</v>
      </c>
    </row>
    <row r="139" spans="2:17" ht="15" customHeight="1" x14ac:dyDescent="0.25">
      <c r="B139" s="434" t="str">
        <f>$B$97</f>
        <v>i = b</v>
      </c>
      <c r="C139" s="443">
        <v>12.5</v>
      </c>
      <c r="D139" s="529">
        <v>-0.33</v>
      </c>
      <c r="E139" s="536">
        <v>110</v>
      </c>
      <c r="F139" s="443">
        <v>12</v>
      </c>
      <c r="G139" s="529">
        <v>-0.16</v>
      </c>
      <c r="H139" s="536">
        <v>44</v>
      </c>
      <c r="I139" s="443">
        <v>10</v>
      </c>
      <c r="J139" s="529">
        <v>-0.2</v>
      </c>
      <c r="K139" s="536">
        <v>59</v>
      </c>
      <c r="L139" s="443">
        <v>7</v>
      </c>
      <c r="M139" s="529">
        <v>-0.16</v>
      </c>
      <c r="N139" s="536">
        <v>44</v>
      </c>
      <c r="O139" s="443">
        <v>7</v>
      </c>
      <c r="P139" s="529">
        <v>-0.16</v>
      </c>
      <c r="Q139" s="536">
        <v>44</v>
      </c>
    </row>
    <row r="140" spans="2:17" ht="15" customHeight="1" x14ac:dyDescent="0.25">
      <c r="B140" s="434" t="str">
        <f>$B$98</f>
        <v>i = c</v>
      </c>
      <c r="C140" s="443">
        <v>120</v>
      </c>
      <c r="D140" s="529">
        <v>-0.16</v>
      </c>
      <c r="E140" s="536">
        <v>44</v>
      </c>
      <c r="F140" s="443">
        <v>184</v>
      </c>
      <c r="G140" s="529">
        <v>-0.16</v>
      </c>
      <c r="H140" s="536">
        <v>44</v>
      </c>
      <c r="I140" s="443">
        <v>77</v>
      </c>
      <c r="J140" s="529">
        <v>-0.13</v>
      </c>
      <c r="K140" s="536">
        <v>32</v>
      </c>
      <c r="L140" s="443">
        <v>7</v>
      </c>
      <c r="M140" s="529">
        <v>-0.16</v>
      </c>
      <c r="N140" s="536">
        <v>44</v>
      </c>
      <c r="O140" s="443">
        <v>30</v>
      </c>
      <c r="P140" s="529">
        <v>-0.1</v>
      </c>
      <c r="Q140" s="536">
        <v>21</v>
      </c>
    </row>
    <row r="141" spans="2:17" ht="15" customHeight="1" x14ac:dyDescent="0.25">
      <c r="B141" s="434" t="str">
        <f>$B$99</f>
        <v>i = d</v>
      </c>
      <c r="C141" s="443">
        <v>872</v>
      </c>
      <c r="D141" s="529">
        <v>-0.11</v>
      </c>
      <c r="E141" s="536">
        <v>24</v>
      </c>
      <c r="F141" s="443">
        <v>738</v>
      </c>
      <c r="G141" s="529">
        <v>-0.12</v>
      </c>
      <c r="H141" s="536">
        <v>28</v>
      </c>
      <c r="I141" s="443">
        <v>96</v>
      </c>
      <c r="J141" s="529">
        <v>-0.11</v>
      </c>
      <c r="K141" s="536">
        <v>24</v>
      </c>
      <c r="L141" s="443">
        <v>30</v>
      </c>
      <c r="M141" s="529">
        <v>-0.11</v>
      </c>
      <c r="N141" s="536">
        <v>24</v>
      </c>
      <c r="O141" s="443">
        <v>30</v>
      </c>
      <c r="P141" s="529">
        <v>-0.1</v>
      </c>
      <c r="Q141" s="536">
        <v>21</v>
      </c>
    </row>
    <row r="142" spans="2:17" ht="15" customHeight="1" thickBot="1" x14ac:dyDescent="0.3">
      <c r="B142" s="435" t="str">
        <f>$B$100</f>
        <v>i = e</v>
      </c>
      <c r="C142" s="444">
        <v>10000</v>
      </c>
      <c r="D142" s="530">
        <v>-0.11</v>
      </c>
      <c r="E142" s="537">
        <v>24</v>
      </c>
      <c r="F142" s="444">
        <v>10000</v>
      </c>
      <c r="G142" s="530">
        <v>-0.12</v>
      </c>
      <c r="H142" s="537">
        <v>28</v>
      </c>
      <c r="I142" s="444">
        <v>10000</v>
      </c>
      <c r="J142" s="530">
        <v>-0.11</v>
      </c>
      <c r="K142" s="537">
        <v>24</v>
      </c>
      <c r="L142" s="444">
        <v>10000</v>
      </c>
      <c r="M142" s="530">
        <v>-0.11</v>
      </c>
      <c r="N142" s="537">
        <v>24</v>
      </c>
      <c r="O142" s="444">
        <v>10000</v>
      </c>
      <c r="P142" s="530">
        <v>-0.1</v>
      </c>
      <c r="Q142" s="537">
        <v>21</v>
      </c>
    </row>
    <row r="143" spans="2:17" ht="15" customHeight="1" x14ac:dyDescent="0.25">
      <c r="B143" s="429"/>
      <c r="C143" s="1721" t="str">
        <f>CONCATENATE(B32," - ",C33)</f>
        <v>South row - Interior modules</v>
      </c>
      <c r="D143" s="1722"/>
      <c r="E143" s="1723"/>
      <c r="F143" s="1721" t="str">
        <f>$C$143</f>
        <v>South row - Interior modules</v>
      </c>
      <c r="G143" s="1722"/>
      <c r="H143" s="1723"/>
      <c r="I143" s="1721" t="str">
        <f>$C$143</f>
        <v>South row - Interior modules</v>
      </c>
      <c r="J143" s="1722"/>
      <c r="K143" s="1723"/>
      <c r="L143" s="1721" t="str">
        <f>$C$143</f>
        <v>South row - Interior modules</v>
      </c>
      <c r="M143" s="1722"/>
      <c r="N143" s="1723"/>
      <c r="O143" s="1721" t="str">
        <f>$C$143</f>
        <v>South row - Interior modules</v>
      </c>
      <c r="P143" s="1722"/>
      <c r="Q143" s="1723"/>
    </row>
    <row r="144" spans="2:17" ht="15" customHeight="1" thickBot="1" x14ac:dyDescent="0.3">
      <c r="B144" s="430"/>
      <c r="C144" s="431" t="str">
        <f>$C$95</f>
        <v>An i</v>
      </c>
      <c r="D144" s="527" t="str">
        <f>$D$95</f>
        <v>cpMS i</v>
      </c>
      <c r="E144" s="432" t="str">
        <f>$E$95</f>
        <v>mS i</v>
      </c>
      <c r="F144" s="431" t="str">
        <f>$C$95</f>
        <v>An i</v>
      </c>
      <c r="G144" s="527" t="str">
        <f>$D$95</f>
        <v>cpMS i</v>
      </c>
      <c r="H144" s="432" t="str">
        <f>$E$95</f>
        <v>mS i</v>
      </c>
      <c r="I144" s="431" t="str">
        <f>$C$95</f>
        <v>An i</v>
      </c>
      <c r="J144" s="527" t="str">
        <f>$D$95</f>
        <v>cpMS i</v>
      </c>
      <c r="K144" s="432" t="str">
        <f>$E$95</f>
        <v>mS i</v>
      </c>
      <c r="L144" s="431" t="str">
        <f>$C$95</f>
        <v>An i</v>
      </c>
      <c r="M144" s="527" t="str">
        <f>$D$95</f>
        <v>cpMS i</v>
      </c>
      <c r="N144" s="432" t="str">
        <f>$E$95</f>
        <v>mS i</v>
      </c>
      <c r="O144" s="431" t="str">
        <f>$C$95</f>
        <v>An i</v>
      </c>
      <c r="P144" s="527" t="str">
        <f>$D$95</f>
        <v>cpMS i</v>
      </c>
      <c r="Q144" s="432" t="str">
        <f>$E$95</f>
        <v>mS i</v>
      </c>
    </row>
    <row r="145" spans="2:17" ht="15" customHeight="1" x14ac:dyDescent="0.25">
      <c r="B145" s="433" t="str">
        <f>$B$96</f>
        <v>i = a</v>
      </c>
      <c r="C145" s="442">
        <v>1</v>
      </c>
      <c r="D145" s="528">
        <v>-0.47</v>
      </c>
      <c r="E145" s="535">
        <v>164</v>
      </c>
      <c r="F145" s="442">
        <v>1</v>
      </c>
      <c r="G145" s="528">
        <v>-0.31</v>
      </c>
      <c r="H145" s="535">
        <v>102</v>
      </c>
      <c r="I145" s="442">
        <v>1</v>
      </c>
      <c r="J145" s="528">
        <v>-0.26</v>
      </c>
      <c r="K145" s="535">
        <v>82</v>
      </c>
      <c r="L145" s="442">
        <v>1</v>
      </c>
      <c r="M145" s="528">
        <v>-0.16</v>
      </c>
      <c r="N145" s="535">
        <v>44</v>
      </c>
      <c r="O145" s="442">
        <v>1</v>
      </c>
      <c r="P145" s="528">
        <v>-0.16</v>
      </c>
      <c r="Q145" s="535">
        <v>44</v>
      </c>
    </row>
    <row r="146" spans="2:17" ht="15" customHeight="1" x14ac:dyDescent="0.25">
      <c r="B146" s="434" t="str">
        <f>$B$97</f>
        <v>i = b</v>
      </c>
      <c r="C146" s="443">
        <v>6</v>
      </c>
      <c r="D146" s="529">
        <v>-0.3</v>
      </c>
      <c r="E146" s="536">
        <v>98</v>
      </c>
      <c r="F146" s="443">
        <v>10</v>
      </c>
      <c r="G146" s="529">
        <v>-0.18</v>
      </c>
      <c r="H146" s="536">
        <v>51</v>
      </c>
      <c r="I146" s="443">
        <v>12.5</v>
      </c>
      <c r="J146" s="529">
        <v>-0.16</v>
      </c>
      <c r="K146" s="536">
        <v>44</v>
      </c>
      <c r="L146" s="443">
        <v>9</v>
      </c>
      <c r="M146" s="529">
        <v>-0.11</v>
      </c>
      <c r="N146" s="536">
        <v>24</v>
      </c>
      <c r="O146" s="443">
        <v>14</v>
      </c>
      <c r="P146" s="529">
        <v>-0.11</v>
      </c>
      <c r="Q146" s="536">
        <v>24</v>
      </c>
    </row>
    <row r="147" spans="2:17" ht="15" customHeight="1" x14ac:dyDescent="0.25">
      <c r="B147" s="434" t="str">
        <f>$B$98</f>
        <v>i = c</v>
      </c>
      <c r="C147" s="443">
        <v>147.5</v>
      </c>
      <c r="D147" s="529">
        <v>-0.16</v>
      </c>
      <c r="E147" s="536">
        <v>44</v>
      </c>
      <c r="F147" s="443">
        <v>184</v>
      </c>
      <c r="G147" s="529">
        <v>-0.16</v>
      </c>
      <c r="H147" s="536">
        <v>44</v>
      </c>
      <c r="I147" s="443">
        <v>28</v>
      </c>
      <c r="J147" s="529">
        <v>-0.13</v>
      </c>
      <c r="K147" s="536">
        <v>32</v>
      </c>
      <c r="L147" s="443">
        <v>9</v>
      </c>
      <c r="M147" s="529">
        <v>-0.11</v>
      </c>
      <c r="N147" s="536">
        <v>24</v>
      </c>
      <c r="O147" s="443">
        <v>30</v>
      </c>
      <c r="P147" s="529">
        <v>-0.1</v>
      </c>
      <c r="Q147" s="536">
        <v>21</v>
      </c>
    </row>
    <row r="148" spans="2:17" ht="15" customHeight="1" x14ac:dyDescent="0.25">
      <c r="B148" s="434" t="str">
        <f>$B$99</f>
        <v>i = d</v>
      </c>
      <c r="C148" s="443">
        <v>872</v>
      </c>
      <c r="D148" s="529">
        <v>-0.11</v>
      </c>
      <c r="E148" s="536">
        <v>24</v>
      </c>
      <c r="F148" s="443">
        <v>738</v>
      </c>
      <c r="G148" s="529">
        <v>-0.12</v>
      </c>
      <c r="H148" s="536">
        <v>28</v>
      </c>
      <c r="I148" s="443">
        <v>60</v>
      </c>
      <c r="J148" s="529">
        <v>-0.11</v>
      </c>
      <c r="K148" s="536">
        <v>24</v>
      </c>
      <c r="L148" s="443">
        <v>9</v>
      </c>
      <c r="M148" s="529">
        <v>-0.11</v>
      </c>
      <c r="N148" s="536">
        <v>24</v>
      </c>
      <c r="O148" s="443">
        <v>30</v>
      </c>
      <c r="P148" s="529">
        <v>-0.1</v>
      </c>
      <c r="Q148" s="536">
        <v>21</v>
      </c>
    </row>
    <row r="149" spans="2:17" ht="15" customHeight="1" thickBot="1" x14ac:dyDescent="0.3">
      <c r="B149" s="435" t="str">
        <f>$B$100</f>
        <v>i = e</v>
      </c>
      <c r="C149" s="444">
        <v>10000</v>
      </c>
      <c r="D149" s="530">
        <v>-0.11</v>
      </c>
      <c r="E149" s="537">
        <v>24</v>
      </c>
      <c r="F149" s="444">
        <v>10000</v>
      </c>
      <c r="G149" s="530">
        <v>-0.12</v>
      </c>
      <c r="H149" s="537">
        <v>28</v>
      </c>
      <c r="I149" s="444">
        <v>10000</v>
      </c>
      <c r="J149" s="530">
        <v>-0.11</v>
      </c>
      <c r="K149" s="537">
        <v>24</v>
      </c>
      <c r="L149" s="444">
        <v>10000</v>
      </c>
      <c r="M149" s="530">
        <v>-0.11</v>
      </c>
      <c r="N149" s="537">
        <v>24</v>
      </c>
      <c r="O149" s="444">
        <v>10000</v>
      </c>
      <c r="P149" s="530">
        <v>-0.1</v>
      </c>
      <c r="Q149" s="537">
        <v>21</v>
      </c>
    </row>
    <row r="150" spans="2:17" ht="15" customHeight="1" thickBot="1" x14ac:dyDescent="0.3"/>
    <row r="151" spans="2:17" ht="15" customHeight="1" thickBot="1" x14ac:dyDescent="0.3">
      <c r="B151" s="534" t="str">
        <f>K23</f>
        <v>Uplift</v>
      </c>
      <c r="C151" s="1718" t="str">
        <f>$D$24</f>
        <v>Roof position 1</v>
      </c>
      <c r="D151" s="1719"/>
      <c r="E151" s="1720"/>
      <c r="F151" s="1718" t="str">
        <f>$E$24</f>
        <v>Roof position 2</v>
      </c>
      <c r="G151" s="1719"/>
      <c r="H151" s="1720"/>
      <c r="I151" s="1718" t="str">
        <f>$F$24</f>
        <v>Roof position 3</v>
      </c>
      <c r="J151" s="1719"/>
      <c r="K151" s="1720"/>
      <c r="L151" s="1718" t="str">
        <f>$G$24</f>
        <v>Roof position 4</v>
      </c>
      <c r="M151" s="1719"/>
      <c r="N151" s="1720"/>
      <c r="O151" s="1718" t="str">
        <f>$H$24</f>
        <v>Roof position 5</v>
      </c>
      <c r="P151" s="1719"/>
      <c r="Q151" s="1720"/>
    </row>
    <row r="152" spans="2:17" ht="15" customHeight="1" x14ac:dyDescent="0.25">
      <c r="B152" s="429"/>
      <c r="C152" s="1721" t="str">
        <f>$C$94</f>
        <v>North row - 1st-4th module</v>
      </c>
      <c r="D152" s="1722"/>
      <c r="E152" s="1723"/>
      <c r="F152" s="1721" t="str">
        <f>$C$94</f>
        <v>North row - 1st-4th module</v>
      </c>
      <c r="G152" s="1722"/>
      <c r="H152" s="1723"/>
      <c r="I152" s="1721" t="str">
        <f>$C$94</f>
        <v>North row - 1st-4th module</v>
      </c>
      <c r="J152" s="1722"/>
      <c r="K152" s="1723"/>
      <c r="L152" s="1721" t="str">
        <f>$C$94</f>
        <v>North row - 1st-4th module</v>
      </c>
      <c r="M152" s="1722"/>
      <c r="N152" s="1723"/>
      <c r="O152" s="1721" t="str">
        <f>$C$94</f>
        <v>North row - 1st-4th module</v>
      </c>
      <c r="P152" s="1722"/>
      <c r="Q152" s="1723"/>
    </row>
    <row r="153" spans="2:17" ht="15" customHeight="1" thickBot="1" x14ac:dyDescent="0.3">
      <c r="B153" s="430"/>
      <c r="C153" s="431" t="s">
        <v>36</v>
      </c>
      <c r="D153" s="527" t="s">
        <v>73</v>
      </c>
      <c r="E153" s="432" t="s">
        <v>74</v>
      </c>
      <c r="F153" s="431" t="str">
        <f>$C$95</f>
        <v>An i</v>
      </c>
      <c r="G153" s="527" t="str">
        <f>$D$153</f>
        <v>cpML i</v>
      </c>
      <c r="H153" s="432" t="str">
        <f>$E$153</f>
        <v>mL i</v>
      </c>
      <c r="I153" s="431" t="str">
        <f>$C$95</f>
        <v>An i</v>
      </c>
      <c r="J153" s="527" t="str">
        <f>$D$153</f>
        <v>cpML i</v>
      </c>
      <c r="K153" s="432" t="str">
        <f>$E$153</f>
        <v>mL i</v>
      </c>
      <c r="L153" s="431" t="str">
        <f>$C$95</f>
        <v>An i</v>
      </c>
      <c r="M153" s="527" t="str">
        <f>$D$153</f>
        <v>cpML i</v>
      </c>
      <c r="N153" s="432" t="str">
        <f>$E$153</f>
        <v>mL i</v>
      </c>
      <c r="O153" s="431" t="str">
        <f>$C$95</f>
        <v>An i</v>
      </c>
      <c r="P153" s="527" t="str">
        <f>$D$153</f>
        <v>cpML i</v>
      </c>
      <c r="Q153" s="432" t="str">
        <f>$E$153</f>
        <v>mL i</v>
      </c>
    </row>
    <row r="154" spans="2:17" ht="15" customHeight="1" x14ac:dyDescent="0.25">
      <c r="B154" s="433" t="str">
        <f>$B$96</f>
        <v>i = a</v>
      </c>
      <c r="C154" s="442">
        <v>1</v>
      </c>
      <c r="D154" s="528">
        <v>-0.91</v>
      </c>
      <c r="E154" s="535">
        <v>243</v>
      </c>
      <c r="F154" s="442">
        <v>1</v>
      </c>
      <c r="G154" s="528">
        <v>-1.1299999999999999</v>
      </c>
      <c r="H154" s="535">
        <v>307</v>
      </c>
      <c r="I154" s="442">
        <v>1</v>
      </c>
      <c r="J154" s="528">
        <v>-0.56000000000000005</v>
      </c>
      <c r="K154" s="535">
        <v>142</v>
      </c>
      <c r="L154" s="442">
        <v>1</v>
      </c>
      <c r="M154" s="528">
        <v>-0.63</v>
      </c>
      <c r="N154" s="535">
        <v>162</v>
      </c>
      <c r="O154" s="442">
        <v>1</v>
      </c>
      <c r="P154" s="528">
        <v>-0.59000000000000008</v>
      </c>
      <c r="Q154" s="535">
        <v>151</v>
      </c>
    </row>
    <row r="155" spans="2:17" ht="15" customHeight="1" x14ac:dyDescent="0.25">
      <c r="B155" s="434" t="str">
        <f>$B$97</f>
        <v>i = b</v>
      </c>
      <c r="C155" s="443">
        <v>6</v>
      </c>
      <c r="D155" s="529">
        <v>-0.47</v>
      </c>
      <c r="E155" s="536">
        <v>116</v>
      </c>
      <c r="F155" s="443">
        <v>6.5</v>
      </c>
      <c r="G155" s="529">
        <v>-0.95</v>
      </c>
      <c r="H155" s="536">
        <v>255</v>
      </c>
      <c r="I155" s="443">
        <v>6.5</v>
      </c>
      <c r="J155" s="529">
        <v>-0.48</v>
      </c>
      <c r="K155" s="536">
        <v>119</v>
      </c>
      <c r="L155" s="443">
        <v>7</v>
      </c>
      <c r="M155" s="529">
        <v>-0.47</v>
      </c>
      <c r="N155" s="536">
        <v>116</v>
      </c>
      <c r="O155" s="443">
        <v>6.5</v>
      </c>
      <c r="P155" s="529">
        <v>-0.5</v>
      </c>
      <c r="Q155" s="536">
        <v>125</v>
      </c>
    </row>
    <row r="156" spans="2:17" ht="15" customHeight="1" x14ac:dyDescent="0.25">
      <c r="B156" s="434" t="str">
        <f>$B$98</f>
        <v>i = c</v>
      </c>
      <c r="C156" s="443">
        <v>90</v>
      </c>
      <c r="D156" s="529">
        <v>-0.17</v>
      </c>
      <c r="E156" s="536">
        <v>29</v>
      </c>
      <c r="F156" s="443">
        <v>25</v>
      </c>
      <c r="G156" s="529">
        <v>-0.36</v>
      </c>
      <c r="H156" s="536">
        <v>84</v>
      </c>
      <c r="I156" s="443">
        <v>12.5</v>
      </c>
      <c r="J156" s="529">
        <v>-0.33</v>
      </c>
      <c r="K156" s="536">
        <v>75</v>
      </c>
      <c r="L156" s="443">
        <v>14</v>
      </c>
      <c r="M156" s="529">
        <v>-0.33</v>
      </c>
      <c r="N156" s="536">
        <v>75</v>
      </c>
      <c r="O156" s="443">
        <v>12</v>
      </c>
      <c r="P156" s="529">
        <v>-0.35</v>
      </c>
      <c r="Q156" s="536">
        <v>81</v>
      </c>
    </row>
    <row r="157" spans="2:17" ht="15" customHeight="1" x14ac:dyDescent="0.25">
      <c r="B157" s="434" t="str">
        <f>$B$99</f>
        <v>i = d</v>
      </c>
      <c r="C157" s="443">
        <v>872</v>
      </c>
      <c r="D157" s="529">
        <v>-0.11</v>
      </c>
      <c r="E157" s="536">
        <v>12</v>
      </c>
      <c r="F157" s="443">
        <v>470</v>
      </c>
      <c r="G157" s="529">
        <v>-0.12</v>
      </c>
      <c r="H157" s="536">
        <v>15</v>
      </c>
      <c r="I157" s="443">
        <v>147</v>
      </c>
      <c r="J157" s="529">
        <v>-0.1</v>
      </c>
      <c r="K157" s="536">
        <v>9</v>
      </c>
      <c r="L157" s="443">
        <v>160</v>
      </c>
      <c r="M157" s="529">
        <v>-0.1</v>
      </c>
      <c r="N157" s="536">
        <v>9</v>
      </c>
      <c r="O157" s="443">
        <v>168</v>
      </c>
      <c r="P157" s="529">
        <v>-0.1</v>
      </c>
      <c r="Q157" s="536">
        <v>9</v>
      </c>
    </row>
    <row r="158" spans="2:17" ht="15" customHeight="1" thickBot="1" x14ac:dyDescent="0.3">
      <c r="B158" s="435" t="str">
        <f>$B$100</f>
        <v>i = e</v>
      </c>
      <c r="C158" s="444">
        <v>10000</v>
      </c>
      <c r="D158" s="530">
        <v>-0.11</v>
      </c>
      <c r="E158" s="537">
        <v>12</v>
      </c>
      <c r="F158" s="444">
        <v>10000</v>
      </c>
      <c r="G158" s="530">
        <v>-0.12</v>
      </c>
      <c r="H158" s="537">
        <v>15</v>
      </c>
      <c r="I158" s="444">
        <v>10000</v>
      </c>
      <c r="J158" s="530">
        <v>-0.1</v>
      </c>
      <c r="K158" s="537">
        <v>9</v>
      </c>
      <c r="L158" s="444">
        <v>10000</v>
      </c>
      <c r="M158" s="530">
        <v>-0.1</v>
      </c>
      <c r="N158" s="537">
        <v>9</v>
      </c>
      <c r="O158" s="444">
        <v>10000</v>
      </c>
      <c r="P158" s="530">
        <v>-0.1</v>
      </c>
      <c r="Q158" s="537">
        <v>9</v>
      </c>
    </row>
    <row r="159" spans="2:17" ht="15" customHeight="1" x14ac:dyDescent="0.25">
      <c r="B159" s="429"/>
      <c r="C159" s="1721" t="str">
        <f>$C$101</f>
        <v>North row - Interior modules</v>
      </c>
      <c r="D159" s="1722"/>
      <c r="E159" s="1723"/>
      <c r="F159" s="1721" t="str">
        <f>$C$101</f>
        <v>North row - Interior modules</v>
      </c>
      <c r="G159" s="1722"/>
      <c r="H159" s="1723"/>
      <c r="I159" s="1721" t="str">
        <f>$C$101</f>
        <v>North row - Interior modules</v>
      </c>
      <c r="J159" s="1722"/>
      <c r="K159" s="1723"/>
      <c r="L159" s="1721" t="str">
        <f>$C$101</f>
        <v>North row - Interior modules</v>
      </c>
      <c r="M159" s="1722"/>
      <c r="N159" s="1723"/>
      <c r="O159" s="1721" t="str">
        <f>$C$101</f>
        <v>North row - Interior modules</v>
      </c>
      <c r="P159" s="1722"/>
      <c r="Q159" s="1723"/>
    </row>
    <row r="160" spans="2:17" ht="15" customHeight="1" thickBot="1" x14ac:dyDescent="0.3">
      <c r="B160" s="430"/>
      <c r="C160" s="431" t="str">
        <f>$C$95</f>
        <v>An i</v>
      </c>
      <c r="D160" s="527" t="str">
        <f>$D$153</f>
        <v>cpML i</v>
      </c>
      <c r="E160" s="432" t="str">
        <f>$E$153</f>
        <v>mL i</v>
      </c>
      <c r="F160" s="431" t="str">
        <f>$C$95</f>
        <v>An i</v>
      </c>
      <c r="G160" s="527" t="str">
        <f>$D$153</f>
        <v>cpML i</v>
      </c>
      <c r="H160" s="432" t="str">
        <f>$E$153</f>
        <v>mL i</v>
      </c>
      <c r="I160" s="431" t="str">
        <f>$C$95</f>
        <v>An i</v>
      </c>
      <c r="J160" s="527" t="str">
        <f>$D$153</f>
        <v>cpML i</v>
      </c>
      <c r="K160" s="432" t="str">
        <f>$E$153</f>
        <v>mL i</v>
      </c>
      <c r="L160" s="431" t="str">
        <f>$C$95</f>
        <v>An i</v>
      </c>
      <c r="M160" s="527" t="str">
        <f>$D$153</f>
        <v>cpML i</v>
      </c>
      <c r="N160" s="432" t="str">
        <f>$E$153</f>
        <v>mL i</v>
      </c>
      <c r="O160" s="431" t="str">
        <f>$C$95</f>
        <v>An i</v>
      </c>
      <c r="P160" s="527" t="str">
        <f>$D$153</f>
        <v>cpML i</v>
      </c>
      <c r="Q160" s="432" t="str">
        <f>$E$153</f>
        <v>mL i</v>
      </c>
    </row>
    <row r="161" spans="2:17" ht="15" customHeight="1" x14ac:dyDescent="0.25">
      <c r="B161" s="433" t="str">
        <f>$B$96</f>
        <v>i = a</v>
      </c>
      <c r="C161" s="442">
        <v>1</v>
      </c>
      <c r="D161" s="528">
        <v>-0.37</v>
      </c>
      <c r="E161" s="535">
        <v>87</v>
      </c>
      <c r="F161" s="442">
        <v>1</v>
      </c>
      <c r="G161" s="528">
        <v>-1.17</v>
      </c>
      <c r="H161" s="535">
        <v>318</v>
      </c>
      <c r="I161" s="442">
        <v>1</v>
      </c>
      <c r="J161" s="528">
        <v>-0.47</v>
      </c>
      <c r="K161" s="535">
        <v>116</v>
      </c>
      <c r="L161" s="442">
        <v>1</v>
      </c>
      <c r="M161" s="528">
        <v>-0.53</v>
      </c>
      <c r="N161" s="535">
        <v>133</v>
      </c>
      <c r="O161" s="442">
        <v>1</v>
      </c>
      <c r="P161" s="528">
        <v>-0.55000000000000004</v>
      </c>
      <c r="Q161" s="535">
        <v>139</v>
      </c>
    </row>
    <row r="162" spans="2:17" ht="15" customHeight="1" x14ac:dyDescent="0.25">
      <c r="B162" s="434" t="str">
        <f>$B$97</f>
        <v>i = b</v>
      </c>
      <c r="C162" s="443">
        <v>7</v>
      </c>
      <c r="D162" s="529">
        <v>-0.2</v>
      </c>
      <c r="E162" s="536">
        <v>38</v>
      </c>
      <c r="F162" s="443">
        <v>6</v>
      </c>
      <c r="G162" s="529">
        <v>-0.98</v>
      </c>
      <c r="H162" s="536">
        <v>263</v>
      </c>
      <c r="I162" s="443">
        <v>6.5</v>
      </c>
      <c r="J162" s="529">
        <v>-0.39</v>
      </c>
      <c r="K162" s="536">
        <v>93</v>
      </c>
      <c r="L162" s="443">
        <v>7</v>
      </c>
      <c r="M162" s="529">
        <v>-0.44</v>
      </c>
      <c r="N162" s="536">
        <v>107</v>
      </c>
      <c r="O162" s="443">
        <v>6.5</v>
      </c>
      <c r="P162" s="529">
        <v>-0.49</v>
      </c>
      <c r="Q162" s="536">
        <v>122</v>
      </c>
    </row>
    <row r="163" spans="2:17" ht="15" customHeight="1" x14ac:dyDescent="0.25">
      <c r="B163" s="434" t="str">
        <f>$B$98</f>
        <v>i = c</v>
      </c>
      <c r="C163" s="443">
        <v>148</v>
      </c>
      <c r="D163" s="529">
        <v>-0.14000000000000001</v>
      </c>
      <c r="E163" s="536">
        <v>20</v>
      </c>
      <c r="F163" s="443">
        <v>40</v>
      </c>
      <c r="G163" s="529">
        <v>-0.37</v>
      </c>
      <c r="H163" s="536">
        <v>87</v>
      </c>
      <c r="I163" s="443">
        <v>12.5</v>
      </c>
      <c r="J163" s="529">
        <v>-0.28000000000000003</v>
      </c>
      <c r="K163" s="536">
        <v>61</v>
      </c>
      <c r="L163" s="443">
        <v>14</v>
      </c>
      <c r="M163" s="529">
        <v>-0.32</v>
      </c>
      <c r="N163" s="536">
        <v>73</v>
      </c>
      <c r="O163" s="443">
        <v>13</v>
      </c>
      <c r="P163" s="529">
        <v>-0.35</v>
      </c>
      <c r="Q163" s="536">
        <v>81</v>
      </c>
    </row>
    <row r="164" spans="2:17" ht="15" customHeight="1" x14ac:dyDescent="0.25">
      <c r="B164" s="434" t="str">
        <f>$B$99</f>
        <v>i = d</v>
      </c>
      <c r="C164" s="443">
        <v>872</v>
      </c>
      <c r="D164" s="529">
        <v>-0.11</v>
      </c>
      <c r="E164" s="536">
        <v>12</v>
      </c>
      <c r="F164" s="443">
        <v>450</v>
      </c>
      <c r="G164" s="529">
        <v>-0.12</v>
      </c>
      <c r="H164" s="536">
        <v>15</v>
      </c>
      <c r="I164" s="443">
        <v>110</v>
      </c>
      <c r="J164" s="529">
        <v>-0.1</v>
      </c>
      <c r="K164" s="536">
        <v>9</v>
      </c>
      <c r="L164" s="443">
        <v>150</v>
      </c>
      <c r="M164" s="529">
        <v>-0.1</v>
      </c>
      <c r="N164" s="536">
        <v>9</v>
      </c>
      <c r="O164" s="443">
        <v>168</v>
      </c>
      <c r="P164" s="529">
        <v>-0.1</v>
      </c>
      <c r="Q164" s="536">
        <v>9</v>
      </c>
    </row>
    <row r="165" spans="2:17" ht="15" customHeight="1" thickBot="1" x14ac:dyDescent="0.3">
      <c r="B165" s="435" t="str">
        <f>$B$100</f>
        <v>i = e</v>
      </c>
      <c r="C165" s="444">
        <v>10000</v>
      </c>
      <c r="D165" s="530">
        <v>-0.11</v>
      </c>
      <c r="E165" s="537">
        <v>12</v>
      </c>
      <c r="F165" s="444">
        <v>10000</v>
      </c>
      <c r="G165" s="530">
        <v>-0.12</v>
      </c>
      <c r="H165" s="537">
        <v>15</v>
      </c>
      <c r="I165" s="444">
        <v>10000</v>
      </c>
      <c r="J165" s="530">
        <v>-0.1</v>
      </c>
      <c r="K165" s="537">
        <v>9</v>
      </c>
      <c r="L165" s="444">
        <v>10000</v>
      </c>
      <c r="M165" s="530">
        <v>-0.1</v>
      </c>
      <c r="N165" s="537">
        <v>9</v>
      </c>
      <c r="O165" s="444">
        <v>10000</v>
      </c>
      <c r="P165" s="530">
        <v>-0.1</v>
      </c>
      <c r="Q165" s="537">
        <v>9</v>
      </c>
    </row>
    <row r="166" spans="2:17" ht="30" customHeight="1" x14ac:dyDescent="0.25">
      <c r="B166" s="429"/>
      <c r="C166" s="1724" t="str">
        <f>$C$108</f>
        <v>Inner rows, 2nd to 6th row from north -
1st-4th module</v>
      </c>
      <c r="D166" s="1725"/>
      <c r="E166" s="1726"/>
      <c r="F166" s="1724" t="str">
        <f>$C$108</f>
        <v>Inner rows, 2nd to 6th row from north -
1st-4th module</v>
      </c>
      <c r="G166" s="1725"/>
      <c r="H166" s="1726"/>
      <c r="I166" s="1724" t="str">
        <f>$C$108</f>
        <v>Inner rows, 2nd to 6th row from north -
1st-4th module</v>
      </c>
      <c r="J166" s="1725"/>
      <c r="K166" s="1726"/>
      <c r="L166" s="1724" t="str">
        <f>$C$108</f>
        <v>Inner rows, 2nd to 6th row from north -
1st-4th module</v>
      </c>
      <c r="M166" s="1725"/>
      <c r="N166" s="1726"/>
      <c r="O166" s="1724" t="str">
        <f>$C$108</f>
        <v>Inner rows, 2nd to 6th row from north -
1st-4th module</v>
      </c>
      <c r="P166" s="1725"/>
      <c r="Q166" s="1726"/>
    </row>
    <row r="167" spans="2:17" ht="15" customHeight="1" thickBot="1" x14ac:dyDescent="0.3">
      <c r="B167" s="430"/>
      <c r="C167" s="431" t="str">
        <f>$C$95</f>
        <v>An i</v>
      </c>
      <c r="D167" s="527" t="str">
        <f>$D$153</f>
        <v>cpML i</v>
      </c>
      <c r="E167" s="432" t="str">
        <f>$E$153</f>
        <v>mL i</v>
      </c>
      <c r="F167" s="431" t="str">
        <f>$C$95</f>
        <v>An i</v>
      </c>
      <c r="G167" s="527" t="str">
        <f>$D$153</f>
        <v>cpML i</v>
      </c>
      <c r="H167" s="432" t="str">
        <f>$E$153</f>
        <v>mL i</v>
      </c>
      <c r="I167" s="431" t="str">
        <f>$C$95</f>
        <v>An i</v>
      </c>
      <c r="J167" s="527" t="str">
        <f>$D$153</f>
        <v>cpML i</v>
      </c>
      <c r="K167" s="432" t="str">
        <f>$E$153</f>
        <v>mL i</v>
      </c>
      <c r="L167" s="431" t="str">
        <f>$C$95</f>
        <v>An i</v>
      </c>
      <c r="M167" s="527" t="str">
        <f>$D$153</f>
        <v>cpML i</v>
      </c>
      <c r="N167" s="432" t="str">
        <f>$E$153</f>
        <v>mL i</v>
      </c>
      <c r="O167" s="431" t="str">
        <f>$C$95</f>
        <v>An i</v>
      </c>
      <c r="P167" s="527" t="str">
        <f>$D$153</f>
        <v>cpML i</v>
      </c>
      <c r="Q167" s="432" t="str">
        <f>$E$153</f>
        <v>mL i</v>
      </c>
    </row>
    <row r="168" spans="2:17" ht="15" customHeight="1" x14ac:dyDescent="0.25">
      <c r="B168" s="433" t="str">
        <f>$B$96</f>
        <v>i = a</v>
      </c>
      <c r="C168" s="442">
        <v>1</v>
      </c>
      <c r="D168" s="528">
        <v>-0.92</v>
      </c>
      <c r="E168" s="535">
        <v>246</v>
      </c>
      <c r="F168" s="442">
        <v>1</v>
      </c>
      <c r="G168" s="528">
        <v>-0.48</v>
      </c>
      <c r="H168" s="535">
        <v>119</v>
      </c>
      <c r="I168" s="442">
        <v>1</v>
      </c>
      <c r="J168" s="528">
        <v>-0.32</v>
      </c>
      <c r="K168" s="535">
        <v>73</v>
      </c>
      <c r="L168" s="442">
        <v>1</v>
      </c>
      <c r="M168" s="528">
        <v>-0.28000000000000003</v>
      </c>
      <c r="N168" s="535">
        <v>61</v>
      </c>
      <c r="O168" s="442">
        <v>1</v>
      </c>
      <c r="P168" s="528">
        <v>-0.24</v>
      </c>
      <c r="Q168" s="535">
        <v>49</v>
      </c>
    </row>
    <row r="169" spans="2:17" ht="15" customHeight="1" x14ac:dyDescent="0.25">
      <c r="B169" s="434" t="str">
        <f>$B$97</f>
        <v>i = b</v>
      </c>
      <c r="C169" s="443">
        <v>13</v>
      </c>
      <c r="D169" s="529">
        <v>-0.35</v>
      </c>
      <c r="E169" s="536">
        <v>81</v>
      </c>
      <c r="F169" s="443">
        <v>6</v>
      </c>
      <c r="G169" s="529">
        <v>-0.34</v>
      </c>
      <c r="H169" s="536">
        <v>78</v>
      </c>
      <c r="I169" s="443">
        <v>6</v>
      </c>
      <c r="J169" s="529">
        <v>-0.28000000000000003</v>
      </c>
      <c r="K169" s="536">
        <v>61</v>
      </c>
      <c r="L169" s="443">
        <v>7</v>
      </c>
      <c r="M169" s="529">
        <v>-0.2</v>
      </c>
      <c r="N169" s="536">
        <v>38</v>
      </c>
      <c r="O169" s="443">
        <v>7</v>
      </c>
      <c r="P169" s="529">
        <v>-0.2</v>
      </c>
      <c r="Q169" s="536">
        <v>38</v>
      </c>
    </row>
    <row r="170" spans="2:17" ht="15" customHeight="1" x14ac:dyDescent="0.25">
      <c r="B170" s="434" t="str">
        <f>$B$98</f>
        <v>i = c</v>
      </c>
      <c r="C170" s="443">
        <v>140</v>
      </c>
      <c r="D170" s="529">
        <v>-0.15</v>
      </c>
      <c r="E170" s="536">
        <v>23</v>
      </c>
      <c r="F170" s="443">
        <v>15</v>
      </c>
      <c r="G170" s="529">
        <v>-0.22</v>
      </c>
      <c r="H170" s="536">
        <v>44</v>
      </c>
      <c r="I170" s="443">
        <v>28</v>
      </c>
      <c r="J170" s="529">
        <v>-0.17</v>
      </c>
      <c r="K170" s="536">
        <v>29</v>
      </c>
      <c r="L170" s="443">
        <v>14</v>
      </c>
      <c r="M170" s="529">
        <v>-0.12</v>
      </c>
      <c r="N170" s="536">
        <v>15</v>
      </c>
      <c r="O170" s="443">
        <v>15</v>
      </c>
      <c r="P170" s="529">
        <v>-0.1</v>
      </c>
      <c r="Q170" s="536">
        <v>9</v>
      </c>
    </row>
    <row r="171" spans="2:17" ht="15" customHeight="1" x14ac:dyDescent="0.25">
      <c r="B171" s="434" t="str">
        <f>$B$99</f>
        <v>i = d</v>
      </c>
      <c r="C171" s="443">
        <v>872</v>
      </c>
      <c r="D171" s="529">
        <v>-0.11</v>
      </c>
      <c r="E171" s="536">
        <v>12</v>
      </c>
      <c r="F171" s="443">
        <v>738</v>
      </c>
      <c r="G171" s="529">
        <v>-0.12</v>
      </c>
      <c r="H171" s="536">
        <v>15</v>
      </c>
      <c r="I171" s="443">
        <v>95</v>
      </c>
      <c r="J171" s="529">
        <v>-0.1</v>
      </c>
      <c r="K171" s="536">
        <v>9</v>
      </c>
      <c r="L171" s="443">
        <v>148</v>
      </c>
      <c r="M171" s="529">
        <v>-0.1</v>
      </c>
      <c r="N171" s="536">
        <v>9</v>
      </c>
      <c r="O171" s="443">
        <v>15</v>
      </c>
      <c r="P171" s="529">
        <v>-0.1</v>
      </c>
      <c r="Q171" s="536">
        <v>9</v>
      </c>
    </row>
    <row r="172" spans="2:17" ht="15" customHeight="1" thickBot="1" x14ac:dyDescent="0.3">
      <c r="B172" s="435" t="str">
        <f>$B$100</f>
        <v>i = e</v>
      </c>
      <c r="C172" s="444">
        <v>10000</v>
      </c>
      <c r="D172" s="530">
        <v>-0.11</v>
      </c>
      <c r="E172" s="537">
        <v>12</v>
      </c>
      <c r="F172" s="444">
        <v>10000</v>
      </c>
      <c r="G172" s="530">
        <v>-0.12</v>
      </c>
      <c r="H172" s="537">
        <v>15</v>
      </c>
      <c r="I172" s="444">
        <v>10000</v>
      </c>
      <c r="J172" s="530">
        <v>-0.1</v>
      </c>
      <c r="K172" s="537">
        <v>9</v>
      </c>
      <c r="L172" s="444">
        <v>10000</v>
      </c>
      <c r="M172" s="530">
        <v>-0.1</v>
      </c>
      <c r="N172" s="537">
        <v>9</v>
      </c>
      <c r="O172" s="444">
        <v>10000</v>
      </c>
      <c r="P172" s="530">
        <v>-0.1</v>
      </c>
      <c r="Q172" s="537">
        <v>9</v>
      </c>
    </row>
    <row r="173" spans="2:17" ht="30" customHeight="1" x14ac:dyDescent="0.25">
      <c r="B173" s="429"/>
      <c r="C173" s="1724" t="str">
        <f>$C$115</f>
        <v>Inner rows, 2nd to 6th row from north -
Interior modules</v>
      </c>
      <c r="D173" s="1725"/>
      <c r="E173" s="1726"/>
      <c r="F173" s="1724" t="str">
        <f>$C$115</f>
        <v>Inner rows, 2nd to 6th row from north -
Interior modules</v>
      </c>
      <c r="G173" s="1725"/>
      <c r="H173" s="1726"/>
      <c r="I173" s="1724" t="str">
        <f>$C$115</f>
        <v>Inner rows, 2nd to 6th row from north -
Interior modules</v>
      </c>
      <c r="J173" s="1725"/>
      <c r="K173" s="1726"/>
      <c r="L173" s="1724" t="str">
        <f>$C$115</f>
        <v>Inner rows, 2nd to 6th row from north -
Interior modules</v>
      </c>
      <c r="M173" s="1725"/>
      <c r="N173" s="1726"/>
      <c r="O173" s="1724" t="str">
        <f>$C$115</f>
        <v>Inner rows, 2nd to 6th row from north -
Interior modules</v>
      </c>
      <c r="P173" s="1725"/>
      <c r="Q173" s="1726"/>
    </row>
    <row r="174" spans="2:17" ht="15" customHeight="1" thickBot="1" x14ac:dyDescent="0.3">
      <c r="B174" s="430"/>
      <c r="C174" s="431" t="str">
        <f>$C$95</f>
        <v>An i</v>
      </c>
      <c r="D174" s="527" t="str">
        <f>$D$153</f>
        <v>cpML i</v>
      </c>
      <c r="E174" s="432" t="str">
        <f>$E$153</f>
        <v>mL i</v>
      </c>
      <c r="F174" s="431" t="str">
        <f>$C$95</f>
        <v>An i</v>
      </c>
      <c r="G174" s="527" t="str">
        <f>$D$153</f>
        <v>cpML i</v>
      </c>
      <c r="H174" s="432" t="str">
        <f>$E$153</f>
        <v>mL i</v>
      </c>
      <c r="I174" s="431" t="str">
        <f>$C$95</f>
        <v>An i</v>
      </c>
      <c r="J174" s="527" t="str">
        <f>$D$153</f>
        <v>cpML i</v>
      </c>
      <c r="K174" s="432" t="str">
        <f>$E$153</f>
        <v>mL i</v>
      </c>
      <c r="L174" s="431" t="str">
        <f>$C$95</f>
        <v>An i</v>
      </c>
      <c r="M174" s="527" t="str">
        <f>$D$153</f>
        <v>cpML i</v>
      </c>
      <c r="N174" s="432" t="str">
        <f>$E$153</f>
        <v>mL i</v>
      </c>
      <c r="O174" s="431" t="str">
        <f>$C$95</f>
        <v>An i</v>
      </c>
      <c r="P174" s="527" t="str">
        <f>$D$153</f>
        <v>cpML i</v>
      </c>
      <c r="Q174" s="432" t="str">
        <f>$E$153</f>
        <v>mL i</v>
      </c>
    </row>
    <row r="175" spans="2:17" ht="15" customHeight="1" x14ac:dyDescent="0.25">
      <c r="B175" s="433" t="str">
        <f>$B$96</f>
        <v>i = a</v>
      </c>
      <c r="C175" s="442">
        <v>1</v>
      </c>
      <c r="D175" s="528">
        <v>-0.43</v>
      </c>
      <c r="E175" s="535">
        <v>104</v>
      </c>
      <c r="F175" s="442">
        <v>1</v>
      </c>
      <c r="G175" s="528">
        <v>-0.48</v>
      </c>
      <c r="H175" s="535">
        <v>119</v>
      </c>
      <c r="I175" s="442">
        <v>1</v>
      </c>
      <c r="J175" s="528">
        <v>-0.21</v>
      </c>
      <c r="K175" s="535">
        <v>41</v>
      </c>
      <c r="L175" s="442">
        <v>1</v>
      </c>
      <c r="M175" s="528">
        <v>-0.27</v>
      </c>
      <c r="N175" s="535">
        <v>58</v>
      </c>
      <c r="O175" s="442">
        <v>1</v>
      </c>
      <c r="P175" s="528">
        <v>-0.23</v>
      </c>
      <c r="Q175" s="535">
        <v>47</v>
      </c>
    </row>
    <row r="176" spans="2:17" ht="15" customHeight="1" x14ac:dyDescent="0.25">
      <c r="B176" s="434" t="str">
        <f>$B$97</f>
        <v>i = b</v>
      </c>
      <c r="C176" s="443">
        <v>55</v>
      </c>
      <c r="D176" s="529">
        <v>-0.14000000000000001</v>
      </c>
      <c r="E176" s="536">
        <v>20</v>
      </c>
      <c r="F176" s="443">
        <v>6.5</v>
      </c>
      <c r="G176" s="529">
        <v>-0.4</v>
      </c>
      <c r="H176" s="536">
        <v>96</v>
      </c>
      <c r="I176" s="443">
        <v>5</v>
      </c>
      <c r="J176" s="529">
        <v>-0.2</v>
      </c>
      <c r="K176" s="536">
        <v>38</v>
      </c>
      <c r="L176" s="443">
        <v>7</v>
      </c>
      <c r="M176" s="529">
        <v>-0.2</v>
      </c>
      <c r="N176" s="536">
        <v>38</v>
      </c>
      <c r="O176" s="443">
        <v>7</v>
      </c>
      <c r="P176" s="529">
        <v>-0.21</v>
      </c>
      <c r="Q176" s="536">
        <v>41</v>
      </c>
    </row>
    <row r="177" spans="2:17" ht="15" customHeight="1" x14ac:dyDescent="0.25">
      <c r="B177" s="434" t="str">
        <f>$B$98</f>
        <v>i = c</v>
      </c>
      <c r="C177" s="443">
        <v>218</v>
      </c>
      <c r="D177" s="529">
        <v>-0.14000000000000001</v>
      </c>
      <c r="E177" s="536">
        <v>20</v>
      </c>
      <c r="F177" s="443">
        <v>13</v>
      </c>
      <c r="G177" s="529">
        <v>-0.22</v>
      </c>
      <c r="H177" s="536">
        <v>44</v>
      </c>
      <c r="I177" s="443">
        <v>10</v>
      </c>
      <c r="J177" s="529">
        <v>-0.17</v>
      </c>
      <c r="K177" s="536">
        <v>29</v>
      </c>
      <c r="L177" s="443">
        <v>14</v>
      </c>
      <c r="M177" s="529">
        <v>-0.11</v>
      </c>
      <c r="N177" s="536">
        <v>12</v>
      </c>
      <c r="O177" s="443">
        <v>15</v>
      </c>
      <c r="P177" s="529">
        <v>-0.1</v>
      </c>
      <c r="Q177" s="536">
        <v>9</v>
      </c>
    </row>
    <row r="178" spans="2:17" ht="15" customHeight="1" x14ac:dyDescent="0.25">
      <c r="B178" s="434" t="str">
        <f>$B$99</f>
        <v>i = d</v>
      </c>
      <c r="C178" s="443">
        <v>872</v>
      </c>
      <c r="D178" s="529">
        <v>-0.11</v>
      </c>
      <c r="E178" s="536">
        <v>12</v>
      </c>
      <c r="F178" s="443">
        <v>738</v>
      </c>
      <c r="G178" s="529">
        <v>-0.12</v>
      </c>
      <c r="H178" s="536">
        <v>15</v>
      </c>
      <c r="I178" s="443">
        <v>27</v>
      </c>
      <c r="J178" s="529">
        <v>-0.1</v>
      </c>
      <c r="K178" s="536">
        <v>9</v>
      </c>
      <c r="L178" s="443">
        <v>148</v>
      </c>
      <c r="M178" s="529">
        <v>-0.1</v>
      </c>
      <c r="N178" s="536">
        <v>9</v>
      </c>
      <c r="O178" s="443">
        <v>15</v>
      </c>
      <c r="P178" s="529">
        <v>-0.1</v>
      </c>
      <c r="Q178" s="536">
        <v>9</v>
      </c>
    </row>
    <row r="179" spans="2:17" ht="15" customHeight="1" thickBot="1" x14ac:dyDescent="0.3">
      <c r="B179" s="435" t="str">
        <f>$B$100</f>
        <v>i = e</v>
      </c>
      <c r="C179" s="444">
        <v>10000</v>
      </c>
      <c r="D179" s="530">
        <v>-0.11</v>
      </c>
      <c r="E179" s="537">
        <v>12</v>
      </c>
      <c r="F179" s="444">
        <v>10000</v>
      </c>
      <c r="G179" s="530">
        <v>-0.12</v>
      </c>
      <c r="H179" s="537">
        <v>15</v>
      </c>
      <c r="I179" s="444">
        <v>10000</v>
      </c>
      <c r="J179" s="530">
        <v>-0.1</v>
      </c>
      <c r="K179" s="537">
        <v>9</v>
      </c>
      <c r="L179" s="444">
        <v>10000</v>
      </c>
      <c r="M179" s="530">
        <v>-0.1</v>
      </c>
      <c r="N179" s="537">
        <v>9</v>
      </c>
      <c r="O179" s="444">
        <v>10000</v>
      </c>
      <c r="P179" s="530">
        <v>-0.1</v>
      </c>
      <c r="Q179" s="537">
        <v>9</v>
      </c>
    </row>
    <row r="180" spans="2:17" ht="30" customHeight="1" x14ac:dyDescent="0.25">
      <c r="B180" s="429"/>
      <c r="C180" s="1724" t="str">
        <f>$C$122</f>
        <v>Inner rows, from 7th row from north -
1st-4th module</v>
      </c>
      <c r="D180" s="1725"/>
      <c r="E180" s="1726"/>
      <c r="F180" s="1724" t="str">
        <f>$C$122</f>
        <v>Inner rows, from 7th row from north -
1st-4th module</v>
      </c>
      <c r="G180" s="1725"/>
      <c r="H180" s="1726"/>
      <c r="I180" s="1724" t="str">
        <f>$C$122</f>
        <v>Inner rows, from 7th row from north -
1st-4th module</v>
      </c>
      <c r="J180" s="1725"/>
      <c r="K180" s="1726"/>
      <c r="L180" s="1724" t="str">
        <f>$C$122</f>
        <v>Inner rows, from 7th row from north -
1st-4th module</v>
      </c>
      <c r="M180" s="1725"/>
      <c r="N180" s="1726"/>
      <c r="O180" s="1724" t="str">
        <f>$C$122</f>
        <v>Inner rows, from 7th row from north -
1st-4th module</v>
      </c>
      <c r="P180" s="1725"/>
      <c r="Q180" s="1726"/>
    </row>
    <row r="181" spans="2:17" ht="15" customHeight="1" thickBot="1" x14ac:dyDescent="0.3">
      <c r="B181" s="430"/>
      <c r="C181" s="431" t="str">
        <f>$C$95</f>
        <v>An i</v>
      </c>
      <c r="D181" s="527" t="str">
        <f>$D$153</f>
        <v>cpML i</v>
      </c>
      <c r="E181" s="432" t="str">
        <f>$E$153</f>
        <v>mL i</v>
      </c>
      <c r="F181" s="431" t="str">
        <f>$C$95</f>
        <v>An i</v>
      </c>
      <c r="G181" s="527" t="str">
        <f>$D$153</f>
        <v>cpML i</v>
      </c>
      <c r="H181" s="432" t="str">
        <f>$E$153</f>
        <v>mL i</v>
      </c>
      <c r="I181" s="431" t="str">
        <f>$C$95</f>
        <v>An i</v>
      </c>
      <c r="J181" s="527" t="str">
        <f>$D$153</f>
        <v>cpML i</v>
      </c>
      <c r="K181" s="432" t="str">
        <f>$E$153</f>
        <v>mL i</v>
      </c>
      <c r="L181" s="431" t="str">
        <f>$C$95</f>
        <v>An i</v>
      </c>
      <c r="M181" s="527" t="str">
        <f>$D$153</f>
        <v>cpML i</v>
      </c>
      <c r="N181" s="432" t="str">
        <f>$E$153</f>
        <v>mL i</v>
      </c>
      <c r="O181" s="431" t="str">
        <f>$C$95</f>
        <v>An i</v>
      </c>
      <c r="P181" s="527" t="str">
        <f>$D$153</f>
        <v>cpML i</v>
      </c>
      <c r="Q181" s="432" t="str">
        <f>$E$153</f>
        <v>mL i</v>
      </c>
    </row>
    <row r="182" spans="2:17" ht="15" customHeight="1" x14ac:dyDescent="0.25">
      <c r="B182" s="433" t="str">
        <f>$B$96</f>
        <v>i = a</v>
      </c>
      <c r="C182" s="442">
        <v>1</v>
      </c>
      <c r="D182" s="528">
        <v>-1.07</v>
      </c>
      <c r="E182" s="535">
        <v>289</v>
      </c>
      <c r="F182" s="442">
        <v>1</v>
      </c>
      <c r="G182" s="528">
        <v>-0.4</v>
      </c>
      <c r="H182" s="535">
        <v>96</v>
      </c>
      <c r="I182" s="442">
        <v>1</v>
      </c>
      <c r="J182" s="528">
        <v>-0.4</v>
      </c>
      <c r="K182" s="535">
        <v>96</v>
      </c>
      <c r="L182" s="442">
        <v>1</v>
      </c>
      <c r="M182" s="528">
        <v>-0.27</v>
      </c>
      <c r="N182" s="535">
        <v>58</v>
      </c>
      <c r="O182" s="442">
        <v>1</v>
      </c>
      <c r="P182" s="528">
        <v>-0.22</v>
      </c>
      <c r="Q182" s="535">
        <v>44</v>
      </c>
    </row>
    <row r="183" spans="2:17" ht="15" customHeight="1" x14ac:dyDescent="0.25">
      <c r="B183" s="434" t="str">
        <f>$B$97</f>
        <v>i = b</v>
      </c>
      <c r="C183" s="443">
        <v>13</v>
      </c>
      <c r="D183" s="529">
        <v>-0.47</v>
      </c>
      <c r="E183" s="536">
        <v>116</v>
      </c>
      <c r="F183" s="443">
        <v>15</v>
      </c>
      <c r="G183" s="529">
        <v>-0.27</v>
      </c>
      <c r="H183" s="536">
        <v>58</v>
      </c>
      <c r="I183" s="443">
        <v>12.5</v>
      </c>
      <c r="J183" s="529">
        <v>-0.27</v>
      </c>
      <c r="K183" s="536">
        <v>58</v>
      </c>
      <c r="L183" s="443">
        <v>7</v>
      </c>
      <c r="M183" s="529">
        <v>-0.19</v>
      </c>
      <c r="N183" s="536">
        <v>35</v>
      </c>
      <c r="O183" s="443">
        <v>7</v>
      </c>
      <c r="P183" s="529">
        <v>-0.18</v>
      </c>
      <c r="Q183" s="536">
        <v>32</v>
      </c>
    </row>
    <row r="184" spans="2:17" ht="15" customHeight="1" x14ac:dyDescent="0.25">
      <c r="B184" s="434" t="str">
        <f>$B$98</f>
        <v>i = c</v>
      </c>
      <c r="C184" s="443">
        <v>140</v>
      </c>
      <c r="D184" s="529">
        <v>-0.19</v>
      </c>
      <c r="E184" s="536">
        <v>35</v>
      </c>
      <c r="F184" s="443">
        <v>22</v>
      </c>
      <c r="G184" s="529">
        <v>-0.21</v>
      </c>
      <c r="H184" s="536">
        <v>41</v>
      </c>
      <c r="I184" s="443">
        <v>27.5</v>
      </c>
      <c r="J184" s="529">
        <v>-0.22</v>
      </c>
      <c r="K184" s="536">
        <v>44</v>
      </c>
      <c r="L184" s="443">
        <v>50</v>
      </c>
      <c r="M184" s="529">
        <v>-0.12</v>
      </c>
      <c r="N184" s="536">
        <v>15</v>
      </c>
      <c r="O184" s="443">
        <v>110</v>
      </c>
      <c r="P184" s="529">
        <v>-0.1</v>
      </c>
      <c r="Q184" s="536">
        <v>9</v>
      </c>
    </row>
    <row r="185" spans="2:17" ht="15" customHeight="1" x14ac:dyDescent="0.25">
      <c r="B185" s="434" t="str">
        <f>$B$99</f>
        <v>i = d</v>
      </c>
      <c r="C185" s="443">
        <v>872</v>
      </c>
      <c r="D185" s="529">
        <v>-0.11</v>
      </c>
      <c r="E185" s="536">
        <v>12</v>
      </c>
      <c r="F185" s="443">
        <v>738</v>
      </c>
      <c r="G185" s="529">
        <v>-0.12</v>
      </c>
      <c r="H185" s="536">
        <v>15</v>
      </c>
      <c r="I185" s="443">
        <v>147</v>
      </c>
      <c r="J185" s="529">
        <v>-0.1</v>
      </c>
      <c r="K185" s="536">
        <v>9</v>
      </c>
      <c r="L185" s="443">
        <v>77</v>
      </c>
      <c r="M185" s="529">
        <v>-0.1</v>
      </c>
      <c r="N185" s="536">
        <v>9</v>
      </c>
      <c r="O185" s="443">
        <v>110</v>
      </c>
      <c r="P185" s="529">
        <v>-0.1</v>
      </c>
      <c r="Q185" s="536">
        <v>9</v>
      </c>
    </row>
    <row r="186" spans="2:17" ht="15" customHeight="1" thickBot="1" x14ac:dyDescent="0.3">
      <c r="B186" s="435" t="str">
        <f>$B$100</f>
        <v>i = e</v>
      </c>
      <c r="C186" s="444">
        <v>10000</v>
      </c>
      <c r="D186" s="530">
        <v>-0.11</v>
      </c>
      <c r="E186" s="537">
        <v>12</v>
      </c>
      <c r="F186" s="444">
        <v>10000</v>
      </c>
      <c r="G186" s="530">
        <v>-0.12</v>
      </c>
      <c r="H186" s="537">
        <v>15</v>
      </c>
      <c r="I186" s="444">
        <v>10000</v>
      </c>
      <c r="J186" s="530">
        <v>-0.1</v>
      </c>
      <c r="K186" s="537">
        <v>9</v>
      </c>
      <c r="L186" s="444">
        <v>10000</v>
      </c>
      <c r="M186" s="530">
        <v>-0.1</v>
      </c>
      <c r="N186" s="537">
        <v>9</v>
      </c>
      <c r="O186" s="444">
        <v>10000</v>
      </c>
      <c r="P186" s="530">
        <v>-0.1</v>
      </c>
      <c r="Q186" s="537">
        <v>9</v>
      </c>
    </row>
    <row r="187" spans="2:17" ht="30" customHeight="1" x14ac:dyDescent="0.25">
      <c r="B187" s="429"/>
      <c r="C187" s="1724" t="str">
        <f>$C$129</f>
        <v>Inner rows, from 7th row from north -
Interior modules</v>
      </c>
      <c r="D187" s="1725"/>
      <c r="E187" s="1726"/>
      <c r="F187" s="1724" t="str">
        <f>$C$129</f>
        <v>Inner rows, from 7th row from north -
Interior modules</v>
      </c>
      <c r="G187" s="1725"/>
      <c r="H187" s="1726"/>
      <c r="I187" s="1724" t="str">
        <f>$C$129</f>
        <v>Inner rows, from 7th row from north -
Interior modules</v>
      </c>
      <c r="J187" s="1725"/>
      <c r="K187" s="1726"/>
      <c r="L187" s="1724" t="str">
        <f>$C$129</f>
        <v>Inner rows, from 7th row from north -
Interior modules</v>
      </c>
      <c r="M187" s="1725"/>
      <c r="N187" s="1726"/>
      <c r="O187" s="1724" t="str">
        <f>$C$129</f>
        <v>Inner rows, from 7th row from north -
Interior modules</v>
      </c>
      <c r="P187" s="1725"/>
      <c r="Q187" s="1726"/>
    </row>
    <row r="188" spans="2:17" ht="15" customHeight="1" thickBot="1" x14ac:dyDescent="0.3">
      <c r="B188" s="430"/>
      <c r="C188" s="431" t="str">
        <f>$C$95</f>
        <v>An i</v>
      </c>
      <c r="D188" s="527" t="str">
        <f>$D$153</f>
        <v>cpML i</v>
      </c>
      <c r="E188" s="432" t="str">
        <f>$E$153</f>
        <v>mL i</v>
      </c>
      <c r="F188" s="431" t="str">
        <f>$C$95</f>
        <v>An i</v>
      </c>
      <c r="G188" s="527" t="str">
        <f>$D$153</f>
        <v>cpML i</v>
      </c>
      <c r="H188" s="432" t="str">
        <f>$E$153</f>
        <v>mL i</v>
      </c>
      <c r="I188" s="431" t="str">
        <f>$C$95</f>
        <v>An i</v>
      </c>
      <c r="J188" s="527" t="str">
        <f>$D$153</f>
        <v>cpML i</v>
      </c>
      <c r="K188" s="432" t="str">
        <f>$E$153</f>
        <v>mL i</v>
      </c>
      <c r="L188" s="431" t="str">
        <f>$C$95</f>
        <v>An i</v>
      </c>
      <c r="M188" s="527" t="str">
        <f>$D$153</f>
        <v>cpML i</v>
      </c>
      <c r="N188" s="432" t="str">
        <f>$E$153</f>
        <v>mL i</v>
      </c>
      <c r="O188" s="431" t="str">
        <f>$C$95</f>
        <v>An i</v>
      </c>
      <c r="P188" s="527" t="str">
        <f>$D$153</f>
        <v>cpML i</v>
      </c>
      <c r="Q188" s="432" t="str">
        <f>$E$153</f>
        <v>mL i</v>
      </c>
    </row>
    <row r="189" spans="2:17" ht="15" customHeight="1" x14ac:dyDescent="0.25">
      <c r="B189" s="433" t="str">
        <f>$B$96</f>
        <v>i = a</v>
      </c>
      <c r="C189" s="442">
        <v>1</v>
      </c>
      <c r="D189" s="528">
        <v>-0.66</v>
      </c>
      <c r="E189" s="535">
        <v>171</v>
      </c>
      <c r="F189" s="442">
        <v>1</v>
      </c>
      <c r="G189" s="528">
        <v>-0.49</v>
      </c>
      <c r="H189" s="535">
        <v>122</v>
      </c>
      <c r="I189" s="442">
        <v>1</v>
      </c>
      <c r="J189" s="528">
        <v>-0.26</v>
      </c>
      <c r="K189" s="535">
        <v>55</v>
      </c>
      <c r="L189" s="442">
        <v>1</v>
      </c>
      <c r="M189" s="528">
        <v>-0.24</v>
      </c>
      <c r="N189" s="535">
        <v>49</v>
      </c>
      <c r="O189" s="442">
        <v>1</v>
      </c>
      <c r="P189" s="528">
        <v>-0.23</v>
      </c>
      <c r="Q189" s="535">
        <v>47</v>
      </c>
    </row>
    <row r="190" spans="2:17" ht="15" customHeight="1" x14ac:dyDescent="0.25">
      <c r="B190" s="434" t="str">
        <f>$B$97</f>
        <v>i = b</v>
      </c>
      <c r="C190" s="443">
        <v>33</v>
      </c>
      <c r="D190" s="529">
        <v>-0.26</v>
      </c>
      <c r="E190" s="536">
        <v>55</v>
      </c>
      <c r="F190" s="443">
        <v>7.5</v>
      </c>
      <c r="G190" s="529">
        <v>-0.38</v>
      </c>
      <c r="H190" s="536">
        <v>90</v>
      </c>
      <c r="I190" s="443">
        <v>6</v>
      </c>
      <c r="J190" s="529">
        <v>-0.18</v>
      </c>
      <c r="K190" s="536">
        <v>32</v>
      </c>
      <c r="L190" s="443">
        <v>7</v>
      </c>
      <c r="M190" s="529">
        <v>-0.18</v>
      </c>
      <c r="N190" s="536">
        <v>32</v>
      </c>
      <c r="O190" s="443">
        <v>7</v>
      </c>
      <c r="P190" s="529">
        <v>-0.18</v>
      </c>
      <c r="Q190" s="536">
        <v>32</v>
      </c>
    </row>
    <row r="191" spans="2:17" ht="15" customHeight="1" x14ac:dyDescent="0.25">
      <c r="B191" s="434" t="str">
        <f>$B$98</f>
        <v>i = c</v>
      </c>
      <c r="C191" s="443">
        <v>200</v>
      </c>
      <c r="D191" s="529">
        <v>-0.14000000000000001</v>
      </c>
      <c r="E191" s="536">
        <v>20</v>
      </c>
      <c r="F191" s="443">
        <v>130</v>
      </c>
      <c r="G191" s="529">
        <v>-0.17</v>
      </c>
      <c r="H191" s="536">
        <v>29</v>
      </c>
      <c r="I191" s="443">
        <v>20.5</v>
      </c>
      <c r="J191" s="529">
        <v>-0.16</v>
      </c>
      <c r="K191" s="536">
        <v>26</v>
      </c>
      <c r="L191" s="443">
        <v>87</v>
      </c>
      <c r="M191" s="529">
        <v>-0.1</v>
      </c>
      <c r="N191" s="536">
        <v>9</v>
      </c>
      <c r="O191" s="443">
        <v>110</v>
      </c>
      <c r="P191" s="529">
        <v>-0.1</v>
      </c>
      <c r="Q191" s="536">
        <v>9</v>
      </c>
    </row>
    <row r="192" spans="2:17" ht="15" customHeight="1" x14ac:dyDescent="0.25">
      <c r="B192" s="434" t="str">
        <f>$B$99</f>
        <v>i = d</v>
      </c>
      <c r="C192" s="443">
        <v>872</v>
      </c>
      <c r="D192" s="529">
        <v>-0.11</v>
      </c>
      <c r="E192" s="536">
        <v>12</v>
      </c>
      <c r="F192" s="443">
        <v>738</v>
      </c>
      <c r="G192" s="529">
        <v>-0.12</v>
      </c>
      <c r="H192" s="536">
        <v>15</v>
      </c>
      <c r="I192" s="443">
        <v>100</v>
      </c>
      <c r="J192" s="529">
        <v>-0.1</v>
      </c>
      <c r="K192" s="536">
        <v>9</v>
      </c>
      <c r="L192" s="443">
        <v>87</v>
      </c>
      <c r="M192" s="529">
        <v>-0.1</v>
      </c>
      <c r="N192" s="536">
        <v>9</v>
      </c>
      <c r="O192" s="443">
        <v>110</v>
      </c>
      <c r="P192" s="529">
        <v>-0.1</v>
      </c>
      <c r="Q192" s="536">
        <v>9</v>
      </c>
    </row>
    <row r="193" spans="2:17" ht="15" customHeight="1" thickBot="1" x14ac:dyDescent="0.3">
      <c r="B193" s="435" t="str">
        <f>$B$100</f>
        <v>i = e</v>
      </c>
      <c r="C193" s="444">
        <v>10000</v>
      </c>
      <c r="D193" s="530">
        <v>-0.11</v>
      </c>
      <c r="E193" s="537">
        <v>12</v>
      </c>
      <c r="F193" s="444">
        <v>10000</v>
      </c>
      <c r="G193" s="530">
        <v>-0.12</v>
      </c>
      <c r="H193" s="537">
        <v>15</v>
      </c>
      <c r="I193" s="444">
        <v>10000</v>
      </c>
      <c r="J193" s="530">
        <v>-0.1</v>
      </c>
      <c r="K193" s="537">
        <v>9</v>
      </c>
      <c r="L193" s="444">
        <v>10000</v>
      </c>
      <c r="M193" s="530">
        <v>-0.1</v>
      </c>
      <c r="N193" s="537">
        <v>9</v>
      </c>
      <c r="O193" s="444">
        <v>10000</v>
      </c>
      <c r="P193" s="530">
        <v>-0.1</v>
      </c>
      <c r="Q193" s="537">
        <v>9</v>
      </c>
    </row>
    <row r="194" spans="2:17" ht="15" customHeight="1" x14ac:dyDescent="0.25">
      <c r="B194" s="429"/>
      <c r="C194" s="1721" t="str">
        <f>$C$136</f>
        <v>South row - 1st-4th module</v>
      </c>
      <c r="D194" s="1722"/>
      <c r="E194" s="1723"/>
      <c r="F194" s="1721" t="str">
        <f>$C$136</f>
        <v>South row - 1st-4th module</v>
      </c>
      <c r="G194" s="1722"/>
      <c r="H194" s="1723"/>
      <c r="I194" s="1721" t="str">
        <f>$C$136</f>
        <v>South row - 1st-4th module</v>
      </c>
      <c r="J194" s="1722"/>
      <c r="K194" s="1723"/>
      <c r="L194" s="1721" t="str">
        <f>$C$136</f>
        <v>South row - 1st-4th module</v>
      </c>
      <c r="M194" s="1722"/>
      <c r="N194" s="1723"/>
      <c r="O194" s="1721" t="str">
        <f>$C$136</f>
        <v>South row - 1st-4th module</v>
      </c>
      <c r="P194" s="1722"/>
      <c r="Q194" s="1723"/>
    </row>
    <row r="195" spans="2:17" ht="15" customHeight="1" thickBot="1" x14ac:dyDescent="0.3">
      <c r="B195" s="430"/>
      <c r="C195" s="431" t="str">
        <f>$C$95</f>
        <v>An i</v>
      </c>
      <c r="D195" s="527" t="str">
        <f>$D$153</f>
        <v>cpML i</v>
      </c>
      <c r="E195" s="432" t="str">
        <f>$E$153</f>
        <v>mL i</v>
      </c>
      <c r="F195" s="431" t="str">
        <f>$C$95</f>
        <v>An i</v>
      </c>
      <c r="G195" s="527" t="str">
        <f>$D$153</f>
        <v>cpML i</v>
      </c>
      <c r="H195" s="432" t="str">
        <f>$E$153</f>
        <v>mL i</v>
      </c>
      <c r="I195" s="431" t="str">
        <f>$C$95</f>
        <v>An i</v>
      </c>
      <c r="J195" s="527" t="str">
        <f>$D$153</f>
        <v>cpML i</v>
      </c>
      <c r="K195" s="432" t="str">
        <f>$E$153</f>
        <v>mL i</v>
      </c>
      <c r="L195" s="431" t="str">
        <f>$C$95</f>
        <v>An i</v>
      </c>
      <c r="M195" s="527" t="str">
        <f>$D$153</f>
        <v>cpML i</v>
      </c>
      <c r="N195" s="432" t="str">
        <f>$E$153</f>
        <v>mL i</v>
      </c>
      <c r="O195" s="431" t="str">
        <f>$C$95</f>
        <v>An i</v>
      </c>
      <c r="P195" s="527" t="str">
        <f>$D$153</f>
        <v>cpML i</v>
      </c>
      <c r="Q195" s="432" t="str">
        <f>$E$153</f>
        <v>mL i</v>
      </c>
    </row>
    <row r="196" spans="2:17" ht="15" customHeight="1" x14ac:dyDescent="0.25">
      <c r="B196" s="433" t="str">
        <f>$B$96</f>
        <v>i = a</v>
      </c>
      <c r="C196" s="442">
        <v>1</v>
      </c>
      <c r="D196" s="528">
        <v>-0.49</v>
      </c>
      <c r="E196" s="535">
        <v>122</v>
      </c>
      <c r="F196" s="442">
        <v>1</v>
      </c>
      <c r="G196" s="528">
        <v>-0.36</v>
      </c>
      <c r="H196" s="535">
        <v>84</v>
      </c>
      <c r="I196" s="442">
        <v>1</v>
      </c>
      <c r="J196" s="528">
        <v>-0.28999999999999998</v>
      </c>
      <c r="K196" s="535">
        <v>64</v>
      </c>
      <c r="L196" s="442">
        <v>1</v>
      </c>
      <c r="M196" s="528">
        <v>-0.32</v>
      </c>
      <c r="N196" s="535">
        <v>73</v>
      </c>
      <c r="O196" s="442">
        <v>1</v>
      </c>
      <c r="P196" s="528">
        <v>-0.33</v>
      </c>
      <c r="Q196" s="535">
        <v>75</v>
      </c>
    </row>
    <row r="197" spans="2:17" ht="15" customHeight="1" x14ac:dyDescent="0.25">
      <c r="B197" s="434" t="str">
        <f>$B$97</f>
        <v>i = b</v>
      </c>
      <c r="C197" s="443">
        <v>12.5</v>
      </c>
      <c r="D197" s="529">
        <v>-0.33</v>
      </c>
      <c r="E197" s="536">
        <v>75</v>
      </c>
      <c r="F197" s="443">
        <v>12</v>
      </c>
      <c r="G197" s="529">
        <v>-0.16</v>
      </c>
      <c r="H197" s="536">
        <v>26</v>
      </c>
      <c r="I197" s="443">
        <v>10</v>
      </c>
      <c r="J197" s="529">
        <v>-0.19</v>
      </c>
      <c r="K197" s="536">
        <v>35</v>
      </c>
      <c r="L197" s="443">
        <v>7</v>
      </c>
      <c r="M197" s="529">
        <v>-0.16</v>
      </c>
      <c r="N197" s="536">
        <v>26</v>
      </c>
      <c r="O197" s="443">
        <v>7</v>
      </c>
      <c r="P197" s="529">
        <v>-0.15</v>
      </c>
      <c r="Q197" s="536">
        <v>23</v>
      </c>
    </row>
    <row r="198" spans="2:17" ht="15" customHeight="1" x14ac:dyDescent="0.25">
      <c r="B198" s="434" t="str">
        <f>$B$98</f>
        <v>i = c</v>
      </c>
      <c r="C198" s="443">
        <v>120</v>
      </c>
      <c r="D198" s="529">
        <v>-0.16</v>
      </c>
      <c r="E198" s="536">
        <v>26</v>
      </c>
      <c r="F198" s="443">
        <v>184</v>
      </c>
      <c r="G198" s="529">
        <v>-0.16</v>
      </c>
      <c r="H198" s="536">
        <v>26</v>
      </c>
      <c r="I198" s="443">
        <v>77</v>
      </c>
      <c r="J198" s="529">
        <v>-0.13</v>
      </c>
      <c r="K198" s="536">
        <v>18</v>
      </c>
      <c r="L198" s="443">
        <v>7</v>
      </c>
      <c r="M198" s="529">
        <v>-0.16</v>
      </c>
      <c r="N198" s="536">
        <v>26</v>
      </c>
      <c r="O198" s="443">
        <v>30</v>
      </c>
      <c r="P198" s="529">
        <v>-0.1</v>
      </c>
      <c r="Q198" s="536">
        <v>9</v>
      </c>
    </row>
    <row r="199" spans="2:17" ht="15" customHeight="1" x14ac:dyDescent="0.25">
      <c r="B199" s="434" t="str">
        <f>$B$99</f>
        <v>i = d</v>
      </c>
      <c r="C199" s="443">
        <v>872</v>
      </c>
      <c r="D199" s="529">
        <v>-0.11</v>
      </c>
      <c r="E199" s="536">
        <v>12</v>
      </c>
      <c r="F199" s="443">
        <v>738</v>
      </c>
      <c r="G199" s="529">
        <v>-0.12</v>
      </c>
      <c r="H199" s="536">
        <v>15</v>
      </c>
      <c r="I199" s="443">
        <v>96</v>
      </c>
      <c r="J199" s="529">
        <v>-0.1</v>
      </c>
      <c r="K199" s="536">
        <v>9</v>
      </c>
      <c r="L199" s="443">
        <v>30</v>
      </c>
      <c r="M199" s="529">
        <v>-0.1</v>
      </c>
      <c r="N199" s="536">
        <v>9</v>
      </c>
      <c r="O199" s="443">
        <v>30</v>
      </c>
      <c r="P199" s="529">
        <v>-0.1</v>
      </c>
      <c r="Q199" s="536">
        <v>9</v>
      </c>
    </row>
    <row r="200" spans="2:17" ht="15" customHeight="1" thickBot="1" x14ac:dyDescent="0.3">
      <c r="B200" s="435" t="str">
        <f>$B$100</f>
        <v>i = e</v>
      </c>
      <c r="C200" s="444">
        <v>10000</v>
      </c>
      <c r="D200" s="530">
        <v>-0.11</v>
      </c>
      <c r="E200" s="537">
        <v>12</v>
      </c>
      <c r="F200" s="444">
        <v>10000</v>
      </c>
      <c r="G200" s="530">
        <v>-0.12</v>
      </c>
      <c r="H200" s="537">
        <v>15</v>
      </c>
      <c r="I200" s="444">
        <v>10000</v>
      </c>
      <c r="J200" s="530">
        <v>-0.1</v>
      </c>
      <c r="K200" s="537">
        <v>9</v>
      </c>
      <c r="L200" s="444">
        <v>10000</v>
      </c>
      <c r="M200" s="530">
        <v>-0.1</v>
      </c>
      <c r="N200" s="537">
        <v>9</v>
      </c>
      <c r="O200" s="444">
        <v>10000</v>
      </c>
      <c r="P200" s="530">
        <v>-0.1</v>
      </c>
      <c r="Q200" s="537">
        <v>9</v>
      </c>
    </row>
    <row r="201" spans="2:17" ht="15" customHeight="1" x14ac:dyDescent="0.25">
      <c r="B201" s="429"/>
      <c r="C201" s="1721" t="str">
        <f>$C$143</f>
        <v>South row - Interior modules</v>
      </c>
      <c r="D201" s="1722"/>
      <c r="E201" s="1723"/>
      <c r="F201" s="1721" t="str">
        <f>$C$143</f>
        <v>South row - Interior modules</v>
      </c>
      <c r="G201" s="1722"/>
      <c r="H201" s="1723"/>
      <c r="I201" s="1721" t="str">
        <f>$C$143</f>
        <v>South row - Interior modules</v>
      </c>
      <c r="J201" s="1722"/>
      <c r="K201" s="1723"/>
      <c r="L201" s="1721" t="str">
        <f>$C$143</f>
        <v>South row - Interior modules</v>
      </c>
      <c r="M201" s="1722"/>
      <c r="N201" s="1723"/>
      <c r="O201" s="1721" t="str">
        <f>$C$143</f>
        <v>South row - Interior modules</v>
      </c>
      <c r="P201" s="1722"/>
      <c r="Q201" s="1723"/>
    </row>
    <row r="202" spans="2:17" ht="15" customHeight="1" thickBot="1" x14ac:dyDescent="0.3">
      <c r="B202" s="430"/>
      <c r="C202" s="431" t="str">
        <f>$C$95</f>
        <v>An i</v>
      </c>
      <c r="D202" s="527" t="str">
        <f>$D$153</f>
        <v>cpML i</v>
      </c>
      <c r="E202" s="432" t="str">
        <f>$E$153</f>
        <v>mL i</v>
      </c>
      <c r="F202" s="431" t="str">
        <f>$C$95</f>
        <v>An i</v>
      </c>
      <c r="G202" s="527" t="str">
        <f>$D$153</f>
        <v>cpML i</v>
      </c>
      <c r="H202" s="432" t="str">
        <f>$E$153</f>
        <v>mL i</v>
      </c>
      <c r="I202" s="431" t="str">
        <f>$C$95</f>
        <v>An i</v>
      </c>
      <c r="J202" s="527" t="str">
        <f>$D$153</f>
        <v>cpML i</v>
      </c>
      <c r="K202" s="432" t="str">
        <f>$E$153</f>
        <v>mL i</v>
      </c>
      <c r="L202" s="431" t="str">
        <f>$C$95</f>
        <v>An i</v>
      </c>
      <c r="M202" s="527" t="str">
        <f>$D$153</f>
        <v>cpML i</v>
      </c>
      <c r="N202" s="432" t="str">
        <f>$E$153</f>
        <v>mL i</v>
      </c>
      <c r="O202" s="431" t="str">
        <f>$C$95</f>
        <v>An i</v>
      </c>
      <c r="P202" s="527" t="str">
        <f>$D$153</f>
        <v>cpML i</v>
      </c>
      <c r="Q202" s="432" t="str">
        <f>$E$153</f>
        <v>mL i</v>
      </c>
    </row>
    <row r="203" spans="2:17" ht="15" customHeight="1" x14ac:dyDescent="0.25">
      <c r="B203" s="433" t="str">
        <f>$B$96</f>
        <v>i = a</v>
      </c>
      <c r="C203" s="442">
        <v>1</v>
      </c>
      <c r="D203" s="528">
        <v>-0.47</v>
      </c>
      <c r="E203" s="535">
        <v>116</v>
      </c>
      <c r="F203" s="442">
        <v>1</v>
      </c>
      <c r="G203" s="528">
        <v>-0.31</v>
      </c>
      <c r="H203" s="535">
        <v>70</v>
      </c>
      <c r="I203" s="442">
        <v>1</v>
      </c>
      <c r="J203" s="528">
        <v>-0.26</v>
      </c>
      <c r="K203" s="535">
        <v>55</v>
      </c>
      <c r="L203" s="442">
        <v>1</v>
      </c>
      <c r="M203" s="528">
        <v>-0.18</v>
      </c>
      <c r="N203" s="535">
        <v>32</v>
      </c>
      <c r="O203" s="442">
        <v>1</v>
      </c>
      <c r="P203" s="528">
        <v>-0.18</v>
      </c>
      <c r="Q203" s="535">
        <v>32</v>
      </c>
    </row>
    <row r="204" spans="2:17" ht="15" customHeight="1" x14ac:dyDescent="0.25">
      <c r="B204" s="434" t="str">
        <f>$B$97</f>
        <v>i = b</v>
      </c>
      <c r="C204" s="443">
        <v>6</v>
      </c>
      <c r="D204" s="529">
        <v>-0.3</v>
      </c>
      <c r="E204" s="536">
        <v>67</v>
      </c>
      <c r="F204" s="443">
        <v>10</v>
      </c>
      <c r="G204" s="529">
        <v>-0.18</v>
      </c>
      <c r="H204" s="536">
        <v>32</v>
      </c>
      <c r="I204" s="443">
        <v>12.5</v>
      </c>
      <c r="J204" s="529">
        <v>-0.15</v>
      </c>
      <c r="K204" s="536">
        <v>23</v>
      </c>
      <c r="L204" s="443">
        <v>9</v>
      </c>
      <c r="M204" s="529">
        <v>-0.1</v>
      </c>
      <c r="N204" s="536">
        <v>9</v>
      </c>
      <c r="O204" s="443">
        <v>14</v>
      </c>
      <c r="P204" s="529">
        <v>-0.11</v>
      </c>
      <c r="Q204" s="536">
        <v>12</v>
      </c>
    </row>
    <row r="205" spans="2:17" ht="15" customHeight="1" x14ac:dyDescent="0.25">
      <c r="B205" s="434" t="str">
        <f>$B$98</f>
        <v>i = c</v>
      </c>
      <c r="C205" s="443">
        <v>147.5</v>
      </c>
      <c r="D205" s="529">
        <v>-0.16</v>
      </c>
      <c r="E205" s="536">
        <v>26</v>
      </c>
      <c r="F205" s="443">
        <v>184</v>
      </c>
      <c r="G205" s="529">
        <v>-0.16</v>
      </c>
      <c r="H205" s="536">
        <v>26</v>
      </c>
      <c r="I205" s="443">
        <v>28</v>
      </c>
      <c r="J205" s="529">
        <v>-0.13</v>
      </c>
      <c r="K205" s="536">
        <v>18</v>
      </c>
      <c r="L205" s="443">
        <v>9</v>
      </c>
      <c r="M205" s="529">
        <v>-0.1</v>
      </c>
      <c r="N205" s="536">
        <v>9</v>
      </c>
      <c r="O205" s="443">
        <v>30</v>
      </c>
      <c r="P205" s="529">
        <v>-0.1</v>
      </c>
      <c r="Q205" s="536">
        <v>9</v>
      </c>
    </row>
    <row r="206" spans="2:17" ht="15" customHeight="1" x14ac:dyDescent="0.25">
      <c r="B206" s="434" t="str">
        <f>$B$99</f>
        <v>i = d</v>
      </c>
      <c r="C206" s="443">
        <v>872</v>
      </c>
      <c r="D206" s="529">
        <v>-0.11</v>
      </c>
      <c r="E206" s="536">
        <v>12</v>
      </c>
      <c r="F206" s="443">
        <v>738</v>
      </c>
      <c r="G206" s="529">
        <v>-0.12</v>
      </c>
      <c r="H206" s="536">
        <v>15</v>
      </c>
      <c r="I206" s="443">
        <v>60</v>
      </c>
      <c r="J206" s="529">
        <v>-0.1</v>
      </c>
      <c r="K206" s="536">
        <v>9</v>
      </c>
      <c r="L206" s="443">
        <v>9</v>
      </c>
      <c r="M206" s="529">
        <v>-0.1</v>
      </c>
      <c r="N206" s="536">
        <v>9</v>
      </c>
      <c r="O206" s="443">
        <v>30</v>
      </c>
      <c r="P206" s="529">
        <v>-0.1</v>
      </c>
      <c r="Q206" s="536">
        <v>9</v>
      </c>
    </row>
    <row r="207" spans="2:17" ht="15" customHeight="1" thickBot="1" x14ac:dyDescent="0.3">
      <c r="B207" s="435" t="str">
        <f>$B$100</f>
        <v>i = e</v>
      </c>
      <c r="C207" s="444">
        <v>10000</v>
      </c>
      <c r="D207" s="530">
        <v>-0.11</v>
      </c>
      <c r="E207" s="537">
        <v>12</v>
      </c>
      <c r="F207" s="444">
        <v>10000</v>
      </c>
      <c r="G207" s="530">
        <v>-0.12</v>
      </c>
      <c r="H207" s="537">
        <v>15</v>
      </c>
      <c r="I207" s="444">
        <v>10000</v>
      </c>
      <c r="J207" s="530">
        <v>-0.1</v>
      </c>
      <c r="K207" s="537">
        <v>9</v>
      </c>
      <c r="L207" s="444">
        <v>10000</v>
      </c>
      <c r="M207" s="530">
        <v>-0.1</v>
      </c>
      <c r="N207" s="537">
        <v>9</v>
      </c>
      <c r="O207" s="444">
        <v>10000</v>
      </c>
      <c r="P207" s="530">
        <v>-0.1</v>
      </c>
      <c r="Q207" s="537">
        <v>9</v>
      </c>
    </row>
    <row r="210" spans="2:17" ht="15" customHeight="1" thickBot="1" x14ac:dyDescent="0.3">
      <c r="B210" s="143" t="s">
        <v>470</v>
      </c>
    </row>
    <row r="211" spans="2:17" ht="15" customHeight="1" thickBot="1" x14ac:dyDescent="0.3">
      <c r="D211" s="591"/>
      <c r="E211" s="592"/>
      <c r="F211" s="592" t="str">
        <f>$F$23</f>
        <v>Sliding</v>
      </c>
      <c r="G211" s="592"/>
      <c r="H211" s="592"/>
      <c r="I211" s="591"/>
      <c r="J211" s="592"/>
      <c r="K211" s="592" t="str">
        <f>$K$23</f>
        <v>Uplift</v>
      </c>
      <c r="L211" s="592"/>
      <c r="M211" s="593"/>
    </row>
    <row r="212" spans="2:17" ht="15" customHeight="1" thickBot="1" x14ac:dyDescent="0.3">
      <c r="D212" s="437" t="str">
        <f>$D$24</f>
        <v>Roof position 1</v>
      </c>
      <c r="E212" s="438" t="str">
        <f>$E$24</f>
        <v>Roof position 2</v>
      </c>
      <c r="F212" s="438" t="str">
        <f>$F$24</f>
        <v>Roof position 3</v>
      </c>
      <c r="G212" s="438" t="str">
        <f>$G$24</f>
        <v>Roof position 4</v>
      </c>
      <c r="H212" s="526" t="str">
        <f>$H$24</f>
        <v>Roof position 5</v>
      </c>
      <c r="I212" s="437" t="str">
        <f>$I$24</f>
        <v>Roof position 1</v>
      </c>
      <c r="J212" s="438" t="str">
        <f>$J$24</f>
        <v>Roof position 2</v>
      </c>
      <c r="K212" s="438" t="str">
        <f>$K$24</f>
        <v>Roof position 3</v>
      </c>
      <c r="L212" s="438" t="str">
        <f>$L$24</f>
        <v>Roof position 4</v>
      </c>
      <c r="M212" s="439" t="str">
        <f>$H$24</f>
        <v>Roof position 5</v>
      </c>
    </row>
    <row r="213" spans="2:17" ht="15" customHeight="1" thickBot="1" x14ac:dyDescent="0.3">
      <c r="B213" s="143"/>
      <c r="C213" s="231"/>
      <c r="D213" s="437" t="s">
        <v>60</v>
      </c>
      <c r="E213" s="438" t="s">
        <v>60</v>
      </c>
      <c r="F213" s="438" t="s">
        <v>60</v>
      </c>
      <c r="G213" s="438" t="s">
        <v>60</v>
      </c>
      <c r="H213" s="438" t="s">
        <v>60</v>
      </c>
      <c r="I213" s="437" t="s">
        <v>60</v>
      </c>
      <c r="J213" s="438" t="s">
        <v>60</v>
      </c>
      <c r="K213" s="438" t="s">
        <v>60</v>
      </c>
      <c r="L213" s="438" t="s">
        <v>60</v>
      </c>
      <c r="M213" s="439" t="s">
        <v>60</v>
      </c>
    </row>
    <row r="214" spans="2:17" ht="15" customHeight="1" thickBot="1" x14ac:dyDescent="0.3">
      <c r="B214" s="454" t="s">
        <v>471</v>
      </c>
      <c r="C214" s="953" t="s">
        <v>46</v>
      </c>
      <c r="D214" s="457">
        <f>IF(AND($G$19&gt;=0,$G$19&lt;=0.1),D215+(D216-D215)/(0.1-0)*($G$19-0),IF(AND($G$19&gt;0.1,$G$19&lt;=0.2),D216+(D217-D216)/(0.2-0.1)*($G$19-0.1),IF($G$19&gt;0.2,D217,"Fehler")))</f>
        <v>0.9800596934372352</v>
      </c>
      <c r="E214" s="458">
        <f t="shared" ref="E214:M214" si="25">IF(AND($G$19&gt;=0,$G$19&lt;=0.1),E215+(E216-E215)/(0.1-0)*($G$19-0),IF(AND($G$19&gt;0.1,$G$19&lt;=0.2),E216+(E217-E216)/(0.2-0.1)*($G$19-0.1),IF($G$19&gt;0.2,E217,"Fehler")))</f>
        <v>0.99826388888888884</v>
      </c>
      <c r="F214" s="458">
        <f t="shared" si="25"/>
        <v>1.0778860813223543</v>
      </c>
      <c r="G214" s="458">
        <f t="shared" si="25"/>
        <v>1.0029816548234822</v>
      </c>
      <c r="H214" s="458">
        <f t="shared" si="25"/>
        <v>0.98072356914283332</v>
      </c>
      <c r="I214" s="457">
        <f>IF(AND($G$19&gt;=0,$G$19&lt;=0.1),I215+(I216-I215)/(0.1-0)*($G$19-0),IF(AND($G$19&gt;0.1,$G$19&lt;=0.2),I216+(I217-I216)/(0.2-0.1)*($G$19-0.1),IF($G$19&gt;0.2,I217,"Fehler")))</f>
        <v>1.0086805555555556</v>
      </c>
      <c r="J214" s="458">
        <f t="shared" si="25"/>
        <v>1</v>
      </c>
      <c r="K214" s="458">
        <f t="shared" si="25"/>
        <v>1.1111111111111112</v>
      </c>
      <c r="L214" s="458">
        <f t="shared" si="25"/>
        <v>1.0243055555555556</v>
      </c>
      <c r="M214" s="459">
        <f t="shared" si="25"/>
        <v>0.98263888888888884</v>
      </c>
    </row>
    <row r="215" spans="2:17" ht="15" customHeight="1" x14ac:dyDescent="0.2">
      <c r="B215" s="1716" t="s">
        <v>472</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727"/>
      <c r="C216" s="450" t="s">
        <v>42</v>
      </c>
      <c r="D216" s="451">
        <f>IF($D$19&lt;C222,"Fehler",IF(AND($D$19&gt;=C222,$D$19&lt;C223),D222+(D223-D222)/(LOG(C223)-LOG(C222))*(LOG($D$19)-LOG(C222)),IF(AND($D$19&gt;=C223,$D$19&lt;C224),D223+(D224-D223)/(LOG(C224)-LOG(C223))*(LOG($D$19)-LOG(C223)),IF(AND($D$19&gt;=C224,$D$19&lt;C225),D224+(D225-D224)/(LOG(C225)-LOG(C224))*(LOG($D$19)-LOG(C224)),IF($D$19&gt;=C225,D225,"Fehler")))))</f>
        <v>0.88514383419847498</v>
      </c>
      <c r="E216" s="452">
        <f>IF($D$19&lt;E222,"Fehler",IF(AND($D$19&gt;=E222,$D$19&lt;E223),F222+(F223-F222)/(LOG(E223)-LOG(E222))*(LOG($D$19)-LOG(E222)),IF(AND($D$19&gt;=E223,$D$19&lt;E224),F223+(F224-F223)/(LOG(E224)-LOG(E223))*(LOG($D$19)-LOG(E223)),IF(AND($D$19&gt;=E224,$D$19&lt;E225),F224+(F225-F224)/(LOG(E225)-LOG(E224))*(LOG($D$19)-LOG(E224)),IF($D$19&gt;=E225,F225,"Fehler")))))</f>
        <v>0.99</v>
      </c>
      <c r="F216" s="452">
        <f>IF($D$19&lt;G222,"Fehler",IF(AND($D$19&gt;=G222,$D$19&lt;G223),H222+(H223-H222)/(LOG(G223)-LOG(G222))*(LOG($D$19)-LOG(G222)),IF(AND($D$19&gt;=G223,$D$19&lt;G224),H223+(H224-H223)/(LOG(G224)-LOG(G223))*(LOG($D$19)-LOG(G223)),IF(AND($D$19&gt;=G224,$D$19&lt;G225),H224+(H225-H224)/(LOG(G225)-LOG(G224))*(LOG($D$19)-LOG(G224)),IF($D$19&gt;=G225,H225,"Fehler")))))</f>
        <v>1.448623828416761</v>
      </c>
      <c r="G216" s="452">
        <f>IF($D$19&lt;I222,"Fehler",IF(AND($D$19&gt;=I222,$D$19&lt;I223),J222+(J223-J222)/(LOG(I223)-LOG(I222))*(LOG($D$19)-LOG(I222)),IF(AND($D$19&gt;=I223,$D$19&lt;I224),J223+(J224-J223)/(LOG(I224)-LOG(I223))*(LOG($D$19)-LOG(I223)),IF(AND($D$19&gt;=I224,$D$19&lt;I225),J224+(J225-J224)/(LOG(I225)-LOG(I224))*(LOG($D$19)-LOG(I224)),IF($D$19&gt;=I225,J225,"Fehler")))))</f>
        <v>1.0171743317832571</v>
      </c>
      <c r="H216" s="531">
        <f>IF($D$19&lt;K222,"Fehler",IF(AND($D$19&gt;=K222,$D$19&lt;K223),L222+(L223-L222)/(LOG(K223)-LOG(K222))*(LOG($D$19)-LOG(K222)),IF(AND($D$19&gt;=K223,$D$19&lt;K224),L223+(L224-L223)/(LOG(K224)-LOG(K223))*(LOG($D$19)-LOG(K223)),IF(AND($D$19&gt;=K224,$D$19&lt;K225),L224+(L225-L224)/(LOG(K225)-LOG(K224))*(LOG($D$19)-LOG(K224)),IF($D$19&gt;=K225,L225,"Fehler")))))</f>
        <v>0.88896775826271968</v>
      </c>
      <c r="I216" s="451">
        <f>IF($D$16&lt;C236,"Fehler",IF(AND($D$16&gt;=C236,$D$16&lt;C237),D236+(D237-D236)/(LOG(C237)-LOG(C236))*(LOG($D$16)-LOG(C236)),IF(AND($D$16&gt;=C237,$D$16&lt;C238),D237+(D238-D237)/(LOG(C238)-LOG(C237))*(LOG($D$16)-LOG(C237)),IF(AND($D$16&gt;=C238,$D$16&lt;C239),D238+(D239-D238)/(LOG(C239)-LOG(C238))*(LOG($D$16)-LOG(C238)),IF($D$16&gt;=C239,D239,"Fehler")))))</f>
        <v>1.05</v>
      </c>
      <c r="J216" s="452">
        <f>IF($D$16&lt;E236,"Fehler",IF(AND($D$16&gt;=E236,$D$16&lt;E237),F236+(F237-F236)/(LOG(E237)-LOG(E236))*(LOG($D$16)-LOG(E236)),IF(AND($D$16&gt;=E237,$D$16&lt;E238),F237+(F238-F237)/(LOG(E238)-LOG(E237))*(LOG($D$16)-LOG(E237)),IF(AND($D$16&gt;=E238,$D$16&lt;E239),F238+(F239-F238)/(LOG(E239)-LOG(E238))*(LOG($D$16)-LOG(E238)),IF($D$16&gt;=E239,F239,"Fehler")))))</f>
        <v>1</v>
      </c>
      <c r="K216" s="452">
        <f>IF($D$16&lt;G236,"Fehler",IF(AND($D$16&gt;=G236,$D$16&lt;G237),H236+(H237-H236)/(LOG(G237)-LOG(G236))*(LOG($D$16)-LOG(G236)),IF(AND($D$16&gt;=G237,$D$16&lt;G238),H237+(H238-H237)/(LOG(G238)-LOG(G237))*(LOG($D$16)-LOG(G237)),IF(AND($D$16&gt;=G238,$D$16&lt;G239),H238+(H239-H238)/(LOG(G239)-LOG(G238))*(LOG($D$16)-LOG(G238)),IF($D$16&gt;=G239,H239,"Fehler")))))</f>
        <v>1.64</v>
      </c>
      <c r="L216" s="452">
        <f>IF($D$16&lt;I236,"Fehler",IF(AND($D$16&gt;=I236,$D$16&lt;I237),J236+(J237-J236)/(LOG(I237)-LOG(I236))*(LOG($D$16)-LOG(I236)),IF(AND($D$16&gt;=I237,$D$16&lt;I238),J237+(J238-J237)/(LOG(I238)-LOG(I237))*(LOG($D$16)-LOG(I237)),IF(AND($D$16&gt;=I238,$D$16&lt;I239),J238+(J239-J238)/(LOG(I239)-LOG(I238))*(LOG($D$16)-LOG(I238)),IF($D$16&gt;=I239,J239,"Fehler")))))</f>
        <v>1.1399999999999999</v>
      </c>
      <c r="M216" s="453">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717"/>
      <c r="C217" s="278" t="s">
        <v>43</v>
      </c>
      <c r="D217" s="447">
        <f>IF($D$19&lt;C228,"Fehler",IF(AND($D$19&gt;=C228,$D$19&lt;C229),D228+(D229-D228)/(LOG(C229)-LOG(C228))*(LOG($D$19)-LOG(C228)),IF(AND($D$19&gt;=C229,$D$19&lt;C230),D229+(D230-D229)/(LOG(C230)-LOG(C229))*(LOG($D$19)-LOG(C229)),IF(AND($D$19&gt;=C230,$D$19&lt;C231),D230+(D231-D230)/(LOG(C231)-LOG(C230))*(LOG($D$19)-LOG(C230)),IF($D$19&gt;=C231,D231,"Fehler")))))</f>
        <v>0.73755887443834589</v>
      </c>
      <c r="E217" s="448">
        <f>IF($D$19&lt;E228,"Fehler",IF(AND($D$19&gt;=E228,$D$19&lt;E229),F228+(F229-F228)/(LOG(E229)-LOG(E228))*(LOG($D$19)-LOG(E228)),IF(AND($D$19&gt;=E229,$D$19&lt;E230),F229+(F230-F229)/(LOG(E230)-LOG(E229))*(LOG($D$19)-LOG(E229)),IF(AND($D$19&gt;=E230,$D$19&lt;E231),F230+(F231-F230)/(LOG(E231)-LOG(E230))*(LOG($D$19)-LOG(E230)),IF($D$19&gt;=E231,F231,"Fehler")))))</f>
        <v>0.92</v>
      </c>
      <c r="F217" s="448">
        <f>IF($D$19&lt;G228,"Fehler",IF(AND($D$19&gt;=G228,$D$19&lt;G229),H228+(H229-H228)/(LOG(G229)-LOG(G228))*(LOG($D$19)-LOG(G228)),IF(AND($D$19&gt;=G229,$D$19&lt;G230),H229+(H230-H229)/(LOG(G230)-LOG(G229))*(LOG($D$19)-LOG(G229)),IF(AND($D$19&gt;=G230,$D$19&lt;G231),H230+(H231-H230)/(LOG(G231)-LOG(G230))*(LOG($D$19)-LOG(G230)),IF($D$19&gt;=G231,H231,"Fehler")))))</f>
        <v>1.730476632394502</v>
      </c>
      <c r="G217" s="448">
        <f>IF($D$19&lt;I228,"Fehler",IF(AND($D$19&gt;=I228,$D$19&lt;I229),J228+(J229-J228)/(LOG(I229)-LOG(I228))*(LOG($D$19)-LOG(I228)),IF(AND($D$19&gt;=I229,$D$19&lt;I230),J229+(J230-J229)/(LOG(I230)-LOG(I229))*(LOG($D$19)-LOG(I229)),IF(AND($D$19&gt;=I230,$D$19&lt;I231),J230+(J231-J230)/(LOG(I231)-LOG(I230))*(LOG($D$19)-LOG(I230)),IF($D$19&gt;=I231,J231,"Fehler")))))</f>
        <v>1.4946203575723191</v>
      </c>
      <c r="H217" s="532">
        <f>IF($D$19&lt;K228,"Fehler",IF(AND($D$19&gt;=K228,$D$19&lt;K229),L228+(L229-L228)/(LOG(K229)-LOG(K228))*(LOG($D$19)-LOG(K228)),IF(AND($D$19&gt;=K229,$D$19&lt;K230),L229+(L230-L229)/(LOG(K230)-LOG(K229))*(LOG($D$19)-LOG(K229)),IF(AND($D$19&gt;=K230,$D$19&lt;K231),L230+(L231-L230)/(LOG(K231)-LOG(K230))*(LOG($D$19)-LOG(K230)),IF($D$19&gt;=K231,L231,"Fehler")))))</f>
        <v>1.0112260544091389</v>
      </c>
      <c r="I217" s="447">
        <f>IF($D$16&lt;C242,"Fehler",IF(AND($D$16&gt;=C242,$D$16&lt;C243),D242+(D243-D242)/(LOG(C243)-LOG(C242))*(LOG($D$16)-LOG(C242)),IF(AND($D$16&gt;=C243,$D$16&lt;C244),D243+(D244-D243)/(LOG(C244)-LOG(C243))*(LOG($D$16)-LOG(C243)),IF(AND($D$16&gt;=C244,$D$16&lt;C245),D244+(D245-D244)/(LOG(C245)-LOG(C244))*(LOG($D$16)-LOG(C244)),IF($D$16&gt;=C245,D245,"Fehler")))))</f>
        <v>0.79118069672419411</v>
      </c>
      <c r="J217" s="448">
        <f>IF($D$16&lt;E242,"Fehler",IF(AND($D$16&gt;=E242,$D$16&lt;E243),F242+(F243-F242)/(LOG(E243)-LOG(E242))*(LOG($D$16)-LOG(E242)),IF(AND($D$16&gt;=E243,$D$16&lt;E244),F243+(F244-F243)/(LOG(E244)-LOG(E243))*(LOG($D$16)-LOG(E243)),IF(AND($D$16&gt;=E244,$D$16&lt;E245),F244+(F245-F244)/(LOG(E245)-LOG(E244))*(LOG($D$16)-LOG(E244)),IF($D$16&gt;=E245,F245,"Fehler")))))</f>
        <v>0.92</v>
      </c>
      <c r="K217" s="448">
        <f>IF($D$16&lt;G242,"Fehler",IF(AND($D$16&gt;=G242,$D$16&lt;G243),H242+(H243-H242)/(LOG(G243)-LOG(G242))*(LOG($D$16)-LOG(G242)),IF(AND($D$16&gt;=G243,$D$16&lt;G244),H243+(H244-H243)/(LOG(G244)-LOG(G243))*(LOG($D$16)-LOG(G243)),IF(AND($D$16&gt;=G244,$D$16&lt;G245),H244+(H245-H244)/(LOG(G245)-LOG(G244))*(LOG($D$16)-LOG(G244)),IF($D$16&gt;=G245,H245,"Fehler")))))</f>
        <v>1.96</v>
      </c>
      <c r="L217" s="448">
        <f>IF($D$16&lt;I242,"Fehler",IF(AND($D$16&gt;=I242,$D$16&lt;I243),J242+(J243-J242)/(LOG(I243)-LOG(I242))*(LOG($D$16)-LOG(I242)),IF(AND($D$16&gt;=I243,$D$16&lt;I244),J243+(J244-J243)/(LOG(I244)-LOG(I243))*(LOG($D$16)-LOG(I243)),IF(AND($D$16&gt;=I244,$D$16&lt;I245),J244+(J245-J244)/(LOG(I245)-LOG(I244))*(LOG($D$16)-LOG(I244)),IF($D$16&gt;=I245,J245,"Fehler")))))</f>
        <v>1.62</v>
      </c>
      <c r="M217" s="449">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4" t="str">
        <f>F23</f>
        <v>Sliding</v>
      </c>
      <c r="C219" s="1718" t="str">
        <f>$D$24</f>
        <v>Roof position 1</v>
      </c>
      <c r="D219" s="1728"/>
      <c r="E219" s="1718" t="str">
        <f>$E$24</f>
        <v>Roof position 2</v>
      </c>
      <c r="F219" s="1728"/>
      <c r="G219" s="1718" t="str">
        <f>$F$24</f>
        <v>Roof position 3</v>
      </c>
      <c r="H219" s="1728"/>
      <c r="I219" s="1718" t="str">
        <f>$G$24</f>
        <v>Roof position 4</v>
      </c>
      <c r="J219" s="1728"/>
      <c r="K219" s="1718" t="str">
        <f>$H$24</f>
        <v>Roof position 5</v>
      </c>
      <c r="L219" s="1728"/>
      <c r="N219" s="231"/>
      <c r="O219" s="231"/>
      <c r="P219" s="231"/>
      <c r="Q219" s="231"/>
    </row>
    <row r="220" spans="2:17" ht="15" customHeight="1" x14ac:dyDescent="0.25">
      <c r="B220" s="429"/>
      <c r="C220" s="440" t="s">
        <v>61</v>
      </c>
      <c r="D220" s="441" t="s">
        <v>41</v>
      </c>
      <c r="E220" s="440" t="str">
        <f>$C$220</f>
        <v>A i</v>
      </c>
      <c r="F220" s="441" t="str">
        <f>$D$220</f>
        <v>kp i</v>
      </c>
      <c r="G220" s="440" t="str">
        <f>$C$220</f>
        <v>A i</v>
      </c>
      <c r="H220" s="441" t="str">
        <f>$D$220</f>
        <v>kp i</v>
      </c>
      <c r="I220" s="440" t="str">
        <f>$C$220</f>
        <v>A i</v>
      </c>
      <c r="J220" s="441" t="str">
        <f>$D$220</f>
        <v>kp i</v>
      </c>
      <c r="K220" s="440" t="str">
        <f>$C$220</f>
        <v>A i</v>
      </c>
      <c r="L220" s="441" t="str">
        <f>$D$220</f>
        <v>kp i</v>
      </c>
      <c r="N220" s="231"/>
      <c r="O220" s="231"/>
      <c r="P220" s="231"/>
      <c r="Q220" s="231"/>
    </row>
    <row r="221" spans="2:17" ht="15" customHeight="1" thickBot="1" x14ac:dyDescent="0.3">
      <c r="B221" s="430"/>
      <c r="C221" s="1729" t="s">
        <v>48</v>
      </c>
      <c r="D221" s="1730">
        <v>0</v>
      </c>
      <c r="E221" s="1729" t="s">
        <v>49</v>
      </c>
      <c r="F221" s="1730">
        <v>0</v>
      </c>
      <c r="G221" s="1729" t="s">
        <v>50</v>
      </c>
      <c r="H221" s="1730">
        <v>0</v>
      </c>
      <c r="I221" s="1729" t="s">
        <v>51</v>
      </c>
      <c r="J221" s="1730">
        <v>0</v>
      </c>
      <c r="K221" s="1729" t="s">
        <v>52</v>
      </c>
      <c r="L221" s="1730">
        <v>0</v>
      </c>
      <c r="N221" s="231"/>
      <c r="O221" s="231"/>
      <c r="P221" s="231"/>
      <c r="Q221" s="231"/>
    </row>
    <row r="222" spans="2:17" ht="15" customHeight="1" x14ac:dyDescent="0.25">
      <c r="B222" s="503" t="s">
        <v>37</v>
      </c>
      <c r="C222" s="557">
        <v>1</v>
      </c>
      <c r="D222" s="558">
        <v>1.05</v>
      </c>
      <c r="E222" s="557">
        <v>1</v>
      </c>
      <c r="F222" s="558">
        <v>0.99</v>
      </c>
      <c r="G222" s="557">
        <v>1</v>
      </c>
      <c r="H222" s="558">
        <v>1.54</v>
      </c>
      <c r="I222" s="557">
        <v>1</v>
      </c>
      <c r="J222" s="558">
        <v>1.08</v>
      </c>
      <c r="K222" s="557">
        <v>1</v>
      </c>
      <c r="L222" s="558">
        <v>0.89</v>
      </c>
      <c r="N222" s="231"/>
      <c r="O222" s="231"/>
      <c r="P222" s="231"/>
      <c r="Q222" s="231"/>
    </row>
    <row r="223" spans="2:17" ht="15" customHeight="1" x14ac:dyDescent="0.25">
      <c r="B223" s="434" t="s">
        <v>38</v>
      </c>
      <c r="C223" s="559">
        <v>71</v>
      </c>
      <c r="D223" s="560">
        <v>1.05</v>
      </c>
      <c r="E223" s="559">
        <v>184</v>
      </c>
      <c r="F223" s="560">
        <v>0.99</v>
      </c>
      <c r="G223" s="559">
        <v>106</v>
      </c>
      <c r="H223" s="560">
        <v>1.54</v>
      </c>
      <c r="I223" s="559">
        <v>100</v>
      </c>
      <c r="J223" s="560">
        <v>1.08</v>
      </c>
      <c r="K223" s="559">
        <v>160</v>
      </c>
      <c r="L223" s="560">
        <v>0.89</v>
      </c>
      <c r="N223" s="231"/>
      <c r="O223" s="231"/>
      <c r="P223" s="231"/>
      <c r="Q223" s="231"/>
    </row>
    <row r="224" spans="2:17" ht="15" customHeight="1" x14ac:dyDescent="0.25">
      <c r="B224" s="434" t="s">
        <v>39</v>
      </c>
      <c r="C224" s="559">
        <v>368</v>
      </c>
      <c r="D224" s="560">
        <v>0.72</v>
      </c>
      <c r="E224" s="559">
        <v>368</v>
      </c>
      <c r="F224" s="560">
        <v>0.92</v>
      </c>
      <c r="G224" s="559">
        <v>368</v>
      </c>
      <c r="H224" s="560">
        <v>1.27</v>
      </c>
      <c r="I224" s="559">
        <v>366</v>
      </c>
      <c r="J224" s="560">
        <v>0.91</v>
      </c>
      <c r="K224" s="559">
        <v>366</v>
      </c>
      <c r="L224" s="560">
        <v>0.8</v>
      </c>
      <c r="N224" s="231"/>
      <c r="O224" s="231"/>
      <c r="P224" s="231"/>
      <c r="Q224" s="231"/>
    </row>
    <row r="225" spans="2:17" ht="15" customHeight="1" thickBot="1" x14ac:dyDescent="0.3">
      <c r="B225" s="435" t="s">
        <v>40</v>
      </c>
      <c r="C225" s="561">
        <v>1000</v>
      </c>
      <c r="D225" s="562">
        <v>0.72</v>
      </c>
      <c r="E225" s="561">
        <v>1000</v>
      </c>
      <c r="F225" s="562">
        <v>0.92</v>
      </c>
      <c r="G225" s="561">
        <v>1000</v>
      </c>
      <c r="H225" s="562">
        <v>1.27</v>
      </c>
      <c r="I225" s="561">
        <v>1000</v>
      </c>
      <c r="J225" s="562">
        <v>0.91</v>
      </c>
      <c r="K225" s="561">
        <v>1000</v>
      </c>
      <c r="L225" s="562">
        <v>0.8</v>
      </c>
      <c r="N225" s="231"/>
      <c r="O225" s="231"/>
      <c r="P225" s="231"/>
      <c r="Q225" s="231"/>
    </row>
    <row r="226" spans="2:17" ht="15" customHeight="1" x14ac:dyDescent="0.25">
      <c r="B226" s="429"/>
      <c r="C226" s="563" t="str">
        <f>$C$220</f>
        <v>A i</v>
      </c>
      <c r="D226" s="564" t="str">
        <f>$D$220</f>
        <v>kp i</v>
      </c>
      <c r="E226" s="563" t="str">
        <f>$C$220</f>
        <v>A i</v>
      </c>
      <c r="F226" s="564" t="str">
        <f>$D$220</f>
        <v>kp i</v>
      </c>
      <c r="G226" s="563" t="str">
        <f>$C$220</f>
        <v>A i</v>
      </c>
      <c r="H226" s="564" t="str">
        <f>$D$220</f>
        <v>kp i</v>
      </c>
      <c r="I226" s="563" t="str">
        <f>$C$220</f>
        <v>A i</v>
      </c>
      <c r="J226" s="564" t="str">
        <f>$D$220</f>
        <v>kp i</v>
      </c>
      <c r="K226" s="563" t="str">
        <f>$C$220</f>
        <v>A i</v>
      </c>
      <c r="L226" s="564" t="str">
        <f>$D$220</f>
        <v>kp i</v>
      </c>
      <c r="N226" s="231"/>
      <c r="O226" s="231"/>
      <c r="P226" s="231"/>
      <c r="Q226" s="231"/>
    </row>
    <row r="227" spans="2:17" ht="15" customHeight="1" thickBot="1" x14ac:dyDescent="0.3">
      <c r="B227" s="430"/>
      <c r="C227" s="1731" t="s">
        <v>53</v>
      </c>
      <c r="D227" s="1732">
        <v>0</v>
      </c>
      <c r="E227" s="1731" t="s">
        <v>54</v>
      </c>
      <c r="F227" s="1732">
        <v>0</v>
      </c>
      <c r="G227" s="1731" t="s">
        <v>55</v>
      </c>
      <c r="H227" s="1732">
        <v>0</v>
      </c>
      <c r="I227" s="1731" t="s">
        <v>56</v>
      </c>
      <c r="J227" s="1732">
        <v>0</v>
      </c>
      <c r="K227" s="1731" t="s">
        <v>57</v>
      </c>
      <c r="L227" s="1732">
        <v>0</v>
      </c>
      <c r="N227" s="231"/>
      <c r="O227" s="231"/>
      <c r="P227" s="231"/>
      <c r="Q227" s="231"/>
    </row>
    <row r="228" spans="2:17" ht="15" customHeight="1" x14ac:dyDescent="0.25">
      <c r="B228" s="503" t="str">
        <f>$B$222</f>
        <v>i = a</v>
      </c>
      <c r="C228" s="557">
        <v>1</v>
      </c>
      <c r="D228" s="558">
        <v>0.81</v>
      </c>
      <c r="E228" s="557">
        <v>1</v>
      </c>
      <c r="F228" s="558">
        <v>0.92</v>
      </c>
      <c r="G228" s="557">
        <v>1</v>
      </c>
      <c r="H228" s="558">
        <v>1.84</v>
      </c>
      <c r="I228" s="557">
        <v>1</v>
      </c>
      <c r="J228" s="558">
        <v>1.53</v>
      </c>
      <c r="K228" s="557">
        <v>1</v>
      </c>
      <c r="L228" s="558">
        <v>1.1200000000000001</v>
      </c>
      <c r="N228" s="231"/>
      <c r="O228" s="231"/>
      <c r="P228" s="231"/>
      <c r="Q228" s="231"/>
    </row>
    <row r="229" spans="2:17" ht="15" customHeight="1" x14ac:dyDescent="0.25">
      <c r="B229" s="434" t="str">
        <f>$B$223</f>
        <v>i = b</v>
      </c>
      <c r="C229" s="559">
        <v>33</v>
      </c>
      <c r="D229" s="560">
        <v>0.81</v>
      </c>
      <c r="E229" s="559">
        <v>184</v>
      </c>
      <c r="F229" s="560">
        <v>0.92</v>
      </c>
      <c r="G229" s="559">
        <v>98</v>
      </c>
      <c r="H229" s="560">
        <v>1.84</v>
      </c>
      <c r="I229" s="559">
        <v>142</v>
      </c>
      <c r="J229" s="560">
        <v>1.53</v>
      </c>
      <c r="K229" s="559">
        <v>106</v>
      </c>
      <c r="L229" s="560">
        <v>1.1200000000000001</v>
      </c>
      <c r="N229" s="231"/>
      <c r="O229" s="231"/>
      <c r="P229" s="231"/>
      <c r="Q229" s="231"/>
    </row>
    <row r="230" spans="2:17" ht="15" customHeight="1" x14ac:dyDescent="0.25">
      <c r="B230" s="434" t="str">
        <f>$B$224</f>
        <v>i = c</v>
      </c>
      <c r="C230" s="559">
        <v>368</v>
      </c>
      <c r="D230" s="560">
        <v>0.7</v>
      </c>
      <c r="E230" s="559">
        <v>368</v>
      </c>
      <c r="F230" s="560">
        <v>0.92</v>
      </c>
      <c r="G230" s="559">
        <v>368</v>
      </c>
      <c r="H230" s="560">
        <v>1.55</v>
      </c>
      <c r="I230" s="559">
        <v>366</v>
      </c>
      <c r="J230" s="560">
        <v>1.27</v>
      </c>
      <c r="K230" s="559">
        <v>366</v>
      </c>
      <c r="L230" s="560">
        <v>0.8</v>
      </c>
      <c r="N230" s="231"/>
      <c r="O230" s="231"/>
      <c r="P230" s="231"/>
      <c r="Q230" s="231"/>
    </row>
    <row r="231" spans="2:17" ht="15" customHeight="1" thickBot="1" x14ac:dyDescent="0.3">
      <c r="B231" s="435" t="str">
        <f>$B$225</f>
        <v>i = d</v>
      </c>
      <c r="C231" s="561">
        <v>1000</v>
      </c>
      <c r="D231" s="562">
        <v>0.7</v>
      </c>
      <c r="E231" s="561">
        <v>1000</v>
      </c>
      <c r="F231" s="562">
        <v>0.92</v>
      </c>
      <c r="G231" s="561">
        <v>1000</v>
      </c>
      <c r="H231" s="562">
        <v>1.55</v>
      </c>
      <c r="I231" s="561">
        <v>1000</v>
      </c>
      <c r="J231" s="562">
        <v>1.27</v>
      </c>
      <c r="K231" s="561">
        <v>1000</v>
      </c>
      <c r="L231" s="562">
        <v>0.8</v>
      </c>
      <c r="N231" s="231"/>
      <c r="O231" s="231"/>
      <c r="P231" s="231"/>
      <c r="Q231" s="231"/>
    </row>
    <row r="232" spans="2:17" ht="15" customHeight="1" thickBot="1" x14ac:dyDescent="0.3">
      <c r="M232" s="121"/>
    </row>
    <row r="233" spans="2:17" ht="15" customHeight="1" thickBot="1" x14ac:dyDescent="0.3">
      <c r="B233" s="534" t="str">
        <f>K23</f>
        <v>Uplift</v>
      </c>
      <c r="C233" s="1718" t="str">
        <f>$D$24</f>
        <v>Roof position 1</v>
      </c>
      <c r="D233" s="1728"/>
      <c r="E233" s="1718" t="str">
        <f>$E$24</f>
        <v>Roof position 2</v>
      </c>
      <c r="F233" s="1728"/>
      <c r="G233" s="1718" t="str">
        <f>$F$24</f>
        <v>Roof position 3</v>
      </c>
      <c r="H233" s="1728"/>
      <c r="I233" s="1718" t="str">
        <f>$G$24</f>
        <v>Roof position 4</v>
      </c>
      <c r="J233" s="1728"/>
      <c r="K233" s="1718" t="str">
        <f>$H$24</f>
        <v>Roof position 5</v>
      </c>
      <c r="L233" s="1728"/>
      <c r="N233" s="231"/>
      <c r="O233" s="231"/>
      <c r="P233" s="231"/>
      <c r="Q233" s="231"/>
    </row>
    <row r="234" spans="2:17" ht="15" customHeight="1" x14ac:dyDescent="0.25">
      <c r="B234" s="429"/>
      <c r="C234" s="563" t="s">
        <v>61</v>
      </c>
      <c r="D234" s="564" t="s">
        <v>41</v>
      </c>
      <c r="E234" s="563" t="str">
        <f>$C$220</f>
        <v>A i</v>
      </c>
      <c r="F234" s="564" t="str">
        <f>$D$220</f>
        <v>kp i</v>
      </c>
      <c r="G234" s="563" t="str">
        <f>$C$220</f>
        <v>A i</v>
      </c>
      <c r="H234" s="564" t="str">
        <f>$D$220</f>
        <v>kp i</v>
      </c>
      <c r="I234" s="563" t="str">
        <f>$C$220</f>
        <v>A i</v>
      </c>
      <c r="J234" s="564" t="str">
        <f>$D$220</f>
        <v>kp i</v>
      </c>
      <c r="K234" s="563" t="str">
        <f>$C$220</f>
        <v>A i</v>
      </c>
      <c r="L234" s="564" t="str">
        <f>$D$220</f>
        <v>kp i</v>
      </c>
      <c r="N234" s="231"/>
      <c r="O234" s="231"/>
      <c r="P234" s="231"/>
      <c r="Q234" s="231"/>
    </row>
    <row r="235" spans="2:17" ht="15" customHeight="1" thickBot="1" x14ac:dyDescent="0.3">
      <c r="B235" s="430"/>
      <c r="C235" s="1733" t="s">
        <v>48</v>
      </c>
      <c r="D235" s="1734">
        <v>0</v>
      </c>
      <c r="E235" s="1733" t="s">
        <v>49</v>
      </c>
      <c r="F235" s="1734">
        <v>0</v>
      </c>
      <c r="G235" s="1733" t="s">
        <v>50</v>
      </c>
      <c r="H235" s="1734">
        <v>0</v>
      </c>
      <c r="I235" s="1733" t="s">
        <v>51</v>
      </c>
      <c r="J235" s="1734">
        <v>0</v>
      </c>
      <c r="K235" s="1733" t="s">
        <v>52</v>
      </c>
      <c r="L235" s="1734">
        <v>0</v>
      </c>
      <c r="N235" s="231"/>
      <c r="O235" s="231"/>
      <c r="P235" s="231"/>
      <c r="Q235" s="231"/>
    </row>
    <row r="236" spans="2:17" ht="15" customHeight="1" x14ac:dyDescent="0.25">
      <c r="B236" s="503" t="str">
        <f>$B$222</f>
        <v>i = a</v>
      </c>
      <c r="C236" s="557">
        <v>1</v>
      </c>
      <c r="D236" s="558">
        <v>1.05</v>
      </c>
      <c r="E236" s="557">
        <v>1</v>
      </c>
      <c r="F236" s="558">
        <v>1</v>
      </c>
      <c r="G236" s="557">
        <v>1</v>
      </c>
      <c r="H236" s="558">
        <v>1.64</v>
      </c>
      <c r="I236" s="557">
        <v>1</v>
      </c>
      <c r="J236" s="558">
        <v>1.1399999999999999</v>
      </c>
      <c r="K236" s="557">
        <v>1</v>
      </c>
      <c r="L236" s="558">
        <v>0.9</v>
      </c>
      <c r="N236" s="231"/>
      <c r="O236" s="231"/>
      <c r="P236" s="231"/>
      <c r="Q236" s="231"/>
    </row>
    <row r="237" spans="2:17" ht="15" customHeight="1" x14ac:dyDescent="0.25">
      <c r="B237" s="434" t="str">
        <f>$B$223</f>
        <v>i = b</v>
      </c>
      <c r="C237" s="559">
        <v>71</v>
      </c>
      <c r="D237" s="560">
        <v>1.05</v>
      </c>
      <c r="E237" s="559">
        <v>184</v>
      </c>
      <c r="F237" s="560">
        <v>1</v>
      </c>
      <c r="G237" s="559">
        <v>106</v>
      </c>
      <c r="H237" s="560">
        <v>1.64</v>
      </c>
      <c r="I237" s="559">
        <v>100</v>
      </c>
      <c r="J237" s="560">
        <v>1.1399999999999999</v>
      </c>
      <c r="K237" s="559">
        <v>160</v>
      </c>
      <c r="L237" s="560">
        <v>0.9</v>
      </c>
      <c r="N237" s="231"/>
      <c r="O237" s="231"/>
      <c r="P237" s="231"/>
      <c r="Q237" s="231"/>
    </row>
    <row r="238" spans="2:17" ht="15" customHeight="1" x14ac:dyDescent="0.25">
      <c r="B238" s="434" t="str">
        <f>$B$224</f>
        <v>i = c</v>
      </c>
      <c r="C238" s="559">
        <v>368</v>
      </c>
      <c r="D238" s="560">
        <v>0.72</v>
      </c>
      <c r="E238" s="559">
        <v>368</v>
      </c>
      <c r="F238" s="560">
        <v>0.92</v>
      </c>
      <c r="G238" s="559">
        <v>368</v>
      </c>
      <c r="H238" s="560">
        <v>1.4</v>
      </c>
      <c r="I238" s="559">
        <v>366</v>
      </c>
      <c r="J238" s="560">
        <v>1</v>
      </c>
      <c r="K238" s="559">
        <v>366</v>
      </c>
      <c r="L238" s="560">
        <v>0.8</v>
      </c>
      <c r="N238" s="231"/>
      <c r="O238" s="231"/>
      <c r="P238" s="231"/>
      <c r="Q238" s="231"/>
    </row>
    <row r="239" spans="2:17" ht="15" customHeight="1" thickBot="1" x14ac:dyDescent="0.3">
      <c r="B239" s="435" t="str">
        <f>$B$225</f>
        <v>i = d</v>
      </c>
      <c r="C239" s="561">
        <v>1000</v>
      </c>
      <c r="D239" s="562">
        <v>0.72</v>
      </c>
      <c r="E239" s="561">
        <v>1000</v>
      </c>
      <c r="F239" s="562">
        <v>0.92</v>
      </c>
      <c r="G239" s="561">
        <v>1000</v>
      </c>
      <c r="H239" s="562">
        <v>1.4</v>
      </c>
      <c r="I239" s="561">
        <v>1000</v>
      </c>
      <c r="J239" s="562">
        <v>1</v>
      </c>
      <c r="K239" s="561">
        <v>1000</v>
      </c>
      <c r="L239" s="562">
        <v>0.8</v>
      </c>
      <c r="N239" s="231"/>
      <c r="O239" s="231"/>
      <c r="P239" s="231"/>
      <c r="Q239" s="231"/>
    </row>
    <row r="240" spans="2:17" ht="15" customHeight="1" x14ac:dyDescent="0.25">
      <c r="B240" s="429"/>
      <c r="C240" s="563" t="str">
        <f>$C$220</f>
        <v>A i</v>
      </c>
      <c r="D240" s="564" t="str">
        <f>$D$220</f>
        <v>kp i</v>
      </c>
      <c r="E240" s="563" t="str">
        <f>$C$220</f>
        <v>A i</v>
      </c>
      <c r="F240" s="564" t="str">
        <f>$D$220</f>
        <v>kp i</v>
      </c>
      <c r="G240" s="563" t="str">
        <f>$C$220</f>
        <v>A i</v>
      </c>
      <c r="H240" s="564" t="str">
        <f>$D$220</f>
        <v>kp i</v>
      </c>
      <c r="I240" s="563" t="str">
        <f>$C$220</f>
        <v>A i</v>
      </c>
      <c r="J240" s="564" t="str">
        <f>$D$220</f>
        <v>kp i</v>
      </c>
      <c r="K240" s="563" t="str">
        <f>$C$220</f>
        <v>A i</v>
      </c>
      <c r="L240" s="564" t="str">
        <f>$D$220</f>
        <v>kp i</v>
      </c>
      <c r="N240" s="231"/>
      <c r="O240" s="231"/>
      <c r="P240" s="231"/>
      <c r="Q240" s="231"/>
    </row>
    <row r="241" spans="2:17" ht="15" customHeight="1" thickBot="1" x14ac:dyDescent="0.3">
      <c r="B241" s="430"/>
      <c r="C241" s="1731" t="s">
        <v>53</v>
      </c>
      <c r="D241" s="1732">
        <v>0</v>
      </c>
      <c r="E241" s="1731" t="s">
        <v>54</v>
      </c>
      <c r="F241" s="1732">
        <v>0</v>
      </c>
      <c r="G241" s="1731" t="s">
        <v>55</v>
      </c>
      <c r="H241" s="1732">
        <v>0</v>
      </c>
      <c r="I241" s="1731" t="s">
        <v>56</v>
      </c>
      <c r="J241" s="1732">
        <v>0</v>
      </c>
      <c r="K241" s="1731" t="s">
        <v>57</v>
      </c>
      <c r="L241" s="1732">
        <v>0</v>
      </c>
      <c r="N241" s="231"/>
      <c r="O241" s="231"/>
      <c r="P241" s="231"/>
      <c r="Q241" s="231"/>
    </row>
    <row r="242" spans="2:17" ht="15" customHeight="1" x14ac:dyDescent="0.25">
      <c r="B242" s="503" t="str">
        <f>$B$222</f>
        <v>i = a</v>
      </c>
      <c r="C242" s="557">
        <v>1</v>
      </c>
      <c r="D242" s="558">
        <v>0.81</v>
      </c>
      <c r="E242" s="557">
        <v>1</v>
      </c>
      <c r="F242" s="558">
        <v>0.92</v>
      </c>
      <c r="G242" s="557">
        <v>1</v>
      </c>
      <c r="H242" s="558">
        <v>1.96</v>
      </c>
      <c r="I242" s="557">
        <v>1</v>
      </c>
      <c r="J242" s="558">
        <v>1.62</v>
      </c>
      <c r="K242" s="557">
        <v>1</v>
      </c>
      <c r="L242" s="558">
        <v>1.1200000000000001</v>
      </c>
      <c r="N242" s="231"/>
      <c r="O242" s="231"/>
      <c r="P242" s="231"/>
      <c r="Q242" s="231"/>
    </row>
    <row r="243" spans="2:17" ht="15" customHeight="1" x14ac:dyDescent="0.25">
      <c r="B243" s="434" t="str">
        <f>$B$223</f>
        <v>i = b</v>
      </c>
      <c r="C243" s="559">
        <v>33</v>
      </c>
      <c r="D243" s="560">
        <v>0.81</v>
      </c>
      <c r="E243" s="559">
        <v>184</v>
      </c>
      <c r="F243" s="560">
        <v>0.92</v>
      </c>
      <c r="G243" s="559">
        <v>98</v>
      </c>
      <c r="H243" s="560">
        <v>1.96</v>
      </c>
      <c r="I243" s="559">
        <v>142</v>
      </c>
      <c r="J243" s="560">
        <v>1.62</v>
      </c>
      <c r="K243" s="559">
        <v>106</v>
      </c>
      <c r="L243" s="560">
        <v>1.1200000000000001</v>
      </c>
      <c r="N243" s="231"/>
      <c r="O243" s="231"/>
      <c r="P243" s="231"/>
      <c r="Q243" s="231"/>
    </row>
    <row r="244" spans="2:17" ht="15" customHeight="1" x14ac:dyDescent="0.25">
      <c r="B244" s="434" t="str">
        <f>$B$224</f>
        <v>i = c</v>
      </c>
      <c r="C244" s="559">
        <v>368</v>
      </c>
      <c r="D244" s="560">
        <v>0.7</v>
      </c>
      <c r="E244" s="559">
        <v>368</v>
      </c>
      <c r="F244" s="560">
        <v>0.92</v>
      </c>
      <c r="G244" s="559">
        <v>368</v>
      </c>
      <c r="H244" s="560">
        <v>1.7</v>
      </c>
      <c r="I244" s="559">
        <v>366</v>
      </c>
      <c r="J244" s="560">
        <v>1.4</v>
      </c>
      <c r="K244" s="559">
        <v>366</v>
      </c>
      <c r="L244" s="560">
        <v>0.8</v>
      </c>
      <c r="N244" s="231"/>
      <c r="O244" s="231"/>
      <c r="P244" s="231"/>
      <c r="Q244" s="231"/>
    </row>
    <row r="245" spans="2:17" ht="15" customHeight="1" thickBot="1" x14ac:dyDescent="0.3">
      <c r="B245" s="435" t="str">
        <f>$B$225</f>
        <v>i = d</v>
      </c>
      <c r="C245" s="561">
        <v>1000</v>
      </c>
      <c r="D245" s="562">
        <v>0.7</v>
      </c>
      <c r="E245" s="561">
        <v>1000</v>
      </c>
      <c r="F245" s="562">
        <v>0.92</v>
      </c>
      <c r="G245" s="561">
        <v>1000</v>
      </c>
      <c r="H245" s="562">
        <v>1.7</v>
      </c>
      <c r="I245" s="561">
        <v>1000</v>
      </c>
      <c r="J245" s="562">
        <v>1.4</v>
      </c>
      <c r="K245" s="561">
        <v>1000</v>
      </c>
      <c r="L245" s="562">
        <v>0.8</v>
      </c>
      <c r="N245" s="231"/>
      <c r="O245" s="231"/>
      <c r="P245" s="231"/>
      <c r="Q245" s="231"/>
    </row>
  </sheetData>
  <mergeCells count="146">
    <mergeCell ref="C235:D235"/>
    <mergeCell ref="E235:F235"/>
    <mergeCell ref="G235:H235"/>
    <mergeCell ref="I235:J235"/>
    <mergeCell ref="K235:L235"/>
    <mergeCell ref="C241:D241"/>
    <mergeCell ref="E241:F241"/>
    <mergeCell ref="G241:H241"/>
    <mergeCell ref="I241:J241"/>
    <mergeCell ref="K241:L241"/>
    <mergeCell ref="C227:D227"/>
    <mergeCell ref="E227:F227"/>
    <mergeCell ref="G227:H227"/>
    <mergeCell ref="I227:J227"/>
    <mergeCell ref="K227:L227"/>
    <mergeCell ref="C233:D233"/>
    <mergeCell ref="E233:F233"/>
    <mergeCell ref="G233:H233"/>
    <mergeCell ref="I233:J233"/>
    <mergeCell ref="K233:L233"/>
    <mergeCell ref="C219:D219"/>
    <mergeCell ref="E219:F219"/>
    <mergeCell ref="G219:H219"/>
    <mergeCell ref="I219:J219"/>
    <mergeCell ref="K219:L219"/>
    <mergeCell ref="C221:D221"/>
    <mergeCell ref="E221:F221"/>
    <mergeCell ref="G221:H221"/>
    <mergeCell ref="I221:J221"/>
    <mergeCell ref="K221:L221"/>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173:E173"/>
    <mergeCell ref="F173:H173"/>
    <mergeCell ref="I173:K173"/>
    <mergeCell ref="L173:N173"/>
    <mergeCell ref="O173:Q173"/>
    <mergeCell ref="C180:E180"/>
    <mergeCell ref="F180:H180"/>
    <mergeCell ref="I180:K180"/>
    <mergeCell ref="L180:N180"/>
    <mergeCell ref="O180:Q180"/>
    <mergeCell ref="C159:E159"/>
    <mergeCell ref="F159:H159"/>
    <mergeCell ref="I159:K159"/>
    <mergeCell ref="L159:N159"/>
    <mergeCell ref="O159:Q159"/>
    <mergeCell ref="C166:E166"/>
    <mergeCell ref="F166:H166"/>
    <mergeCell ref="I166:K166"/>
    <mergeCell ref="L166:N166"/>
    <mergeCell ref="O166:Q166"/>
    <mergeCell ref="C151:E151"/>
    <mergeCell ref="F151:H151"/>
    <mergeCell ref="I151:K151"/>
    <mergeCell ref="L151:N151"/>
    <mergeCell ref="O151:Q151"/>
    <mergeCell ref="C152:E152"/>
    <mergeCell ref="F152:H152"/>
    <mergeCell ref="I152:K152"/>
    <mergeCell ref="L152:N152"/>
    <mergeCell ref="O152:Q152"/>
    <mergeCell ref="C136:E136"/>
    <mergeCell ref="F136:H136"/>
    <mergeCell ref="I136:K136"/>
    <mergeCell ref="L136:N136"/>
    <mergeCell ref="O136:Q136"/>
    <mergeCell ref="C143:E143"/>
    <mergeCell ref="F143:H143"/>
    <mergeCell ref="I143:K143"/>
    <mergeCell ref="L143:N143"/>
    <mergeCell ref="O143:Q143"/>
    <mergeCell ref="C122:E122"/>
    <mergeCell ref="F122:H122"/>
    <mergeCell ref="I122:K122"/>
    <mergeCell ref="L122:N122"/>
    <mergeCell ref="O122:Q122"/>
    <mergeCell ref="C129:E129"/>
    <mergeCell ref="F129:H129"/>
    <mergeCell ref="I129:K129"/>
    <mergeCell ref="L129:N129"/>
    <mergeCell ref="O129:Q129"/>
    <mergeCell ref="C108:E108"/>
    <mergeCell ref="F108:H108"/>
    <mergeCell ref="I108:K108"/>
    <mergeCell ref="L108:N108"/>
    <mergeCell ref="O108:Q108"/>
    <mergeCell ref="C115:E115"/>
    <mergeCell ref="F115:H115"/>
    <mergeCell ref="I115:K115"/>
    <mergeCell ref="L115:N115"/>
    <mergeCell ref="O115:Q115"/>
    <mergeCell ref="C94:E94"/>
    <mergeCell ref="F94:H94"/>
    <mergeCell ref="I94:K94"/>
    <mergeCell ref="L94:N94"/>
    <mergeCell ref="O94:Q94"/>
    <mergeCell ref="C101:E101"/>
    <mergeCell ref="F101:H101"/>
    <mergeCell ref="I101:K101"/>
    <mergeCell ref="L101:N101"/>
    <mergeCell ref="O101:Q101"/>
    <mergeCell ref="B89:B90"/>
    <mergeCell ref="C93:E93"/>
    <mergeCell ref="F93:H93"/>
    <mergeCell ref="I93:K93"/>
    <mergeCell ref="L93:N93"/>
    <mergeCell ref="O93:Q93"/>
    <mergeCell ref="B71:B72"/>
    <mergeCell ref="B73:B74"/>
    <mergeCell ref="B75:B76"/>
    <mergeCell ref="B83:B84"/>
    <mergeCell ref="B85:B86"/>
    <mergeCell ref="B87:B88"/>
    <mergeCell ref="B59:B60"/>
    <mergeCell ref="B61:B62"/>
    <mergeCell ref="B69:B70"/>
    <mergeCell ref="B28:B29"/>
    <mergeCell ref="B30:B31"/>
    <mergeCell ref="B32:B33"/>
    <mergeCell ref="B41:B42"/>
    <mergeCell ref="B43:B44"/>
    <mergeCell ref="B45:B46"/>
    <mergeCell ref="B5:L5"/>
    <mergeCell ref="C9:D9"/>
    <mergeCell ref="C10:D10"/>
    <mergeCell ref="C11:D11"/>
    <mergeCell ref="C12:D12"/>
    <mergeCell ref="B26:B27"/>
    <mergeCell ref="B47:B48"/>
    <mergeCell ref="B55:B56"/>
    <mergeCell ref="B57:B58"/>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807 E Main</v>
      </c>
      <c r="D9" s="1713"/>
      <c r="E9" s="134" t="s">
        <v>319</v>
      </c>
      <c r="F9" s="1622" t="str">
        <f>'building data'!H9</f>
        <v>English</v>
      </c>
      <c r="G9" s="1623"/>
    </row>
    <row r="10" spans="1:17" ht="15" customHeight="1" x14ac:dyDescent="0.25">
      <c r="B10" s="136" t="s">
        <v>311</v>
      </c>
      <c r="C10" s="1714">
        <f>'building data'!C10</f>
        <v>27332</v>
      </c>
      <c r="D10" s="1714"/>
      <c r="E10" s="137" t="s">
        <v>320</v>
      </c>
      <c r="F10" s="1737" t="str">
        <f>'building data'!H10</f>
        <v>807 E Main St</v>
      </c>
      <c r="G10" s="1738"/>
      <c r="H10" s="331"/>
      <c r="I10" s="331"/>
      <c r="J10" s="331"/>
    </row>
    <row r="11" spans="1:17" ht="15" customHeight="1" x14ac:dyDescent="0.25">
      <c r="B11" s="136" t="s">
        <v>312</v>
      </c>
      <c r="C11" s="1714" t="str">
        <f>'building data'!C11</f>
        <v>Ted Bleecker</v>
      </c>
      <c r="D11" s="1714"/>
      <c r="E11" s="139" t="s">
        <v>321</v>
      </c>
      <c r="F11" s="1737" t="str">
        <f>'building data'!H12</f>
        <v>ASCE/SEI 7-10</v>
      </c>
      <c r="G11" s="1738"/>
      <c r="H11" s="331"/>
      <c r="I11" s="331"/>
      <c r="J11" s="331"/>
    </row>
    <row r="12" spans="1:17" ht="15" customHeight="1" thickBot="1" x14ac:dyDescent="0.3">
      <c r="B12" s="140" t="s">
        <v>313</v>
      </c>
      <c r="C12" s="1715">
        <f ca="1">'building data'!C12</f>
        <v>42649</v>
      </c>
      <c r="D12" s="1715"/>
      <c r="E12" s="141" t="s">
        <v>322</v>
      </c>
      <c r="F12" s="1735" t="str">
        <f>'building data'!H11</f>
        <v>USA</v>
      </c>
      <c r="G12" s="1736"/>
      <c r="H12" s="331"/>
      <c r="I12" s="331"/>
      <c r="J12" s="331"/>
    </row>
    <row r="13" spans="1:17" ht="15" customHeight="1" x14ac:dyDescent="0.25">
      <c r="A13" s="456"/>
    </row>
    <row r="14" spans="1:17" ht="15" customHeight="1" x14ac:dyDescent="0.25">
      <c r="A14" s="456"/>
      <c r="E14" s="353"/>
      <c r="F14" s="428" t="s">
        <v>327</v>
      </c>
      <c r="G14" s="424">
        <f>'building data'!C20</f>
        <v>91.44</v>
      </c>
      <c r="H14" s="212" t="s">
        <v>0</v>
      </c>
    </row>
    <row r="15" spans="1:17" ht="15" customHeight="1" x14ac:dyDescent="0.25">
      <c r="A15" s="456"/>
      <c r="B15" s="143" t="s">
        <v>420</v>
      </c>
      <c r="C15" s="357"/>
      <c r="D15" s="445" t="s">
        <v>59</v>
      </c>
      <c r="E15" s="357"/>
      <c r="F15" s="213" t="s">
        <v>328</v>
      </c>
      <c r="G15" s="424">
        <f>'building data'!C21</f>
        <v>91.44</v>
      </c>
      <c r="H15" s="212" t="s">
        <v>0</v>
      </c>
    </row>
    <row r="16" spans="1:17" ht="15" customHeight="1" x14ac:dyDescent="0.25">
      <c r="A16" s="341"/>
      <c r="B16" s="209" t="s">
        <v>423</v>
      </c>
      <c r="C16" s="358">
        <f>'wind load calc_10d'!C39</f>
        <v>25</v>
      </c>
      <c r="D16" s="446">
        <f>(G17*G18*C16)</f>
        <v>49.853609969999994</v>
      </c>
      <c r="E16" s="357"/>
      <c r="F16" s="213" t="s">
        <v>324</v>
      </c>
      <c r="G16" s="424">
        <f>'building data'!C16</f>
        <v>7.3152000000000008</v>
      </c>
      <c r="H16" s="212" t="s">
        <v>0</v>
      </c>
    </row>
    <row r="17" spans="1:18" ht="15" customHeight="1" x14ac:dyDescent="0.25">
      <c r="A17" s="341"/>
      <c r="C17" s="215"/>
      <c r="D17" s="215"/>
      <c r="E17" s="215"/>
      <c r="F17" s="213" t="s">
        <v>405</v>
      </c>
      <c r="G17" s="424">
        <f>'wind load calc_10d'!F20</f>
        <v>1.9926299999999999</v>
      </c>
      <c r="H17" s="212" t="s">
        <v>0</v>
      </c>
    </row>
    <row r="18" spans="1:18" ht="15" customHeight="1" x14ac:dyDescent="0.25">
      <c r="A18" s="341"/>
      <c r="B18" s="143" t="s">
        <v>421</v>
      </c>
      <c r="C18" s="215"/>
      <c r="D18" s="445" t="s">
        <v>59</v>
      </c>
      <c r="E18" s="357"/>
      <c r="F18" s="213" t="s">
        <v>404</v>
      </c>
      <c r="G18" s="424">
        <f>'wind load calc_10d'!F19</f>
        <v>1.0007599999999999</v>
      </c>
      <c r="H18" s="212" t="s">
        <v>0</v>
      </c>
      <c r="K18" s="455"/>
    </row>
    <row r="19" spans="1:18" ht="15" customHeight="1" x14ac:dyDescent="0.25">
      <c r="A19" s="341"/>
      <c r="B19" s="209" t="s">
        <v>423</v>
      </c>
      <c r="C19" s="358">
        <f>'wind load calc_10d'!G40</f>
        <v>81</v>
      </c>
      <c r="D19" s="446">
        <f>(G17*G18*C19)</f>
        <v>161.52569630279996</v>
      </c>
      <c r="E19" s="357"/>
      <c r="F19" s="213" t="s">
        <v>45</v>
      </c>
      <c r="G19" s="424">
        <f>MIN('building data'!C18/'building data'!C16,0.2)</f>
        <v>1.7361111111111108E-2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D50</f>
        <v>-0.11</v>
      </c>
      <c r="E26" s="480">
        <f t="shared" ref="E26:M33" ca="1" si="0">E50</f>
        <v>-0.13</v>
      </c>
      <c r="F26" s="463">
        <f t="shared" ca="1" si="0"/>
        <v>-0.1</v>
      </c>
      <c r="G26" s="542">
        <f t="shared" ca="1" si="0"/>
        <v>-0.1</v>
      </c>
      <c r="H26" s="468">
        <f t="shared" ca="1" si="0"/>
        <v>-0.1</v>
      </c>
      <c r="I26" s="460">
        <f t="shared" ca="1" si="0"/>
        <v>-0.13759349048162064</v>
      </c>
      <c r="J26" s="480">
        <f t="shared" ca="1" si="0"/>
        <v>-0.18570776068424313</v>
      </c>
      <c r="K26" s="463">
        <f t="shared" ca="1" si="0"/>
        <v>-0.11666206518135244</v>
      </c>
      <c r="L26" s="542">
        <f t="shared" ca="1" si="0"/>
        <v>-0.12320921746195346</v>
      </c>
      <c r="M26" s="469">
        <f t="shared" ca="1" si="0"/>
        <v>-0.11812645419587176</v>
      </c>
      <c r="R26"/>
    </row>
    <row r="27" spans="1:18" ht="15" customHeight="1" thickBot="1" x14ac:dyDescent="0.3">
      <c r="B27" s="1717"/>
      <c r="C27" s="275" t="s">
        <v>462</v>
      </c>
      <c r="D27" s="461">
        <f t="shared" ref="D27:H33" ca="1" si="1">D51</f>
        <v>-0.11</v>
      </c>
      <c r="E27" s="482">
        <f t="shared" ca="1" si="1"/>
        <v>-0.13</v>
      </c>
      <c r="F27" s="466">
        <f t="shared" ca="1" si="1"/>
        <v>-0.1</v>
      </c>
      <c r="G27" s="543">
        <f t="shared" ca="1" si="1"/>
        <v>-0.1</v>
      </c>
      <c r="H27" s="464">
        <f t="shared" ca="1" si="1"/>
        <v>-0.1</v>
      </c>
      <c r="I27" s="461">
        <f t="shared" ca="1" si="0"/>
        <v>-0.11</v>
      </c>
      <c r="J27" s="482">
        <f t="shared" ca="1" si="0"/>
        <v>-0.21016033302464632</v>
      </c>
      <c r="K27" s="466">
        <f t="shared" ca="1" si="0"/>
        <v>-0.10942632844135758</v>
      </c>
      <c r="L27" s="543">
        <f t="shared" ca="1" si="0"/>
        <v>-0.12465979355332554</v>
      </c>
      <c r="M27" s="471">
        <f t="shared" ca="1" si="0"/>
        <v>-0.11919271620739363</v>
      </c>
      <c r="R27"/>
    </row>
    <row r="28" spans="1:18" ht="15" customHeight="1" x14ac:dyDescent="0.25">
      <c r="B28" s="1716" t="s">
        <v>463</v>
      </c>
      <c r="C28" s="241" t="s">
        <v>461</v>
      </c>
      <c r="D28" s="460">
        <f t="shared" ca="1" si="1"/>
        <v>-0.11</v>
      </c>
      <c r="E28" s="480">
        <f t="shared" ca="1" si="1"/>
        <v>-0.13</v>
      </c>
      <c r="F28" s="463">
        <f t="shared" ca="1" si="1"/>
        <v>-0.1</v>
      </c>
      <c r="G28" s="542">
        <f t="shared" ca="1" si="1"/>
        <v>-0.1</v>
      </c>
      <c r="H28" s="468">
        <f t="shared" ca="1" si="1"/>
        <v>-0.1</v>
      </c>
      <c r="I28" s="460">
        <f t="shared" ca="1" si="0"/>
        <v>-0.14901202257863944</v>
      </c>
      <c r="J28" s="480">
        <f t="shared" ca="1" si="0"/>
        <v>-0.13</v>
      </c>
      <c r="K28" s="463">
        <f t="shared" ca="1" si="0"/>
        <v>-0.1</v>
      </c>
      <c r="L28" s="542">
        <f t="shared" ca="1" si="0"/>
        <v>-0.1</v>
      </c>
      <c r="M28" s="469">
        <f t="shared" ca="1" si="0"/>
        <v>-0.10551242203999392</v>
      </c>
      <c r="R28"/>
    </row>
    <row r="29" spans="1:18" ht="15" customHeight="1" thickBot="1" x14ac:dyDescent="0.3">
      <c r="B29" s="1717"/>
      <c r="C29" s="276" t="s">
        <v>462</v>
      </c>
      <c r="D29" s="462">
        <f t="shared" ca="1" si="1"/>
        <v>-0.11</v>
      </c>
      <c r="E29" s="483">
        <f t="shared" ca="1" si="1"/>
        <v>-0.13</v>
      </c>
      <c r="F29" s="467">
        <f t="shared" ca="1" si="1"/>
        <v>-0.1</v>
      </c>
      <c r="G29" s="544">
        <f t="shared" ca="1" si="1"/>
        <v>-0.1</v>
      </c>
      <c r="H29" s="465">
        <f t="shared" ca="1" si="1"/>
        <v>-0.1</v>
      </c>
      <c r="I29" s="462">
        <f t="shared" ca="1" si="0"/>
        <v>-0.11</v>
      </c>
      <c r="J29" s="483">
        <f t="shared" ca="1" si="0"/>
        <v>-0.13</v>
      </c>
      <c r="K29" s="467">
        <f t="shared" ca="1" si="0"/>
        <v>-0.1</v>
      </c>
      <c r="L29" s="544">
        <f t="shared" ca="1" si="0"/>
        <v>-0.1</v>
      </c>
      <c r="M29" s="470">
        <f t="shared" ca="1" si="0"/>
        <v>-0.10734989605332523</v>
      </c>
      <c r="R29"/>
    </row>
    <row r="30" spans="1:18" ht="15" customHeight="1" x14ac:dyDescent="0.25">
      <c r="B30" s="1716" t="s">
        <v>464</v>
      </c>
      <c r="C30" s="241" t="s">
        <v>461</v>
      </c>
      <c r="D30" s="460">
        <f t="shared" ca="1" si="1"/>
        <v>-0.11</v>
      </c>
      <c r="E30" s="480">
        <f t="shared" ca="1" si="1"/>
        <v>-0.13</v>
      </c>
      <c r="F30" s="463">
        <f t="shared" ca="1" si="1"/>
        <v>-0.1</v>
      </c>
      <c r="G30" s="542">
        <f t="shared" ca="1" si="1"/>
        <v>-0.1</v>
      </c>
      <c r="H30" s="468">
        <f t="shared" ca="1" si="1"/>
        <v>-0.1</v>
      </c>
      <c r="I30" s="460">
        <f t="shared" ca="1" si="0"/>
        <v>-0.12915175171218479</v>
      </c>
      <c r="J30" s="480">
        <f t="shared" ca="1" si="0"/>
        <v>-0.13</v>
      </c>
      <c r="K30" s="463">
        <f t="shared" ca="1" si="0"/>
        <v>-0.1</v>
      </c>
      <c r="L30" s="542">
        <f t="shared" ca="1" si="0"/>
        <v>-0.10545571449058683</v>
      </c>
      <c r="M30" s="469">
        <f t="shared" ca="1" si="0"/>
        <v>-0.1</v>
      </c>
      <c r="R30"/>
    </row>
    <row r="31" spans="1:18" ht="15" customHeight="1" thickBot="1" x14ac:dyDescent="0.3">
      <c r="B31" s="1717"/>
      <c r="C31" s="276" t="s">
        <v>462</v>
      </c>
      <c r="D31" s="462">
        <f t="shared" ca="1" si="1"/>
        <v>-0.11</v>
      </c>
      <c r="E31" s="483">
        <f t="shared" ca="1" si="1"/>
        <v>-0.13</v>
      </c>
      <c r="F31" s="467">
        <f t="shared" ca="1" si="1"/>
        <v>-0.1</v>
      </c>
      <c r="G31" s="544">
        <f t="shared" ca="1" si="1"/>
        <v>-0.1</v>
      </c>
      <c r="H31" s="465">
        <f t="shared" ca="1" si="1"/>
        <v>-0.1</v>
      </c>
      <c r="I31" s="462">
        <f t="shared" ca="1" si="0"/>
        <v>-0.12149105102731089</v>
      </c>
      <c r="J31" s="483">
        <f t="shared" ca="1" si="0"/>
        <v>-0.13</v>
      </c>
      <c r="K31" s="467">
        <f t="shared" ca="1" si="0"/>
        <v>-0.1</v>
      </c>
      <c r="L31" s="544">
        <f t="shared" ca="1" si="0"/>
        <v>-0.10454642874215569</v>
      </c>
      <c r="M31" s="470">
        <f t="shared" ca="1" si="0"/>
        <v>-0.10281160093304098</v>
      </c>
      <c r="R31"/>
    </row>
    <row r="32" spans="1:18" ht="15" customHeight="1" x14ac:dyDescent="0.25">
      <c r="B32" s="1716" t="s">
        <v>465</v>
      </c>
      <c r="C32" s="241" t="s">
        <v>461</v>
      </c>
      <c r="D32" s="460">
        <f t="shared" ca="1" si="1"/>
        <v>-0.11</v>
      </c>
      <c r="E32" s="480">
        <f t="shared" ca="1" si="1"/>
        <v>-0.13</v>
      </c>
      <c r="F32" s="463">
        <f t="shared" ca="1" si="1"/>
        <v>-0.1</v>
      </c>
      <c r="G32" s="542">
        <f t="shared" ca="1" si="1"/>
        <v>-0.1</v>
      </c>
      <c r="H32" s="468">
        <f t="shared" ca="1" si="1"/>
        <v>-0.1</v>
      </c>
      <c r="I32" s="460">
        <f t="shared" ca="1" si="0"/>
        <v>-0.14360312721529986</v>
      </c>
      <c r="J32" s="480">
        <f t="shared" ca="1" si="0"/>
        <v>-0.13</v>
      </c>
      <c r="K32" s="463">
        <f t="shared" ca="1" si="0"/>
        <v>-0.10691965817911281</v>
      </c>
      <c r="L32" s="542">
        <f t="shared" ca="1" si="0"/>
        <v>-0.10351092553743543</v>
      </c>
      <c r="M32" s="469">
        <f t="shared" ca="1" si="0"/>
        <v>-0.1</v>
      </c>
      <c r="R32"/>
    </row>
    <row r="33" spans="2:18" ht="15" customHeight="1" thickBot="1" x14ac:dyDescent="0.3">
      <c r="B33" s="1717"/>
      <c r="C33" s="276" t="s">
        <v>462</v>
      </c>
      <c r="D33" s="462">
        <f t="shared" ca="1" si="1"/>
        <v>-0.11</v>
      </c>
      <c r="E33" s="483">
        <f t="shared" ca="1" si="1"/>
        <v>-0.13</v>
      </c>
      <c r="F33" s="467">
        <f t="shared" ca="1" si="1"/>
        <v>-0.1</v>
      </c>
      <c r="G33" s="544">
        <f t="shared" ca="1" si="1"/>
        <v>-0.1</v>
      </c>
      <c r="H33" s="465">
        <f t="shared" ca="1" si="1"/>
        <v>-0.1</v>
      </c>
      <c r="I33" s="462">
        <f t="shared" ca="1" si="0"/>
        <v>-0.13352218905070989</v>
      </c>
      <c r="J33" s="483">
        <f t="shared" ca="1" si="0"/>
        <v>-0.13</v>
      </c>
      <c r="K33" s="467">
        <f t="shared" ca="1" si="0"/>
        <v>-0.1</v>
      </c>
      <c r="L33" s="544">
        <f t="shared" ca="1" si="0"/>
        <v>-0.1</v>
      </c>
      <c r="M33" s="470">
        <f t="shared" ca="1" si="0"/>
        <v>-0.1</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1st-4th module</v>
      </c>
      <c r="D35" s="460">
        <f ca="1">D59</f>
        <v>-4.4811739066008538E-4</v>
      </c>
      <c r="E35" s="480">
        <f t="shared" ref="E35:M42" ca="1" si="2">E59</f>
        <v>3.4405764703713947E-2</v>
      </c>
      <c r="F35" s="463">
        <f t="shared" ca="1" si="2"/>
        <v>4.2513203219492673E-2</v>
      </c>
      <c r="G35" s="542">
        <f t="shared" ca="1" si="2"/>
        <v>4.2513203219492673E-2</v>
      </c>
      <c r="H35" s="468">
        <f t="shared" ca="1" si="2"/>
        <v>3.1533519281794542E-2</v>
      </c>
      <c r="I35" s="460">
        <f t="shared" ca="1" si="2"/>
        <v>4.7263333328600922E-2</v>
      </c>
      <c r="J35" s="480">
        <f t="shared" ca="1" si="2"/>
        <v>7.7332479058187506E-2</v>
      </c>
      <c r="K35" s="463">
        <f t="shared" ca="1" si="2"/>
        <v>6.8591634531219428E-2</v>
      </c>
      <c r="L35" s="542">
        <f t="shared" ca="1" si="2"/>
        <v>7.4554331154389336E-2</v>
      </c>
      <c r="M35" s="469">
        <f ca="1">M59</f>
        <v>6.6976937959039529E-2</v>
      </c>
      <c r="R35"/>
    </row>
    <row r="36" spans="2:18" ht="15" customHeight="1" thickBot="1" x14ac:dyDescent="0.3">
      <c r="B36" s="1717"/>
      <c r="C36" s="277" t="str">
        <f>$C$27</f>
        <v>Interior modules</v>
      </c>
      <c r="D36" s="461">
        <f t="shared" ref="D36:H42" ca="1" si="3">D60</f>
        <v>-4.4811739066008538E-4</v>
      </c>
      <c r="E36" s="482">
        <f t="shared" ca="1" si="3"/>
        <v>3.4405764703713947E-2</v>
      </c>
      <c r="F36" s="466">
        <f t="shared" ca="1" si="3"/>
        <v>4.2513203219492673E-2</v>
      </c>
      <c r="G36" s="543">
        <f t="shared" ca="1" si="3"/>
        <v>4.2513203219492673E-2</v>
      </c>
      <c r="H36" s="464">
        <f t="shared" ca="1" si="3"/>
        <v>3.1533519281794542E-2</v>
      </c>
      <c r="I36" s="461">
        <f t="shared" ca="1" si="2"/>
        <v>5.64503958780131E-2</v>
      </c>
      <c r="J36" s="482">
        <f t="shared" ca="1" si="2"/>
        <v>6.2370355163186897E-2</v>
      </c>
      <c r="K36" s="466">
        <f t="shared" ca="1" si="2"/>
        <v>4.5674553440449829E-2</v>
      </c>
      <c r="L36" s="543">
        <f t="shared" ca="1" si="2"/>
        <v>6.9571001193586862E-2</v>
      </c>
      <c r="M36" s="471">
        <f t="shared" ca="1" si="2"/>
        <v>6.6621933368357422E-2</v>
      </c>
      <c r="R36"/>
    </row>
    <row r="37" spans="2:18" ht="15" customHeight="1" x14ac:dyDescent="0.25">
      <c r="B37" s="1716" t="str">
        <f>$B$28</f>
        <v>Inner rows, 2nd to 6th row from north</v>
      </c>
      <c r="C37" s="183" t="str">
        <f>$C$26</f>
        <v>1st-4th module</v>
      </c>
      <c r="D37" s="460">
        <f t="shared" ca="1" si="3"/>
        <v>-4.4811739066008538E-4</v>
      </c>
      <c r="E37" s="480">
        <f t="shared" ca="1" si="3"/>
        <v>3.4405764703713947E-2</v>
      </c>
      <c r="F37" s="463">
        <f t="shared" ca="1" si="3"/>
        <v>4.2513203219492673E-2</v>
      </c>
      <c r="G37" s="542">
        <f t="shared" ca="1" si="3"/>
        <v>4.2513203219492673E-2</v>
      </c>
      <c r="H37" s="468">
        <f t="shared" ca="1" si="3"/>
        <v>3.1533519281794542E-2</v>
      </c>
      <c r="I37" s="460">
        <f t="shared" ca="1" si="2"/>
        <v>7.5737259506541546E-2</v>
      </c>
      <c r="J37" s="480">
        <f t="shared" ca="1" si="2"/>
        <v>4.9791533668803699E-2</v>
      </c>
      <c r="K37" s="463">
        <f t="shared" ca="1" si="2"/>
        <v>5.9779826982617863E-2</v>
      </c>
      <c r="L37" s="542">
        <f t="shared" ca="1" si="2"/>
        <v>5.9779826982617863E-2</v>
      </c>
      <c r="M37" s="469">
        <f t="shared" ca="1" si="2"/>
        <v>6.9345924705176851E-2</v>
      </c>
      <c r="R37"/>
    </row>
    <row r="38" spans="2:18" ht="15" customHeight="1" thickBot="1" x14ac:dyDescent="0.3">
      <c r="B38" s="1717"/>
      <c r="C38" s="277" t="str">
        <f>$C$27</f>
        <v>Interior modules</v>
      </c>
      <c r="D38" s="462">
        <f t="shared" ca="1" si="3"/>
        <v>-4.4811739066008538E-4</v>
      </c>
      <c r="E38" s="483">
        <f t="shared" ca="1" si="3"/>
        <v>3.4405764703713947E-2</v>
      </c>
      <c r="F38" s="467">
        <f t="shared" ca="1" si="3"/>
        <v>4.2513203219492673E-2</v>
      </c>
      <c r="G38" s="544">
        <f t="shared" ca="1" si="3"/>
        <v>4.2513203219492673E-2</v>
      </c>
      <c r="H38" s="465">
        <f t="shared" ca="1" si="3"/>
        <v>3.1533519281794542E-2</v>
      </c>
      <c r="I38" s="462">
        <f t="shared" ca="1" si="2"/>
        <v>5.64503958780131E-2</v>
      </c>
      <c r="J38" s="483">
        <f t="shared" ca="1" si="2"/>
        <v>4.9791533668803699E-2</v>
      </c>
      <c r="K38" s="467">
        <f t="shared" ca="1" si="2"/>
        <v>5.9779826982617863E-2</v>
      </c>
      <c r="L38" s="544">
        <f t="shared" ca="1" si="2"/>
        <v>5.9779826982617863E-2</v>
      </c>
      <c r="M38" s="470">
        <f t="shared" ca="1" si="2"/>
        <v>5.1632019397699958E-2</v>
      </c>
      <c r="R38"/>
    </row>
    <row r="39" spans="2:18" ht="15" customHeight="1" x14ac:dyDescent="0.25">
      <c r="B39" s="1716" t="str">
        <f>$B$30</f>
        <v>Inner rows, from 7th row from north</v>
      </c>
      <c r="C39" s="183" t="str">
        <f>$C$26</f>
        <v>1st-4th module</v>
      </c>
      <c r="D39" s="460">
        <f t="shared" ca="1" si="3"/>
        <v>-4.4811739066008538E-4</v>
      </c>
      <c r="E39" s="480">
        <f t="shared" ca="1" si="3"/>
        <v>3.4405764703713947E-2</v>
      </c>
      <c r="F39" s="463">
        <f t="shared" ca="1" si="3"/>
        <v>4.2513203219492673E-2</v>
      </c>
      <c r="G39" s="542">
        <f t="shared" ca="1" si="3"/>
        <v>4.2513203219492673E-2</v>
      </c>
      <c r="H39" s="468">
        <f t="shared" ca="1" si="3"/>
        <v>3.1533519281794542E-2</v>
      </c>
      <c r="I39" s="460">
        <f t="shared" ca="1" si="2"/>
        <v>7.9782831798035012E-2</v>
      </c>
      <c r="J39" s="480">
        <f t="shared" ca="1" si="2"/>
        <v>4.9791533668803699E-2</v>
      </c>
      <c r="K39" s="463">
        <f t="shared" ca="1" si="2"/>
        <v>5.9779826982617863E-2</v>
      </c>
      <c r="L39" s="542">
        <f t="shared" ca="1" si="2"/>
        <v>5.7963384430337474E-2</v>
      </c>
      <c r="M39" s="469">
        <f t="shared" ca="1" si="2"/>
        <v>5.9779826982617863E-2</v>
      </c>
      <c r="R39"/>
    </row>
    <row r="40" spans="2:18" ht="15" customHeight="1" thickBot="1" x14ac:dyDescent="0.3">
      <c r="B40" s="1717"/>
      <c r="C40" s="277" t="str">
        <f>$C$27</f>
        <v>Interior modules</v>
      </c>
      <c r="D40" s="462">
        <f t="shared" ca="1" si="3"/>
        <v>-4.4811739066008538E-4</v>
      </c>
      <c r="E40" s="483">
        <f t="shared" ca="1" si="3"/>
        <v>3.4405764703713947E-2</v>
      </c>
      <c r="F40" s="467">
        <f t="shared" ca="1" si="3"/>
        <v>4.2513203219492673E-2</v>
      </c>
      <c r="G40" s="544">
        <f t="shared" ca="1" si="3"/>
        <v>4.2513203219492673E-2</v>
      </c>
      <c r="H40" s="465">
        <f t="shared" ca="1" si="3"/>
        <v>3.1533519281794542E-2</v>
      </c>
      <c r="I40" s="462">
        <f t="shared" ca="1" si="2"/>
        <v>5.2624529606520171E-2</v>
      </c>
      <c r="J40" s="483">
        <f t="shared" ca="1" si="2"/>
        <v>4.9791533668803699E-2</v>
      </c>
      <c r="K40" s="467">
        <f t="shared" ca="1" si="2"/>
        <v>5.9779826982617863E-2</v>
      </c>
      <c r="L40" s="544">
        <f t="shared" ca="1" si="2"/>
        <v>5.8266124855717694E-2</v>
      </c>
      <c r="M40" s="470">
        <f t="shared" ca="1" si="2"/>
        <v>5.8843723822597581E-2</v>
      </c>
      <c r="R40"/>
    </row>
    <row r="41" spans="2:18" ht="15" customHeight="1" x14ac:dyDescent="0.25">
      <c r="B41" s="1716" t="str">
        <f>$B$32</f>
        <v>South row</v>
      </c>
      <c r="C41" s="183" t="str">
        <f>$C$26</f>
        <v>1st-4th module</v>
      </c>
      <c r="D41" s="460">
        <f t="shared" ca="1" si="3"/>
        <v>-4.4811739066008538E-4</v>
      </c>
      <c r="E41" s="480">
        <f t="shared" ca="1" si="3"/>
        <v>3.4405764703713947E-2</v>
      </c>
      <c r="F41" s="463">
        <f t="shared" ca="1" si="3"/>
        <v>4.2513203219492673E-2</v>
      </c>
      <c r="G41" s="542">
        <f t="shared" ca="1" si="3"/>
        <v>4.2513203219492673E-2</v>
      </c>
      <c r="H41" s="468">
        <f t="shared" ca="1" si="3"/>
        <v>3.1533519281794542E-2</v>
      </c>
      <c r="I41" s="460">
        <f t="shared" ca="1" si="2"/>
        <v>7.6538287188068002E-2</v>
      </c>
      <c r="J41" s="480">
        <f t="shared" ca="1" si="2"/>
        <v>4.9791533668803699E-2</v>
      </c>
      <c r="K41" s="463">
        <f t="shared" ca="1" si="2"/>
        <v>5.9127362209945723E-2</v>
      </c>
      <c r="L41" s="542">
        <f t="shared" ca="1" si="2"/>
        <v>5.8610888513589116E-2</v>
      </c>
      <c r="M41" s="469">
        <f t="shared" ca="1" si="2"/>
        <v>5.9779826982617863E-2</v>
      </c>
      <c r="R41"/>
    </row>
    <row r="42" spans="2:18" ht="15" customHeight="1" thickBot="1" x14ac:dyDescent="0.3">
      <c r="B42" s="1717"/>
      <c r="C42" s="277" t="str">
        <f>$C$27</f>
        <v>Interior modules</v>
      </c>
      <c r="D42" s="462">
        <f t="shared" ca="1" si="3"/>
        <v>-4.4811739066008538E-4</v>
      </c>
      <c r="E42" s="483">
        <f t="shared" ca="1" si="3"/>
        <v>3.4405764703713947E-2</v>
      </c>
      <c r="F42" s="467">
        <f t="shared" ca="1" si="3"/>
        <v>4.2513203219492673E-2</v>
      </c>
      <c r="G42" s="544">
        <f t="shared" ca="1" si="3"/>
        <v>4.2513203219492673E-2</v>
      </c>
      <c r="H42" s="465">
        <f t="shared" ca="1" si="3"/>
        <v>3.1533519281794542E-2</v>
      </c>
      <c r="I42" s="462">
        <f t="shared" ca="1" si="2"/>
        <v>4.861884509063006E-2</v>
      </c>
      <c r="J42" s="483">
        <f t="shared" ca="1" si="2"/>
        <v>4.9791533668803699E-2</v>
      </c>
      <c r="K42" s="467">
        <f t="shared" ca="1" si="2"/>
        <v>5.9779826982617863E-2</v>
      </c>
      <c r="L42" s="544">
        <f t="shared" ca="1" si="2"/>
        <v>5.9779826982617863E-2</v>
      </c>
      <c r="M42" s="470">
        <f t="shared" ca="1" si="2"/>
        <v>5.9779826982617863E-2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80"/>
      <c r="I44" s="380"/>
      <c r="J44" s="380"/>
      <c r="K44" s="380"/>
      <c r="L44" s="380"/>
      <c r="M44" s="380"/>
      <c r="N44" s="380"/>
      <c r="O44" s="380"/>
      <c r="P44" s="380"/>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1st-4th module</v>
      </c>
      <c r="D50" s="189">
        <f ca="1">D101</f>
        <v>-0.11</v>
      </c>
      <c r="E50" s="190">
        <f t="shared" ref="E50:M57" ca="1" si="4">E101</f>
        <v>-0.13</v>
      </c>
      <c r="F50" s="190">
        <f t="shared" ca="1" si="4"/>
        <v>-0.1</v>
      </c>
      <c r="G50" s="573">
        <f t="shared" ca="1" si="4"/>
        <v>-0.1</v>
      </c>
      <c r="H50" s="573">
        <f t="shared" ca="1" si="4"/>
        <v>-0.1</v>
      </c>
      <c r="I50" s="189">
        <f t="shared" ca="1" si="4"/>
        <v>-0.13759349048162064</v>
      </c>
      <c r="J50" s="190">
        <f t="shared" ca="1" si="4"/>
        <v>-0.18570776068424313</v>
      </c>
      <c r="K50" s="190">
        <f t="shared" ca="1" si="4"/>
        <v>-0.11666206518135244</v>
      </c>
      <c r="L50" s="190">
        <f t="shared" ca="1" si="4"/>
        <v>-0.12320921746195346</v>
      </c>
      <c r="M50" s="191">
        <f t="shared" ca="1" si="4"/>
        <v>-0.11812645419587176</v>
      </c>
      <c r="R50"/>
    </row>
    <row r="51" spans="2:18" ht="15" customHeight="1" thickBot="1" x14ac:dyDescent="0.3">
      <c r="B51" s="1717"/>
      <c r="C51" s="277" t="str">
        <f>$C$27</f>
        <v>Interior modules</v>
      </c>
      <c r="D51" s="578">
        <f t="shared" ref="D51:D57" ca="1" si="5">D102</f>
        <v>-0.11</v>
      </c>
      <c r="E51" s="579">
        <f t="shared" ca="1" si="4"/>
        <v>-0.13</v>
      </c>
      <c r="F51" s="579">
        <f t="shared" ca="1" si="4"/>
        <v>-0.1</v>
      </c>
      <c r="G51" s="580">
        <f t="shared" ca="1" si="4"/>
        <v>-0.1</v>
      </c>
      <c r="H51" s="580">
        <f t="shared" ca="1" si="4"/>
        <v>-0.1</v>
      </c>
      <c r="I51" s="578">
        <f t="shared" ca="1" si="4"/>
        <v>-0.11</v>
      </c>
      <c r="J51" s="579">
        <f t="shared" ca="1" si="4"/>
        <v>-0.21016033302464632</v>
      </c>
      <c r="K51" s="579">
        <f t="shared" ca="1" si="4"/>
        <v>-0.10942632844135758</v>
      </c>
      <c r="L51" s="579">
        <f t="shared" ca="1" si="4"/>
        <v>-0.12465979355332554</v>
      </c>
      <c r="M51" s="581">
        <f t="shared" ca="1" si="4"/>
        <v>-0.11919271620739363</v>
      </c>
      <c r="R51"/>
    </row>
    <row r="52" spans="2:18" ht="15" customHeight="1" x14ac:dyDescent="0.25">
      <c r="B52" s="1716" t="str">
        <f>$B$28</f>
        <v>Inner rows, 2nd to 6th row from north</v>
      </c>
      <c r="C52" s="183" t="str">
        <f>$C$26</f>
        <v>1st-4th module</v>
      </c>
      <c r="D52" s="189">
        <f t="shared" ca="1" si="5"/>
        <v>-0.11</v>
      </c>
      <c r="E52" s="190">
        <f t="shared" ca="1" si="4"/>
        <v>-0.13</v>
      </c>
      <c r="F52" s="190">
        <f t="shared" ca="1" si="4"/>
        <v>-0.1</v>
      </c>
      <c r="G52" s="573">
        <f t="shared" ca="1" si="4"/>
        <v>-0.1</v>
      </c>
      <c r="H52" s="573">
        <f t="shared" ca="1" si="4"/>
        <v>-0.1</v>
      </c>
      <c r="I52" s="189">
        <f t="shared" ca="1" si="4"/>
        <v>-0.14901202257863944</v>
      </c>
      <c r="J52" s="190">
        <f t="shared" ca="1" si="4"/>
        <v>-0.13</v>
      </c>
      <c r="K52" s="190">
        <f t="shared" ca="1" si="4"/>
        <v>-0.1</v>
      </c>
      <c r="L52" s="190">
        <f t="shared" ca="1" si="4"/>
        <v>-0.1</v>
      </c>
      <c r="M52" s="191">
        <f t="shared" ca="1" si="4"/>
        <v>-0.10551242203999392</v>
      </c>
      <c r="R52"/>
    </row>
    <row r="53" spans="2:18" ht="15" customHeight="1" thickBot="1" x14ac:dyDescent="0.3">
      <c r="B53" s="1717"/>
      <c r="C53" s="277" t="str">
        <f>$C$27</f>
        <v>Interior modules</v>
      </c>
      <c r="D53" s="578">
        <f t="shared" ca="1" si="5"/>
        <v>-0.11</v>
      </c>
      <c r="E53" s="579">
        <f t="shared" ca="1" si="4"/>
        <v>-0.13</v>
      </c>
      <c r="F53" s="579">
        <f t="shared" ca="1" si="4"/>
        <v>-0.1</v>
      </c>
      <c r="G53" s="580">
        <f t="shared" ca="1" si="4"/>
        <v>-0.1</v>
      </c>
      <c r="H53" s="580">
        <f t="shared" ca="1" si="4"/>
        <v>-0.1</v>
      </c>
      <c r="I53" s="578">
        <f t="shared" ca="1" si="4"/>
        <v>-0.11</v>
      </c>
      <c r="J53" s="579">
        <f t="shared" ca="1" si="4"/>
        <v>-0.13</v>
      </c>
      <c r="K53" s="579">
        <f t="shared" ca="1" si="4"/>
        <v>-0.1</v>
      </c>
      <c r="L53" s="579">
        <f t="shared" ca="1" si="4"/>
        <v>-0.1</v>
      </c>
      <c r="M53" s="581">
        <f t="shared" ca="1" si="4"/>
        <v>-0.10734989605332523</v>
      </c>
      <c r="R53"/>
    </row>
    <row r="54" spans="2:18" ht="15" customHeight="1" x14ac:dyDescent="0.25">
      <c r="B54" s="1716" t="str">
        <f>$B$30</f>
        <v>Inner rows, from 7th row from north</v>
      </c>
      <c r="C54" s="183" t="str">
        <f>$C$26</f>
        <v>1st-4th module</v>
      </c>
      <c r="D54" s="189">
        <f t="shared" ca="1" si="5"/>
        <v>-0.11</v>
      </c>
      <c r="E54" s="190">
        <f t="shared" ca="1" si="4"/>
        <v>-0.13</v>
      </c>
      <c r="F54" s="190">
        <f t="shared" ca="1" si="4"/>
        <v>-0.1</v>
      </c>
      <c r="G54" s="573">
        <f t="shared" ca="1" si="4"/>
        <v>-0.1</v>
      </c>
      <c r="H54" s="573">
        <f t="shared" ca="1" si="4"/>
        <v>-0.1</v>
      </c>
      <c r="I54" s="189">
        <f t="shared" ca="1" si="4"/>
        <v>-0.12915175171218479</v>
      </c>
      <c r="J54" s="190">
        <f t="shared" ca="1" si="4"/>
        <v>-0.13</v>
      </c>
      <c r="K54" s="190">
        <f t="shared" ca="1" si="4"/>
        <v>-0.1</v>
      </c>
      <c r="L54" s="190">
        <f t="shared" ca="1" si="4"/>
        <v>-0.10545571449058683</v>
      </c>
      <c r="M54" s="191">
        <f t="shared" ca="1" si="4"/>
        <v>-0.1</v>
      </c>
      <c r="R54"/>
    </row>
    <row r="55" spans="2:18" ht="15" customHeight="1" thickBot="1" x14ac:dyDescent="0.3">
      <c r="B55" s="1717"/>
      <c r="C55" s="277" t="str">
        <f>$C$27</f>
        <v>Interior modules</v>
      </c>
      <c r="D55" s="582">
        <f t="shared" ca="1" si="5"/>
        <v>-0.11</v>
      </c>
      <c r="E55" s="583">
        <f t="shared" ca="1" si="4"/>
        <v>-0.13</v>
      </c>
      <c r="F55" s="583">
        <f t="shared" ca="1" si="4"/>
        <v>-0.1</v>
      </c>
      <c r="G55" s="584">
        <f t="shared" ca="1" si="4"/>
        <v>-0.1</v>
      </c>
      <c r="H55" s="584">
        <f t="shared" ca="1" si="4"/>
        <v>-0.1</v>
      </c>
      <c r="I55" s="582">
        <f t="shared" ca="1" si="4"/>
        <v>-0.12149105102731089</v>
      </c>
      <c r="J55" s="583">
        <f t="shared" ca="1" si="4"/>
        <v>-0.13</v>
      </c>
      <c r="K55" s="583">
        <f t="shared" ca="1" si="4"/>
        <v>-0.1</v>
      </c>
      <c r="L55" s="583">
        <f t="shared" ca="1" si="4"/>
        <v>-0.10454642874215569</v>
      </c>
      <c r="M55" s="585">
        <f t="shared" ca="1" si="4"/>
        <v>-0.10281160093304098</v>
      </c>
      <c r="R55"/>
    </row>
    <row r="56" spans="2:18" ht="15" customHeight="1" x14ac:dyDescent="0.25">
      <c r="B56" s="1716" t="str">
        <f>$B$32</f>
        <v>South row</v>
      </c>
      <c r="C56" s="183" t="str">
        <f>$C$26</f>
        <v>1st-4th module</v>
      </c>
      <c r="D56" s="189">
        <f t="shared" ca="1" si="5"/>
        <v>-0.11</v>
      </c>
      <c r="E56" s="190">
        <f t="shared" ca="1" si="4"/>
        <v>-0.13</v>
      </c>
      <c r="F56" s="190">
        <f t="shared" ca="1" si="4"/>
        <v>-0.1</v>
      </c>
      <c r="G56" s="573">
        <f t="shared" ca="1" si="4"/>
        <v>-0.1</v>
      </c>
      <c r="H56" s="573">
        <f t="shared" ca="1" si="4"/>
        <v>-0.1</v>
      </c>
      <c r="I56" s="189">
        <f t="shared" ca="1" si="4"/>
        <v>-0.14360312721529986</v>
      </c>
      <c r="J56" s="190">
        <f t="shared" ca="1" si="4"/>
        <v>-0.13</v>
      </c>
      <c r="K56" s="190">
        <f t="shared" ca="1" si="4"/>
        <v>-0.10691965817911281</v>
      </c>
      <c r="L56" s="190">
        <f t="shared" ca="1" si="4"/>
        <v>-0.10351092553743543</v>
      </c>
      <c r="M56" s="191">
        <f t="shared" ca="1" si="4"/>
        <v>-0.1</v>
      </c>
      <c r="R56"/>
    </row>
    <row r="57" spans="2:18" ht="15" customHeight="1" thickBot="1" x14ac:dyDescent="0.3">
      <c r="B57" s="1717"/>
      <c r="C57" s="277" t="str">
        <f>$C$27</f>
        <v>Interior modules</v>
      </c>
      <c r="D57" s="578">
        <f t="shared" ca="1" si="5"/>
        <v>-0.11</v>
      </c>
      <c r="E57" s="579">
        <f t="shared" ca="1" si="4"/>
        <v>-0.13</v>
      </c>
      <c r="F57" s="579">
        <f t="shared" ca="1" si="4"/>
        <v>-0.1</v>
      </c>
      <c r="G57" s="580">
        <f t="shared" ca="1" si="4"/>
        <v>-0.1</v>
      </c>
      <c r="H57" s="580">
        <f t="shared" ca="1" si="4"/>
        <v>-0.1</v>
      </c>
      <c r="I57" s="578">
        <f t="shared" ca="1" si="4"/>
        <v>-0.13352218905070989</v>
      </c>
      <c r="J57" s="579">
        <f t="shared" ca="1" si="4"/>
        <v>-0.13</v>
      </c>
      <c r="K57" s="579">
        <f t="shared" ca="1" si="4"/>
        <v>-0.1</v>
      </c>
      <c r="L57" s="579">
        <f t="shared" ca="1" si="4"/>
        <v>-0.1</v>
      </c>
      <c r="M57" s="581">
        <f t="shared" ca="1" si="4"/>
        <v>-0.1</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1st-4th module</v>
      </c>
      <c r="D59" s="189">
        <f ca="1">D73</f>
        <v>-4.4811739066008538E-4</v>
      </c>
      <c r="E59" s="190">
        <f t="shared" ref="E59:M66" ca="1" si="6">E73</f>
        <v>3.4405764703713947E-2</v>
      </c>
      <c r="F59" s="190">
        <f t="shared" ca="1" si="6"/>
        <v>4.2513203219492673E-2</v>
      </c>
      <c r="G59" s="573">
        <f t="shared" ca="1" si="6"/>
        <v>4.2513203219492673E-2</v>
      </c>
      <c r="H59" s="573">
        <f t="shared" ca="1" si="6"/>
        <v>3.1533519281794542E-2</v>
      </c>
      <c r="I59" s="189">
        <f t="shared" ca="1" si="6"/>
        <v>4.7263333328600922E-2</v>
      </c>
      <c r="J59" s="190">
        <f t="shared" ca="1" si="6"/>
        <v>7.7332479058187506E-2</v>
      </c>
      <c r="K59" s="190">
        <f t="shared" ca="1" si="6"/>
        <v>6.8591634531219428E-2</v>
      </c>
      <c r="L59" s="190">
        <f t="shared" ca="1" si="6"/>
        <v>7.4554331154389336E-2</v>
      </c>
      <c r="M59" s="191">
        <f t="shared" ca="1" si="6"/>
        <v>6.6976937959039529E-2</v>
      </c>
      <c r="R59"/>
    </row>
    <row r="60" spans="2:18" ht="15" customHeight="1" thickBot="1" x14ac:dyDescent="0.3">
      <c r="B60" s="1717"/>
      <c r="C60" s="277" t="str">
        <f>$C$27</f>
        <v>Interior modules</v>
      </c>
      <c r="D60" s="578">
        <f t="shared" ref="D60:H66" ca="1" si="7">D74</f>
        <v>-4.4811739066008538E-4</v>
      </c>
      <c r="E60" s="579">
        <f t="shared" ca="1" si="7"/>
        <v>3.4405764703713947E-2</v>
      </c>
      <c r="F60" s="579">
        <f t="shared" ca="1" si="7"/>
        <v>4.2513203219492673E-2</v>
      </c>
      <c r="G60" s="580">
        <f t="shared" ca="1" si="7"/>
        <v>4.2513203219492673E-2</v>
      </c>
      <c r="H60" s="580">
        <f t="shared" ca="1" si="7"/>
        <v>3.1533519281794542E-2</v>
      </c>
      <c r="I60" s="578">
        <f t="shared" ca="1" si="6"/>
        <v>5.64503958780131E-2</v>
      </c>
      <c r="J60" s="579">
        <f t="shared" ca="1" si="6"/>
        <v>6.2370355163186897E-2</v>
      </c>
      <c r="K60" s="579">
        <f t="shared" ca="1" si="6"/>
        <v>4.5674553440449829E-2</v>
      </c>
      <c r="L60" s="579">
        <f t="shared" ca="1" si="6"/>
        <v>6.9571001193586862E-2</v>
      </c>
      <c r="M60" s="581">
        <f t="shared" ca="1" si="6"/>
        <v>6.6621933368357422E-2</v>
      </c>
      <c r="R60"/>
    </row>
    <row r="61" spans="2:18" ht="15" customHeight="1" x14ac:dyDescent="0.25">
      <c r="B61" s="1716" t="str">
        <f>$B$28</f>
        <v>Inner rows, 2nd to 6th row from north</v>
      </c>
      <c r="C61" s="183" t="str">
        <f>$C$26</f>
        <v>1st-4th module</v>
      </c>
      <c r="D61" s="189">
        <f t="shared" ca="1" si="7"/>
        <v>-4.4811739066008538E-4</v>
      </c>
      <c r="E61" s="190">
        <f t="shared" ca="1" si="7"/>
        <v>3.4405764703713947E-2</v>
      </c>
      <c r="F61" s="190">
        <f t="shared" ca="1" si="7"/>
        <v>4.2513203219492673E-2</v>
      </c>
      <c r="G61" s="573">
        <f t="shared" ca="1" si="7"/>
        <v>4.2513203219492673E-2</v>
      </c>
      <c r="H61" s="573">
        <f t="shared" ca="1" si="7"/>
        <v>3.1533519281794542E-2</v>
      </c>
      <c r="I61" s="189">
        <f t="shared" ca="1" si="6"/>
        <v>7.5737259506541546E-2</v>
      </c>
      <c r="J61" s="190">
        <f t="shared" ca="1" si="6"/>
        <v>4.9791533668803699E-2</v>
      </c>
      <c r="K61" s="190">
        <f t="shared" ca="1" si="6"/>
        <v>5.9779826982617863E-2</v>
      </c>
      <c r="L61" s="190">
        <f t="shared" ca="1" si="6"/>
        <v>5.9779826982617863E-2</v>
      </c>
      <c r="M61" s="191">
        <f t="shared" ca="1" si="6"/>
        <v>6.9345924705176851E-2</v>
      </c>
      <c r="R61"/>
    </row>
    <row r="62" spans="2:18" ht="15" customHeight="1" thickBot="1" x14ac:dyDescent="0.3">
      <c r="B62" s="1717"/>
      <c r="C62" s="277" t="str">
        <f>$C$27</f>
        <v>Interior modules</v>
      </c>
      <c r="D62" s="578">
        <f t="shared" ca="1" si="7"/>
        <v>-4.4811739066008538E-4</v>
      </c>
      <c r="E62" s="579">
        <f t="shared" ca="1" si="7"/>
        <v>3.4405764703713947E-2</v>
      </c>
      <c r="F62" s="579">
        <f t="shared" ca="1" si="7"/>
        <v>4.2513203219492673E-2</v>
      </c>
      <c r="G62" s="580">
        <f t="shared" ca="1" si="7"/>
        <v>4.2513203219492673E-2</v>
      </c>
      <c r="H62" s="580">
        <f t="shared" ca="1" si="7"/>
        <v>3.1533519281794542E-2</v>
      </c>
      <c r="I62" s="578">
        <f t="shared" ca="1" si="6"/>
        <v>5.64503958780131E-2</v>
      </c>
      <c r="J62" s="579">
        <f t="shared" ca="1" si="6"/>
        <v>4.9791533668803699E-2</v>
      </c>
      <c r="K62" s="579">
        <f t="shared" ca="1" si="6"/>
        <v>5.9779826982617863E-2</v>
      </c>
      <c r="L62" s="579">
        <f t="shared" ca="1" si="6"/>
        <v>5.9779826982617863E-2</v>
      </c>
      <c r="M62" s="581">
        <f t="shared" ca="1" si="6"/>
        <v>5.1632019397699958E-2</v>
      </c>
      <c r="R62"/>
    </row>
    <row r="63" spans="2:18" ht="15" customHeight="1" x14ac:dyDescent="0.25">
      <c r="B63" s="1716" t="str">
        <f>$B$30</f>
        <v>Inner rows, from 7th row from north</v>
      </c>
      <c r="C63" s="183" t="str">
        <f>$C$26</f>
        <v>1st-4th module</v>
      </c>
      <c r="D63" s="189">
        <f t="shared" ca="1" si="7"/>
        <v>-4.4811739066008538E-4</v>
      </c>
      <c r="E63" s="190">
        <f t="shared" ca="1" si="7"/>
        <v>3.4405764703713947E-2</v>
      </c>
      <c r="F63" s="190">
        <f t="shared" ca="1" si="7"/>
        <v>4.2513203219492673E-2</v>
      </c>
      <c r="G63" s="573">
        <f t="shared" ca="1" si="7"/>
        <v>4.2513203219492673E-2</v>
      </c>
      <c r="H63" s="573">
        <f t="shared" ca="1" si="7"/>
        <v>3.1533519281794542E-2</v>
      </c>
      <c r="I63" s="189">
        <f t="shared" ca="1" si="6"/>
        <v>7.9782831798035012E-2</v>
      </c>
      <c r="J63" s="190">
        <f t="shared" ca="1" si="6"/>
        <v>4.9791533668803699E-2</v>
      </c>
      <c r="K63" s="190">
        <f t="shared" ca="1" si="6"/>
        <v>5.9779826982617863E-2</v>
      </c>
      <c r="L63" s="190">
        <f t="shared" ca="1" si="6"/>
        <v>5.7963384430337474E-2</v>
      </c>
      <c r="M63" s="191">
        <f t="shared" ca="1" si="6"/>
        <v>5.9779826982617863E-2</v>
      </c>
      <c r="R63"/>
    </row>
    <row r="64" spans="2:18" ht="15" customHeight="1" thickBot="1" x14ac:dyDescent="0.3">
      <c r="B64" s="1717"/>
      <c r="C64" s="277" t="str">
        <f>$C$27</f>
        <v>Interior modules</v>
      </c>
      <c r="D64" s="582">
        <f t="shared" ca="1" si="7"/>
        <v>-4.4811739066008538E-4</v>
      </c>
      <c r="E64" s="583">
        <f t="shared" ca="1" si="7"/>
        <v>3.4405764703713947E-2</v>
      </c>
      <c r="F64" s="583">
        <f t="shared" ca="1" si="7"/>
        <v>4.2513203219492673E-2</v>
      </c>
      <c r="G64" s="584">
        <f t="shared" ca="1" si="7"/>
        <v>4.2513203219492673E-2</v>
      </c>
      <c r="H64" s="584">
        <f t="shared" ca="1" si="7"/>
        <v>3.1533519281794542E-2</v>
      </c>
      <c r="I64" s="582">
        <f t="shared" ca="1" si="6"/>
        <v>5.2624529606520171E-2</v>
      </c>
      <c r="J64" s="583">
        <f t="shared" ca="1" si="6"/>
        <v>4.9791533668803699E-2</v>
      </c>
      <c r="K64" s="583">
        <f t="shared" ca="1" si="6"/>
        <v>5.9779826982617863E-2</v>
      </c>
      <c r="L64" s="583">
        <f t="shared" ca="1" si="6"/>
        <v>5.8266124855717694E-2</v>
      </c>
      <c r="M64" s="585">
        <f t="shared" ca="1" si="6"/>
        <v>5.8843723822597581E-2</v>
      </c>
      <c r="R64"/>
    </row>
    <row r="65" spans="2:18" ht="15" customHeight="1" x14ac:dyDescent="0.25">
      <c r="B65" s="1716" t="str">
        <f>$B$32</f>
        <v>South row</v>
      </c>
      <c r="C65" s="183" t="str">
        <f>$C$26</f>
        <v>1st-4th module</v>
      </c>
      <c r="D65" s="189">
        <f t="shared" ca="1" si="7"/>
        <v>-4.4811739066008538E-4</v>
      </c>
      <c r="E65" s="190">
        <f t="shared" ca="1" si="7"/>
        <v>3.4405764703713947E-2</v>
      </c>
      <c r="F65" s="190">
        <f t="shared" ca="1" si="7"/>
        <v>4.2513203219492673E-2</v>
      </c>
      <c r="G65" s="573">
        <f t="shared" ca="1" si="7"/>
        <v>4.2513203219492673E-2</v>
      </c>
      <c r="H65" s="573">
        <f t="shared" ca="1" si="7"/>
        <v>3.1533519281794542E-2</v>
      </c>
      <c r="I65" s="189">
        <f t="shared" ca="1" si="6"/>
        <v>7.6538287188068002E-2</v>
      </c>
      <c r="J65" s="190">
        <f t="shared" ca="1" si="6"/>
        <v>4.9791533668803699E-2</v>
      </c>
      <c r="K65" s="190">
        <f t="shared" ca="1" si="6"/>
        <v>5.9127362209945723E-2</v>
      </c>
      <c r="L65" s="190">
        <f t="shared" ca="1" si="6"/>
        <v>5.8610888513589116E-2</v>
      </c>
      <c r="M65" s="191">
        <f t="shared" ca="1" si="6"/>
        <v>5.9779826982617863E-2</v>
      </c>
      <c r="R65"/>
    </row>
    <row r="66" spans="2:18" ht="15" customHeight="1" thickBot="1" x14ac:dyDescent="0.3">
      <c r="B66" s="1717"/>
      <c r="C66" s="277" t="str">
        <f>$C$27</f>
        <v>Interior modules</v>
      </c>
      <c r="D66" s="578">
        <f t="shared" ca="1" si="7"/>
        <v>-4.4811739066008538E-4</v>
      </c>
      <c r="E66" s="579">
        <f t="shared" ca="1" si="7"/>
        <v>3.4405764703713947E-2</v>
      </c>
      <c r="F66" s="579">
        <f t="shared" ca="1" si="7"/>
        <v>4.2513203219492673E-2</v>
      </c>
      <c r="G66" s="580">
        <f t="shared" ca="1" si="7"/>
        <v>4.2513203219492673E-2</v>
      </c>
      <c r="H66" s="580">
        <f t="shared" ca="1" si="7"/>
        <v>3.1533519281794542E-2</v>
      </c>
      <c r="I66" s="578">
        <f t="shared" ca="1" si="6"/>
        <v>4.861884509063006E-2</v>
      </c>
      <c r="J66" s="579">
        <f t="shared" ca="1" si="6"/>
        <v>4.9791533668803699E-2</v>
      </c>
      <c r="K66" s="579">
        <f t="shared" ca="1" si="6"/>
        <v>5.9779826982617863E-2</v>
      </c>
      <c r="L66" s="579">
        <f t="shared" ca="1" si="6"/>
        <v>5.9779826982617863E-2</v>
      </c>
      <c r="M66" s="581">
        <f t="shared" ca="1" si="6"/>
        <v>5.9779826982617863E-2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1st-4th module</v>
      </c>
      <c r="D73" s="586">
        <f ca="1">(9.81*(D115+20)/1000/1.5+D101*(SIN(PI()/180*10)*1.921/0.5+COS(PI()/180*10)*1.921))/(SIN(PI()/180*62.4)*0.455/0.5-COS(PI()/180*62.4)*0.455)</f>
        <v>-4.4811739066008538E-4</v>
      </c>
      <c r="E73" s="190">
        <f t="shared" ref="E73:H73" ca="1" si="8">(9.81*(E115+20)/1000/1.5+E101*(SIN(PI()/180*10)*1.921/0.5+COS(PI()/180*10)*1.921))/(SIN(PI()/180*62.4)*0.455/0.5-COS(PI()/180*62.4)*0.455)</f>
        <v>3.4405764703713947E-2</v>
      </c>
      <c r="F73" s="190">
        <f t="shared" ca="1" si="8"/>
        <v>4.2513203219492673E-2</v>
      </c>
      <c r="G73" s="190">
        <f t="shared" ca="1" si="8"/>
        <v>4.2513203219492673E-2</v>
      </c>
      <c r="H73" s="573">
        <f t="shared" ca="1" si="8"/>
        <v>3.1533519281794542E-2</v>
      </c>
      <c r="I73" s="189">
        <f ca="1">(-9.81*(I115+20)/1000/1.5-I101*COS(PI()/180*10)*1.921)/(COS(PI()/180*62.4)*0.455)</f>
        <v>4.7263333328600922E-2</v>
      </c>
      <c r="J73" s="190">
        <f t="shared" ref="J73:M73" ca="1" si="9">(-9.81*(J115+20)/1000/1.5-J101*COS(PI()/180*10)*1.921)/(COS(PI()/180*62.4)*0.455)</f>
        <v>7.7332479058187506E-2</v>
      </c>
      <c r="K73" s="190">
        <f t="shared" ca="1" si="9"/>
        <v>6.8591634531219428E-2</v>
      </c>
      <c r="L73" s="190">
        <f t="shared" ca="1" si="9"/>
        <v>7.4554331154389336E-2</v>
      </c>
      <c r="M73" s="191">
        <f t="shared" ca="1" si="9"/>
        <v>6.6976937959039529E-2</v>
      </c>
    </row>
    <row r="74" spans="2:18" ht="15" customHeight="1" thickBot="1" x14ac:dyDescent="0.25">
      <c r="B74" s="1717"/>
      <c r="C74" s="277" t="str">
        <f>$C$27</f>
        <v>Interior modules</v>
      </c>
      <c r="D74" s="574">
        <f t="shared" ref="D74:H80" ca="1" si="10">(9.81*(D116+20)/1000/1.5+D102*(SIN(PI()/180*10)*1.921/0.5+COS(PI()/180*10)*1.921))/(SIN(PI()/180*62.4)*0.455/0.5-COS(PI()/180*62.4)*0.455)</f>
        <v>-4.4811739066008538E-4</v>
      </c>
      <c r="E74" s="575">
        <f t="shared" ca="1" si="10"/>
        <v>3.4405764703713947E-2</v>
      </c>
      <c r="F74" s="575">
        <f t="shared" ca="1" si="10"/>
        <v>4.2513203219492673E-2</v>
      </c>
      <c r="G74" s="575">
        <f t="shared" ca="1" si="10"/>
        <v>4.2513203219492673E-2</v>
      </c>
      <c r="H74" s="576">
        <f t="shared" ca="1" si="10"/>
        <v>3.1533519281794542E-2</v>
      </c>
      <c r="I74" s="574">
        <f t="shared" ref="I74:M80" ca="1" si="11">(-9.81*(I116+20)/1000/1.5-I102*COS(PI()/180*10)*1.921)/(COS(PI()/180*62.4)*0.455)</f>
        <v>5.64503958780131E-2</v>
      </c>
      <c r="J74" s="575">
        <f t="shared" ca="1" si="11"/>
        <v>6.2370355163186897E-2</v>
      </c>
      <c r="K74" s="575">
        <f t="shared" ca="1" si="11"/>
        <v>4.5674553440449829E-2</v>
      </c>
      <c r="L74" s="575">
        <f t="shared" ca="1" si="11"/>
        <v>6.9571001193586862E-2</v>
      </c>
      <c r="M74" s="577">
        <f t="shared" ca="1" si="11"/>
        <v>6.6621933368357422E-2</v>
      </c>
    </row>
    <row r="75" spans="2:18" ht="15" customHeight="1" x14ac:dyDescent="0.2">
      <c r="B75" s="1716" t="str">
        <f>$B$28</f>
        <v>Inner rows, 2nd to 6th row from north</v>
      </c>
      <c r="C75" s="183" t="str">
        <f>$C$26</f>
        <v>1st-4th module</v>
      </c>
      <c r="D75" s="189">
        <f t="shared" ca="1" si="10"/>
        <v>-4.4811739066008538E-4</v>
      </c>
      <c r="E75" s="190">
        <f t="shared" ca="1" si="10"/>
        <v>3.4405764703713947E-2</v>
      </c>
      <c r="F75" s="190">
        <f t="shared" ca="1" si="10"/>
        <v>4.2513203219492673E-2</v>
      </c>
      <c r="G75" s="190">
        <f t="shared" ca="1" si="10"/>
        <v>4.2513203219492673E-2</v>
      </c>
      <c r="H75" s="573">
        <f t="shared" ca="1" si="10"/>
        <v>3.1533519281794542E-2</v>
      </c>
      <c r="I75" s="189">
        <f t="shared" ca="1" si="11"/>
        <v>7.5737259506541546E-2</v>
      </c>
      <c r="J75" s="190">
        <f t="shared" ca="1" si="11"/>
        <v>4.9791533668803699E-2</v>
      </c>
      <c r="K75" s="190">
        <f t="shared" ca="1" si="11"/>
        <v>5.9779826982617863E-2</v>
      </c>
      <c r="L75" s="190">
        <f t="shared" ca="1" si="11"/>
        <v>5.9779826982617863E-2</v>
      </c>
      <c r="M75" s="191">
        <f t="shared" ca="1" si="11"/>
        <v>6.9345924705176851E-2</v>
      </c>
    </row>
    <row r="76" spans="2:18" ht="15" customHeight="1" thickBot="1" x14ac:dyDescent="0.25">
      <c r="B76" s="1717"/>
      <c r="C76" s="278" t="str">
        <f>$C$27</f>
        <v>Interior modules</v>
      </c>
      <c r="D76" s="578">
        <f t="shared" ca="1" si="10"/>
        <v>-4.4811739066008538E-4</v>
      </c>
      <c r="E76" s="579">
        <f t="shared" ca="1" si="10"/>
        <v>3.4405764703713947E-2</v>
      </c>
      <c r="F76" s="579">
        <f t="shared" ca="1" si="10"/>
        <v>4.2513203219492673E-2</v>
      </c>
      <c r="G76" s="579">
        <f t="shared" ca="1" si="10"/>
        <v>4.2513203219492673E-2</v>
      </c>
      <c r="H76" s="580">
        <f t="shared" ca="1" si="10"/>
        <v>3.1533519281794542E-2</v>
      </c>
      <c r="I76" s="578">
        <f t="shared" ca="1" si="11"/>
        <v>5.64503958780131E-2</v>
      </c>
      <c r="J76" s="579">
        <f t="shared" ca="1" si="11"/>
        <v>4.9791533668803699E-2</v>
      </c>
      <c r="K76" s="579">
        <f t="shared" ca="1" si="11"/>
        <v>5.9779826982617863E-2</v>
      </c>
      <c r="L76" s="579">
        <f t="shared" ca="1" si="11"/>
        <v>5.9779826982617863E-2</v>
      </c>
      <c r="M76" s="581">
        <f t="shared" ca="1" si="11"/>
        <v>5.1632019397699958E-2</v>
      </c>
    </row>
    <row r="77" spans="2:18" ht="15" customHeight="1" x14ac:dyDescent="0.2">
      <c r="B77" s="1716" t="str">
        <f>$B$30</f>
        <v>Inner rows, from 7th row from north</v>
      </c>
      <c r="C77" s="183" t="str">
        <f>$C$26</f>
        <v>1st-4th module</v>
      </c>
      <c r="D77" s="189">
        <f t="shared" ca="1" si="10"/>
        <v>-4.4811739066008538E-4</v>
      </c>
      <c r="E77" s="190">
        <f t="shared" ca="1" si="10"/>
        <v>3.4405764703713947E-2</v>
      </c>
      <c r="F77" s="190">
        <f t="shared" ca="1" si="10"/>
        <v>4.2513203219492673E-2</v>
      </c>
      <c r="G77" s="190">
        <f t="shared" ca="1" si="10"/>
        <v>4.2513203219492673E-2</v>
      </c>
      <c r="H77" s="190">
        <f t="shared" ca="1" si="10"/>
        <v>3.1533519281794542E-2</v>
      </c>
      <c r="I77" s="189">
        <f t="shared" ca="1" si="11"/>
        <v>7.9782831798035012E-2</v>
      </c>
      <c r="J77" s="190">
        <f t="shared" ca="1" si="11"/>
        <v>4.9791533668803699E-2</v>
      </c>
      <c r="K77" s="190">
        <f t="shared" ca="1" si="11"/>
        <v>5.9779826982617863E-2</v>
      </c>
      <c r="L77" s="190">
        <f t="shared" ca="1" si="11"/>
        <v>5.7963384430337474E-2</v>
      </c>
      <c r="M77" s="191">
        <f t="shared" ca="1" si="11"/>
        <v>5.9779826982617863E-2</v>
      </c>
    </row>
    <row r="78" spans="2:18" ht="15" customHeight="1" thickBot="1" x14ac:dyDescent="0.25">
      <c r="B78" s="1717"/>
      <c r="C78" s="277" t="str">
        <f>$C$27</f>
        <v>Interior modules</v>
      </c>
      <c r="D78" s="582">
        <f t="shared" ca="1" si="10"/>
        <v>-4.4811739066008538E-4</v>
      </c>
      <c r="E78" s="583">
        <f t="shared" ca="1" si="10"/>
        <v>3.4405764703713947E-2</v>
      </c>
      <c r="F78" s="583">
        <f t="shared" ca="1" si="10"/>
        <v>4.2513203219492673E-2</v>
      </c>
      <c r="G78" s="583">
        <f t="shared" ca="1" si="10"/>
        <v>4.2513203219492673E-2</v>
      </c>
      <c r="H78" s="583">
        <f t="shared" ca="1" si="10"/>
        <v>3.1533519281794542E-2</v>
      </c>
      <c r="I78" s="582">
        <f t="shared" ca="1" si="11"/>
        <v>5.2624529606520171E-2</v>
      </c>
      <c r="J78" s="583">
        <f t="shared" ca="1" si="11"/>
        <v>4.9791533668803699E-2</v>
      </c>
      <c r="K78" s="583">
        <f t="shared" ca="1" si="11"/>
        <v>5.9779826982617863E-2</v>
      </c>
      <c r="L78" s="583">
        <f t="shared" ca="1" si="11"/>
        <v>5.8266124855717694E-2</v>
      </c>
      <c r="M78" s="585">
        <f t="shared" ca="1" si="11"/>
        <v>5.8843723822597581E-2</v>
      </c>
    </row>
    <row r="79" spans="2:18" ht="15" customHeight="1" x14ac:dyDescent="0.2">
      <c r="B79" s="1716" t="str">
        <f>$B$32</f>
        <v>South row</v>
      </c>
      <c r="C79" s="183" t="str">
        <f>$C$26</f>
        <v>1st-4th module</v>
      </c>
      <c r="D79" s="189">
        <f t="shared" ca="1" si="10"/>
        <v>-4.4811739066008538E-4</v>
      </c>
      <c r="E79" s="190">
        <f t="shared" ca="1" si="10"/>
        <v>3.4405764703713947E-2</v>
      </c>
      <c r="F79" s="190">
        <f t="shared" ca="1" si="10"/>
        <v>4.2513203219492673E-2</v>
      </c>
      <c r="G79" s="190">
        <f t="shared" ca="1" si="10"/>
        <v>4.2513203219492673E-2</v>
      </c>
      <c r="H79" s="573">
        <f t="shared" ca="1" si="10"/>
        <v>3.1533519281794542E-2</v>
      </c>
      <c r="I79" s="189">
        <f t="shared" ca="1" si="11"/>
        <v>7.6538287188068002E-2</v>
      </c>
      <c r="J79" s="190">
        <f t="shared" ca="1" si="11"/>
        <v>4.9791533668803699E-2</v>
      </c>
      <c r="K79" s="190">
        <f t="shared" ca="1" si="11"/>
        <v>5.9127362209945723E-2</v>
      </c>
      <c r="L79" s="190">
        <f t="shared" ca="1" si="11"/>
        <v>5.8610888513589116E-2</v>
      </c>
      <c r="M79" s="191">
        <f t="shared" ca="1" si="11"/>
        <v>5.9779826982617863E-2</v>
      </c>
    </row>
    <row r="80" spans="2:18" ht="15" customHeight="1" thickBot="1" x14ac:dyDescent="0.25">
      <c r="B80" s="1717"/>
      <c r="C80" s="277" t="str">
        <f>$C$27</f>
        <v>Interior modules</v>
      </c>
      <c r="D80" s="578">
        <f t="shared" ca="1" si="10"/>
        <v>-4.4811739066008538E-4</v>
      </c>
      <c r="E80" s="579">
        <f t="shared" ca="1" si="10"/>
        <v>3.4405764703713947E-2</v>
      </c>
      <c r="F80" s="579">
        <f t="shared" ca="1" si="10"/>
        <v>4.2513203219492673E-2</v>
      </c>
      <c r="G80" s="579">
        <f t="shared" ca="1" si="10"/>
        <v>4.2513203219492673E-2</v>
      </c>
      <c r="H80" s="580">
        <f ca="1">(9.81*(H122+20)/1000/1.5+H108*(SIN(PI()/180*10)*1.921/0.5+COS(PI()/180*10)*1.921))/(SIN(PI()/180*62.4)*0.455/0.5-COS(PI()/180*62.4)*0.455)</f>
        <v>3.1533519281794542E-2</v>
      </c>
      <c r="I80" s="578">
        <f t="shared" ca="1" si="11"/>
        <v>4.861884509063006E-2</v>
      </c>
      <c r="J80" s="579">
        <f t="shared" ca="1" si="11"/>
        <v>4.9791533668803699E-2</v>
      </c>
      <c r="K80" s="579">
        <f t="shared" ca="1" si="11"/>
        <v>5.9779826982617863E-2</v>
      </c>
      <c r="L80" s="579">
        <f t="shared" ca="1" si="11"/>
        <v>5.9779826982617863E-2</v>
      </c>
      <c r="M80" s="581">
        <f ca="1">(-9.81*(M122+20)/1000/1.5-M108*COS(PI()/180*10)*1.921)/(COS(PI()/180*62.4)*0.455)</f>
        <v>5.9779826982617863E-2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952"/>
      <c r="O84" s="956"/>
      <c r="P84" s="956" t="s">
        <v>62</v>
      </c>
      <c r="Q84" s="956"/>
      <c r="R84" s="957"/>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1st-4th module</v>
      </c>
      <c r="D87" s="189">
        <f>IF(N87=-2,1000*($G$17*$G$18*$C$19)/625,1000*($G$17*$G$18*$C$19)/(MAX(150,MIN($G$16*MAX($G$14:$G$15),4*$G$16^2,4*(MIN($G$14:$G$15))^2))*(MAX(6.12,$G$16)/12.5)^N87))</f>
        <v>577.28107128635691</v>
      </c>
      <c r="E87" s="190">
        <f t="shared" ref="E87:H94" si="12">IF(O87=-2,1000*($G$17*$G$18*$C$19)/625,1000*($G$17*$G$18*$C$19)/(MAX(150,MIN($G$16*MAX($G$14:$G$15),4*$G$16^2,4*(MIN($G$14:$G$15))^2))*(MAX(6.12,$G$16)/12.5)^O87))</f>
        <v>386.25530831708727</v>
      </c>
      <c r="F87" s="190">
        <f t="shared" si="12"/>
        <v>337.83411941391671</v>
      </c>
      <c r="G87" s="190">
        <f t="shared" si="12"/>
        <v>258.44111408447992</v>
      </c>
      <c r="H87" s="573">
        <f>IF(R87=-2,1000*($G$17*$G$18*$C$19)/625,1000*($G$17*$G$18*$C$19)/(MAX(150,MIN($G$16*MAX($G$14:$G$15),4*$G$16^2,4*(MIN($G$14:$G$15))^2))*(MAX(6.12,$G$16)/12.5)^R87))</f>
        <v>258.44111408447992</v>
      </c>
      <c r="I87" s="189">
        <f>IF(N87=-2,1000*($G$17*$G$18*$C$16)/625,1000*($G$17*$G$18*$C$16)/(MAX(150,MIN($G$16*MAX($G$14:$G$15),4*$G$16^2,4*(MIN($G$14:$G$15))^2))*(MAX(6.12,$G$16)/12.5)^N87))</f>
        <v>178.1731701501102</v>
      </c>
      <c r="J87" s="190">
        <f t="shared" ref="J87:M94" si="13">IF(O87=-2,1000*($G$17*$G$18*$C$16)/625,1000*($G$17*$G$18*$C$16)/(MAX(150,MIN($G$16*MAX($G$14:$G$15),4*$G$16^2,4*(MIN($G$14:$G$15))^2))*(MAX(6.12,$G$16)/12.5)^O87))</f>
        <v>119.21460133243437</v>
      </c>
      <c r="K87" s="190">
        <f t="shared" si="13"/>
        <v>104.2697899425669</v>
      </c>
      <c r="L87" s="190">
        <f t="shared" si="13"/>
        <v>79.765775951999984</v>
      </c>
      <c r="M87" s="573">
        <f t="shared" si="13"/>
        <v>79.765775951999984</v>
      </c>
      <c r="N87" s="189">
        <v>-0.5</v>
      </c>
      <c r="O87" s="190">
        <v>-1.25</v>
      </c>
      <c r="P87" s="190">
        <v>-1.5</v>
      </c>
      <c r="Q87" s="190">
        <v>-2</v>
      </c>
      <c r="R87" s="191">
        <v>-2</v>
      </c>
    </row>
    <row r="88" spans="2:31" ht="15" customHeight="1" thickBot="1" x14ac:dyDescent="0.25">
      <c r="B88" s="1717"/>
      <c r="C88" s="277" t="str">
        <f>$C$27</f>
        <v>Interior modules</v>
      </c>
      <c r="D88" s="574">
        <f t="shared" ref="D88:D94" si="14">IF(N88=-2,1000*($G$17*$G$18*$C$19)/625,1000*($G$17*$G$18*$C$19)/(MAX(150,MIN($G$16*MAX($G$14:$G$15),4*$G$16^2,4*(MIN($G$14:$G$15))^2))*(MAX(6.12,$G$16)/12.5)^N88))</f>
        <v>577.28107128635691</v>
      </c>
      <c r="E88" s="575">
        <f t="shared" si="12"/>
        <v>386.25530831708727</v>
      </c>
      <c r="F88" s="575">
        <f t="shared" si="12"/>
        <v>337.83411941391671</v>
      </c>
      <c r="G88" s="575">
        <f t="shared" si="12"/>
        <v>258.44111408447992</v>
      </c>
      <c r="H88" s="576">
        <f t="shared" si="12"/>
        <v>258.44111408447992</v>
      </c>
      <c r="I88" s="574">
        <f t="shared" ref="I88:I94" si="15">IF(N88=-2,1000*($G$17*$G$18*$C$16)/625,1000*($G$17*$G$18*$C$16)/(MAX(150,MIN($G$16*MAX($G$14:$G$15),4*$G$16^2,4*(MIN($G$14:$G$15))^2))*(MAX(6.12,$G$16)/12.5)^N88))</f>
        <v>178.1731701501102</v>
      </c>
      <c r="J88" s="575">
        <f t="shared" si="13"/>
        <v>119.21460133243437</v>
      </c>
      <c r="K88" s="575">
        <f t="shared" si="13"/>
        <v>104.2697899425669</v>
      </c>
      <c r="L88" s="575">
        <f t="shared" si="13"/>
        <v>79.765775951999984</v>
      </c>
      <c r="M88" s="576">
        <f t="shared" si="13"/>
        <v>79.765775951999984</v>
      </c>
      <c r="N88" s="574">
        <v>-0.5</v>
      </c>
      <c r="O88" s="575">
        <v>-1.25</v>
      </c>
      <c r="P88" s="575">
        <v>-1.5</v>
      </c>
      <c r="Q88" s="575">
        <v>-2</v>
      </c>
      <c r="R88" s="577">
        <v>-2</v>
      </c>
    </row>
    <row r="89" spans="2:31" ht="15" customHeight="1" x14ac:dyDescent="0.2">
      <c r="B89" s="1716" t="str">
        <f>$B$28</f>
        <v>Inner rows, 2nd to 6th row from north</v>
      </c>
      <c r="C89" s="241" t="str">
        <f>$C$26</f>
        <v>1st-4th module</v>
      </c>
      <c r="D89" s="190">
        <f t="shared" si="14"/>
        <v>754.62158203124955</v>
      </c>
      <c r="E89" s="190">
        <f t="shared" si="12"/>
        <v>504.91278222705347</v>
      </c>
      <c r="F89" s="190">
        <f t="shared" si="12"/>
        <v>504.91278222705347</v>
      </c>
      <c r="G89" s="190">
        <f t="shared" si="12"/>
        <v>295.48303876378742</v>
      </c>
      <c r="H89" s="573">
        <f t="shared" si="12"/>
        <v>295.48303876378742</v>
      </c>
      <c r="I89" s="189">
        <f t="shared" si="15"/>
        <v>232.90789568865731</v>
      </c>
      <c r="J89" s="190">
        <f t="shared" si="13"/>
        <v>155.83727846513997</v>
      </c>
      <c r="K89" s="190">
        <f t="shared" si="13"/>
        <v>155.83727846513997</v>
      </c>
      <c r="L89" s="190">
        <f t="shared" si="13"/>
        <v>91.198468754255387</v>
      </c>
      <c r="M89" s="573">
        <f t="shared" si="13"/>
        <v>91.198468754255387</v>
      </c>
      <c r="N89" s="189">
        <v>0</v>
      </c>
      <c r="O89" s="190">
        <v>-0.75</v>
      </c>
      <c r="P89" s="190">
        <v>-0.75</v>
      </c>
      <c r="Q89" s="190">
        <v>-1.75</v>
      </c>
      <c r="R89" s="191">
        <v>-1.75</v>
      </c>
    </row>
    <row r="90" spans="2:31" ht="15" customHeight="1" thickBot="1" x14ac:dyDescent="0.25">
      <c r="B90" s="1717"/>
      <c r="C90" s="524" t="str">
        <f>$C$27</f>
        <v>Interior modules</v>
      </c>
      <c r="D90" s="578">
        <f t="shared" si="14"/>
        <v>754.62158203124955</v>
      </c>
      <c r="E90" s="579">
        <f t="shared" si="12"/>
        <v>504.91278222705347</v>
      </c>
      <c r="F90" s="579">
        <f t="shared" si="12"/>
        <v>504.91278222705347</v>
      </c>
      <c r="G90" s="579">
        <f t="shared" si="12"/>
        <v>295.48303876378742</v>
      </c>
      <c r="H90" s="580">
        <f t="shared" si="12"/>
        <v>295.48303876378742</v>
      </c>
      <c r="I90" s="578">
        <f t="shared" si="15"/>
        <v>232.90789568865731</v>
      </c>
      <c r="J90" s="579">
        <f t="shared" si="13"/>
        <v>155.83727846513997</v>
      </c>
      <c r="K90" s="579">
        <f t="shared" si="13"/>
        <v>155.83727846513997</v>
      </c>
      <c r="L90" s="579">
        <f t="shared" si="13"/>
        <v>91.198468754255387</v>
      </c>
      <c r="M90" s="580">
        <f t="shared" si="13"/>
        <v>91.198468754255387</v>
      </c>
      <c r="N90" s="578">
        <v>0</v>
      </c>
      <c r="O90" s="579">
        <v>-0.75</v>
      </c>
      <c r="P90" s="579">
        <v>-0.75</v>
      </c>
      <c r="Q90" s="579">
        <v>-1.75</v>
      </c>
      <c r="R90" s="581">
        <v>-1.75</v>
      </c>
    </row>
    <row r="91" spans="2:31" ht="15" customHeight="1" x14ac:dyDescent="0.2">
      <c r="B91" s="1716" t="str">
        <f>$B$30</f>
        <v>Inner rows, from 7th row from north</v>
      </c>
      <c r="C91" s="183" t="str">
        <f>$C$26</f>
        <v>1st-4th module</v>
      </c>
      <c r="D91" s="189">
        <f t="shared" si="14"/>
        <v>754.62158203124955</v>
      </c>
      <c r="E91" s="190">
        <f t="shared" si="12"/>
        <v>504.91278222705347</v>
      </c>
      <c r="F91" s="190">
        <f t="shared" si="12"/>
        <v>504.91278222705347</v>
      </c>
      <c r="G91" s="190">
        <f t="shared" si="12"/>
        <v>295.48303876378742</v>
      </c>
      <c r="H91" s="573">
        <f t="shared" si="12"/>
        <v>295.48303876378742</v>
      </c>
      <c r="I91" s="189">
        <f t="shared" si="15"/>
        <v>232.90789568865731</v>
      </c>
      <c r="J91" s="190">
        <f t="shared" si="13"/>
        <v>155.83727846513997</v>
      </c>
      <c r="K91" s="190">
        <f t="shared" si="13"/>
        <v>155.83727846513997</v>
      </c>
      <c r="L91" s="190">
        <f t="shared" si="13"/>
        <v>91.198468754255387</v>
      </c>
      <c r="M91" s="573">
        <f t="shared" si="13"/>
        <v>91.198468754255387</v>
      </c>
      <c r="N91" s="189">
        <v>0</v>
      </c>
      <c r="O91" s="190">
        <v>-0.75</v>
      </c>
      <c r="P91" s="190">
        <v>-0.75</v>
      </c>
      <c r="Q91" s="190">
        <v>-1.75</v>
      </c>
      <c r="R91" s="191">
        <v>-1.75</v>
      </c>
    </row>
    <row r="92" spans="2:31" ht="15" customHeight="1" thickBot="1" x14ac:dyDescent="0.25">
      <c r="B92" s="1717"/>
      <c r="C92" s="277" t="str">
        <f>$C$27</f>
        <v>Interior modules</v>
      </c>
      <c r="D92" s="582">
        <f t="shared" si="14"/>
        <v>754.62158203124955</v>
      </c>
      <c r="E92" s="583">
        <f t="shared" si="12"/>
        <v>504.91278222705347</v>
      </c>
      <c r="F92" s="583">
        <f t="shared" si="12"/>
        <v>504.91278222705347</v>
      </c>
      <c r="G92" s="583">
        <f t="shared" si="12"/>
        <v>295.48303876378742</v>
      </c>
      <c r="H92" s="584">
        <f t="shared" si="12"/>
        <v>295.48303876378742</v>
      </c>
      <c r="I92" s="582">
        <f t="shared" si="15"/>
        <v>232.90789568865731</v>
      </c>
      <c r="J92" s="583">
        <f t="shared" si="13"/>
        <v>155.83727846513997</v>
      </c>
      <c r="K92" s="583">
        <f t="shared" si="13"/>
        <v>155.83727846513997</v>
      </c>
      <c r="L92" s="583">
        <f t="shared" si="13"/>
        <v>91.198468754255387</v>
      </c>
      <c r="M92" s="584">
        <f t="shared" si="13"/>
        <v>91.198468754255387</v>
      </c>
      <c r="N92" s="582">
        <v>0</v>
      </c>
      <c r="O92" s="583">
        <v>-0.75</v>
      </c>
      <c r="P92" s="583">
        <v>-0.75</v>
      </c>
      <c r="Q92" s="583">
        <v>-1.75</v>
      </c>
      <c r="R92" s="585">
        <v>-1.75</v>
      </c>
    </row>
    <row r="93" spans="2:31" ht="15" customHeight="1" x14ac:dyDescent="0.2">
      <c r="B93" s="1716" t="str">
        <f>$B$32</f>
        <v>South row</v>
      </c>
      <c r="C93" s="183" t="str">
        <f>$C$26</f>
        <v>1st-4th module</v>
      </c>
      <c r="D93" s="189">
        <f t="shared" si="14"/>
        <v>754.62158203124955</v>
      </c>
      <c r="E93" s="190">
        <f t="shared" si="12"/>
        <v>504.91278222705347</v>
      </c>
      <c r="F93" s="190">
        <f t="shared" si="12"/>
        <v>504.91278222705347</v>
      </c>
      <c r="G93" s="190">
        <f t="shared" si="12"/>
        <v>295.48303876378742</v>
      </c>
      <c r="H93" s="573">
        <f t="shared" si="12"/>
        <v>295.48303876378742</v>
      </c>
      <c r="I93" s="189">
        <f t="shared" si="15"/>
        <v>232.90789568865731</v>
      </c>
      <c r="J93" s="190">
        <f t="shared" si="13"/>
        <v>155.83727846513997</v>
      </c>
      <c r="K93" s="190">
        <f t="shared" si="13"/>
        <v>155.83727846513997</v>
      </c>
      <c r="L93" s="190">
        <f t="shared" si="13"/>
        <v>91.198468754255387</v>
      </c>
      <c r="M93" s="573">
        <f t="shared" si="13"/>
        <v>91.198468754255387</v>
      </c>
      <c r="N93" s="189">
        <v>0</v>
      </c>
      <c r="O93" s="190">
        <v>-0.75</v>
      </c>
      <c r="P93" s="190">
        <v>-0.75</v>
      </c>
      <c r="Q93" s="190">
        <v>-1.75</v>
      </c>
      <c r="R93" s="191">
        <v>-1.75</v>
      </c>
    </row>
    <row r="94" spans="2:31" ht="15" customHeight="1" thickBot="1" x14ac:dyDescent="0.25">
      <c r="B94" s="1717"/>
      <c r="C94" s="277" t="str">
        <f>$C$27</f>
        <v>Interior modules</v>
      </c>
      <c r="D94" s="578">
        <f t="shared" si="14"/>
        <v>754.62158203124955</v>
      </c>
      <c r="E94" s="579">
        <f t="shared" si="12"/>
        <v>504.91278222705347</v>
      </c>
      <c r="F94" s="579">
        <f t="shared" si="12"/>
        <v>504.91278222705347</v>
      </c>
      <c r="G94" s="579">
        <f t="shared" si="12"/>
        <v>295.48303876378742</v>
      </c>
      <c r="H94" s="580">
        <f t="shared" si="12"/>
        <v>295.48303876378742</v>
      </c>
      <c r="I94" s="578">
        <f t="shared" si="15"/>
        <v>232.90789568865731</v>
      </c>
      <c r="J94" s="579">
        <f t="shared" si="13"/>
        <v>155.83727846513997</v>
      </c>
      <c r="K94" s="579">
        <f t="shared" si="13"/>
        <v>155.83727846513997</v>
      </c>
      <c r="L94" s="579">
        <f t="shared" si="13"/>
        <v>91.198468754255387</v>
      </c>
      <c r="M94" s="580">
        <f>IF(R94=-2,1000*($G$17*$G$18*$C$16)/625,1000*($G$17*$G$18*$C$16)/(MAX(150,MIN($G$16*MAX($G$14:$G$15),4*$G$16^2,4*(MIN($G$14:$G$15))^2))*(MAX(6.12,$G$16)/12.5)^R94))</f>
        <v>91.198468754255387</v>
      </c>
      <c r="N94" s="578">
        <v>0</v>
      </c>
      <c r="O94" s="579">
        <v>-0.75</v>
      </c>
      <c r="P94" s="579">
        <v>-0.75</v>
      </c>
      <c r="Q94" s="579">
        <v>-1.75</v>
      </c>
      <c r="R94" s="581">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69</v>
      </c>
      <c r="J100" s="438" t="s">
        <v>69</v>
      </c>
      <c r="K100" s="438" t="s">
        <v>69</v>
      </c>
      <c r="L100" s="438" t="s">
        <v>69</v>
      </c>
      <c r="M100" s="439" t="s">
        <v>69</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1st-4th module</v>
      </c>
      <c r="D101" s="189">
        <f ca="1">AF101+(AP101-AF101)/(LOG(BJ101)-LOG(AZ101))*(LOG(D87)-LOG(AZ101))</f>
        <v>-0.11</v>
      </c>
      <c r="E101" s="190">
        <f t="shared" ref="E101:M101" ca="1" si="16">AG101+(AQ101-AG101)/(LOG(BK101)-LOG(BA101))*(LOG(E87)-LOG(BA101))</f>
        <v>-0.13</v>
      </c>
      <c r="F101" s="190">
        <f t="shared" ca="1" si="16"/>
        <v>-0.1</v>
      </c>
      <c r="G101" s="190">
        <f t="shared" ca="1" si="16"/>
        <v>-0.1</v>
      </c>
      <c r="H101" s="573">
        <f t="shared" ca="1" si="16"/>
        <v>-0.1</v>
      </c>
      <c r="I101" s="189">
        <f t="shared" ca="1" si="16"/>
        <v>-0.13759349048162064</v>
      </c>
      <c r="J101" s="190">
        <f t="shared" ca="1" si="16"/>
        <v>-0.18570776068424313</v>
      </c>
      <c r="K101" s="190">
        <f t="shared" ca="1" si="16"/>
        <v>-0.11666206518135244</v>
      </c>
      <c r="L101" s="190">
        <f t="shared" ca="1" si="16"/>
        <v>-0.12320921746195346</v>
      </c>
      <c r="M101" s="191">
        <f t="shared" ca="1" si="16"/>
        <v>-0.11812645419587176</v>
      </c>
      <c r="S101">
        <v>0</v>
      </c>
      <c r="T101" s="954"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73"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-0.11</v>
      </c>
      <c r="AG101" s="190">
        <f t="shared" ref="AG101:AO101" ca="1" si="18">INDEX(OFFSET(INDIRECT(W101),0,1),MATCH(E87,INDIRECT(W101),1))</f>
        <v>-0.13</v>
      </c>
      <c r="AH101" s="190">
        <f t="shared" ca="1" si="18"/>
        <v>-0.1</v>
      </c>
      <c r="AI101" s="190">
        <f t="shared" ca="1" si="18"/>
        <v>-0.1</v>
      </c>
      <c r="AJ101" s="573">
        <f t="shared" ca="1" si="18"/>
        <v>-0.1</v>
      </c>
      <c r="AK101" s="189">
        <f t="shared" ca="1" si="18"/>
        <v>-0.18</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73">
        <f t="shared" ca="1" si="19"/>
        <v>-0.1</v>
      </c>
      <c r="AU101" s="189">
        <f t="shared" ca="1" si="19"/>
        <v>-0.11</v>
      </c>
      <c r="AV101" s="190">
        <f t="shared" ca="1" si="19"/>
        <v>-0.13</v>
      </c>
      <c r="AW101" s="190">
        <f t="shared" ca="1" si="19"/>
        <v>-0.1</v>
      </c>
      <c r="AX101" s="190">
        <f t="shared" ca="1" si="19"/>
        <v>-0.1</v>
      </c>
      <c r="AY101" s="191">
        <f t="shared" ca="1" si="19"/>
        <v>-0.1</v>
      </c>
      <c r="AZ101" s="641">
        <f ca="1">INDEX(OFFSET(INDIRECT(V101),0,0),MATCH(D87,INDIRECT(V101),1))</f>
        <v>300</v>
      </c>
      <c r="BA101" s="642">
        <f t="shared" ref="BA101:BI101" ca="1" si="20">INDEX(OFFSET(INDIRECT(W101),0,0),MATCH(E87,INDIRECT(W101),1))</f>
        <v>300</v>
      </c>
      <c r="BB101" s="642">
        <f t="shared" ca="1" si="20"/>
        <v>130</v>
      </c>
      <c r="BC101" s="642">
        <f t="shared" ca="1" si="20"/>
        <v>110</v>
      </c>
      <c r="BD101" s="643">
        <f t="shared" ca="1" si="20"/>
        <v>100</v>
      </c>
      <c r="BE101" s="641">
        <f t="shared" ca="1" si="20"/>
        <v>80</v>
      </c>
      <c r="BF101" s="642">
        <f t="shared" ca="1" si="20"/>
        <v>25</v>
      </c>
      <c r="BG101" s="642">
        <f t="shared" ca="1" si="20"/>
        <v>12</v>
      </c>
      <c r="BH101" s="642">
        <f t="shared" ca="1" si="20"/>
        <v>12</v>
      </c>
      <c r="BI101" s="644">
        <f t="shared" ca="1" si="20"/>
        <v>12</v>
      </c>
      <c r="BJ101" s="641">
        <f ca="1">INDEX(OFFSET(INDIRECT(V101),0,0),MATCH(D87,INDIRECT(V101),1)+1)</f>
        <v>10000</v>
      </c>
      <c r="BK101" s="642">
        <f t="shared" ref="BK101:BS101" ca="1" si="21">INDEX(OFFSET(INDIRECT(W101),0,0),MATCH(E87,INDIRECT(W101),1)+1)</f>
        <v>10000</v>
      </c>
      <c r="BL101" s="642">
        <f t="shared" ca="1" si="21"/>
        <v>10000</v>
      </c>
      <c r="BM101" s="642">
        <f t="shared" ca="1" si="21"/>
        <v>10000</v>
      </c>
      <c r="BN101" s="643">
        <f t="shared" ca="1" si="21"/>
        <v>10000</v>
      </c>
      <c r="BO101" s="641">
        <f t="shared" ca="1" si="21"/>
        <v>300</v>
      </c>
      <c r="BP101" s="642">
        <f t="shared" ca="1" si="21"/>
        <v>300</v>
      </c>
      <c r="BQ101" s="642">
        <f t="shared" ca="1" si="21"/>
        <v>130</v>
      </c>
      <c r="BR101" s="642">
        <f t="shared" ca="1" si="21"/>
        <v>110</v>
      </c>
      <c r="BS101" s="644">
        <f t="shared" ca="1" si="21"/>
        <v>100</v>
      </c>
    </row>
    <row r="102" spans="2:71" ht="15" customHeight="1" thickBot="1" x14ac:dyDescent="0.3">
      <c r="B102" s="1717"/>
      <c r="C102" s="277" t="str">
        <f>$C$27</f>
        <v>Interior modules</v>
      </c>
      <c r="D102" s="574">
        <f t="shared" ref="D102:M108" ca="1" si="22">AF102+(AP102-AF102)/(LOG(BJ102)-LOG(AZ102))*(LOG(D88)-LOG(AZ102))</f>
        <v>-0.11</v>
      </c>
      <c r="E102" s="575">
        <f t="shared" ca="1" si="22"/>
        <v>-0.13</v>
      </c>
      <c r="F102" s="575">
        <f t="shared" ca="1" si="22"/>
        <v>-0.1</v>
      </c>
      <c r="G102" s="575">
        <f t="shared" ca="1" si="22"/>
        <v>-0.1</v>
      </c>
      <c r="H102" s="576">
        <f t="shared" ca="1" si="22"/>
        <v>-0.1</v>
      </c>
      <c r="I102" s="574">
        <f t="shared" ca="1" si="22"/>
        <v>-0.11</v>
      </c>
      <c r="J102" s="575">
        <f t="shared" ca="1" si="22"/>
        <v>-0.21016033302464632</v>
      </c>
      <c r="K102" s="575">
        <f t="shared" ca="1" si="22"/>
        <v>-0.10942632844135758</v>
      </c>
      <c r="L102" s="575">
        <f t="shared" ca="1" si="22"/>
        <v>-0.12465979355332554</v>
      </c>
      <c r="M102" s="577">
        <f t="shared" ca="1" si="22"/>
        <v>-0.11919271620739363</v>
      </c>
      <c r="S102">
        <v>7</v>
      </c>
      <c r="T102" s="955"/>
      <c r="U102" s="277" t="str">
        <f>$C$27</f>
        <v>Interior modules</v>
      </c>
      <c r="V102" s="574" t="str">
        <f t="shared" si="17"/>
        <v>C135:C139</v>
      </c>
      <c r="W102" s="575" t="str">
        <f t="shared" si="17"/>
        <v>F135:F139</v>
      </c>
      <c r="X102" s="575" t="str">
        <f t="shared" si="17"/>
        <v>I135:I139</v>
      </c>
      <c r="Y102" s="575" t="str">
        <f t="shared" si="17"/>
        <v>L135:L139</v>
      </c>
      <c r="Z102" s="576" t="str">
        <f t="shared" si="17"/>
        <v>O135:O139</v>
      </c>
      <c r="AA102" s="574" t="str">
        <f t="shared" si="17"/>
        <v>C193:C197</v>
      </c>
      <c r="AB102" s="575" t="str">
        <f t="shared" si="17"/>
        <v>F193:F197</v>
      </c>
      <c r="AC102" s="575" t="str">
        <f t="shared" si="17"/>
        <v>I193:I197</v>
      </c>
      <c r="AD102" s="575" t="str">
        <f t="shared" si="17"/>
        <v>L193:L197</v>
      </c>
      <c r="AE102" s="577" t="str">
        <f t="shared" si="17"/>
        <v>O193:O197</v>
      </c>
      <c r="AF102" s="574">
        <f t="shared" ref="AF102:AO108" ca="1" si="23">INDEX(OFFSET(INDIRECT(V102),0,1),MATCH(D88,INDIRECT(V102),1))</f>
        <v>-0.11</v>
      </c>
      <c r="AG102" s="575">
        <f t="shared" ca="1" si="23"/>
        <v>-0.13</v>
      </c>
      <c r="AH102" s="575">
        <f t="shared" ca="1" si="23"/>
        <v>-0.1</v>
      </c>
      <c r="AI102" s="575">
        <f t="shared" ca="1" si="23"/>
        <v>-0.1</v>
      </c>
      <c r="AJ102" s="576">
        <f t="shared" ca="1" si="23"/>
        <v>-0.1</v>
      </c>
      <c r="AK102" s="574">
        <f t="shared" ca="1" si="23"/>
        <v>-0.11</v>
      </c>
      <c r="AL102" s="575">
        <f t="shared" ca="1" si="23"/>
        <v>-0.32</v>
      </c>
      <c r="AM102" s="575">
        <f t="shared" ca="1" si="23"/>
        <v>-0.18</v>
      </c>
      <c r="AN102" s="575">
        <f t="shared" ca="1" si="23"/>
        <v>-0.27</v>
      </c>
      <c r="AO102" s="577">
        <f t="shared" ca="1" si="23"/>
        <v>-0.28000000000000003</v>
      </c>
      <c r="AP102" s="574">
        <f t="shared" ref="AP102:AY108" ca="1" si="24">INDEX(OFFSET(INDIRECT(V102),0,1),MATCH(D88,INDIRECT(V102),1)+1)</f>
        <v>-0.11</v>
      </c>
      <c r="AQ102" s="575">
        <f t="shared" ca="1" si="24"/>
        <v>-0.13</v>
      </c>
      <c r="AR102" s="575">
        <f t="shared" ca="1" si="24"/>
        <v>-0.1</v>
      </c>
      <c r="AS102" s="575">
        <f t="shared" ca="1" si="24"/>
        <v>-0.1</v>
      </c>
      <c r="AT102" s="576">
        <f t="shared" ca="1" si="24"/>
        <v>-0.1</v>
      </c>
      <c r="AU102" s="574">
        <f t="shared" ca="1" si="24"/>
        <v>-0.11</v>
      </c>
      <c r="AV102" s="575">
        <f t="shared" ca="1" si="24"/>
        <v>-0.13</v>
      </c>
      <c r="AW102" s="575">
        <f t="shared" ca="1" si="24"/>
        <v>-0.1</v>
      </c>
      <c r="AX102" s="575">
        <f t="shared" ca="1" si="24"/>
        <v>-0.1</v>
      </c>
      <c r="AY102" s="577">
        <f t="shared" ca="1" si="24"/>
        <v>-0.1</v>
      </c>
      <c r="AZ102" s="645">
        <f t="shared" ref="AZ102:BI108" ca="1" si="25">INDEX(OFFSET(INDIRECT(V102),0,0),MATCH(D88,INDIRECT(V102),1))</f>
        <v>60</v>
      </c>
      <c r="BA102" s="646">
        <f t="shared" ca="1" si="25"/>
        <v>280</v>
      </c>
      <c r="BB102" s="646">
        <f t="shared" ca="1" si="25"/>
        <v>130</v>
      </c>
      <c r="BC102" s="646">
        <f t="shared" ca="1" si="25"/>
        <v>110</v>
      </c>
      <c r="BD102" s="647">
        <f t="shared" ca="1" si="25"/>
        <v>100</v>
      </c>
      <c r="BE102" s="645">
        <f t="shared" ca="1" si="25"/>
        <v>60</v>
      </c>
      <c r="BF102" s="646">
        <f t="shared" ca="1" si="25"/>
        <v>37</v>
      </c>
      <c r="BG102" s="646">
        <f t="shared" ca="1" si="25"/>
        <v>20</v>
      </c>
      <c r="BH102" s="646">
        <f t="shared" ca="1" si="25"/>
        <v>12</v>
      </c>
      <c r="BI102" s="648">
        <f t="shared" ca="1" si="25"/>
        <v>12</v>
      </c>
      <c r="BJ102" s="645">
        <f t="shared" ref="BJ102:BS108" ca="1" si="26">INDEX(OFFSET(INDIRECT(V102),0,0),MATCH(D88,INDIRECT(V102),1)+1)</f>
        <v>10000</v>
      </c>
      <c r="BK102" s="646">
        <f t="shared" ca="1" si="26"/>
        <v>10000</v>
      </c>
      <c r="BL102" s="646">
        <f t="shared" ca="1" si="26"/>
        <v>10000</v>
      </c>
      <c r="BM102" s="646">
        <f t="shared" ca="1" si="26"/>
        <v>10000</v>
      </c>
      <c r="BN102" s="647">
        <f t="shared" ca="1" si="26"/>
        <v>10000</v>
      </c>
      <c r="BO102" s="645">
        <f t="shared" ca="1" si="26"/>
        <v>10000</v>
      </c>
      <c r="BP102" s="646">
        <f t="shared" ca="1" si="26"/>
        <v>280</v>
      </c>
      <c r="BQ102" s="646">
        <f t="shared" ca="1" si="26"/>
        <v>130</v>
      </c>
      <c r="BR102" s="646">
        <f t="shared" ca="1" si="26"/>
        <v>110</v>
      </c>
      <c r="BS102" s="648">
        <f t="shared" ca="1" si="26"/>
        <v>100</v>
      </c>
    </row>
    <row r="103" spans="2:71" ht="15" customHeight="1" x14ac:dyDescent="0.25">
      <c r="B103" s="1716" t="str">
        <f>$B$28</f>
        <v>Inner rows, 2nd to 6th row from north</v>
      </c>
      <c r="C103" s="183" t="str">
        <f>$C$26</f>
        <v>1st-4th module</v>
      </c>
      <c r="D103" s="189">
        <f t="shared" ca="1" si="22"/>
        <v>-0.11</v>
      </c>
      <c r="E103" s="190">
        <f t="shared" ca="1" si="22"/>
        <v>-0.13</v>
      </c>
      <c r="F103" s="190">
        <f t="shared" ca="1" si="22"/>
        <v>-0.1</v>
      </c>
      <c r="G103" s="190">
        <f t="shared" ca="1" si="22"/>
        <v>-0.1</v>
      </c>
      <c r="H103" s="573">
        <f t="shared" ca="1" si="22"/>
        <v>-0.1</v>
      </c>
      <c r="I103" s="189">
        <f t="shared" ca="1" si="22"/>
        <v>-0.14901202257863944</v>
      </c>
      <c r="J103" s="190">
        <f t="shared" ca="1" si="22"/>
        <v>-0.13</v>
      </c>
      <c r="K103" s="190">
        <f t="shared" ca="1" si="22"/>
        <v>-0.1</v>
      </c>
      <c r="L103" s="190">
        <f t="shared" ca="1" si="22"/>
        <v>-0.1</v>
      </c>
      <c r="M103" s="191">
        <f t="shared" ca="1" si="22"/>
        <v>-0.10551242203999392</v>
      </c>
      <c r="S103">
        <v>14</v>
      </c>
      <c r="T103" s="954"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73"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-0.11</v>
      </c>
      <c r="AG103" s="190">
        <f t="shared" ca="1" si="23"/>
        <v>-0.13</v>
      </c>
      <c r="AH103" s="190">
        <f t="shared" ca="1" si="23"/>
        <v>-0.1</v>
      </c>
      <c r="AI103" s="190">
        <f t="shared" ca="1" si="23"/>
        <v>-0.1</v>
      </c>
      <c r="AJ103" s="573">
        <f t="shared" ca="1" si="23"/>
        <v>-0.1</v>
      </c>
      <c r="AK103" s="189">
        <f t="shared" ca="1" si="23"/>
        <v>-0.26</v>
      </c>
      <c r="AL103" s="190">
        <f t="shared" ca="1" si="23"/>
        <v>-0.13</v>
      </c>
      <c r="AM103" s="190">
        <f t="shared" ca="1" si="23"/>
        <v>-0.1</v>
      </c>
      <c r="AN103" s="190">
        <f t="shared" ca="1" si="23"/>
        <v>-0.1</v>
      </c>
      <c r="AO103" s="191">
        <f t="shared" ca="1" si="23"/>
        <v>-0.13</v>
      </c>
      <c r="AP103" s="189">
        <f t="shared" ca="1" si="24"/>
        <v>-0.11</v>
      </c>
      <c r="AQ103" s="190">
        <f t="shared" ca="1" si="24"/>
        <v>-0.13</v>
      </c>
      <c r="AR103" s="190">
        <f t="shared" ca="1" si="24"/>
        <v>-0.1</v>
      </c>
      <c r="AS103" s="190">
        <f t="shared" ca="1" si="24"/>
        <v>-0.1</v>
      </c>
      <c r="AT103" s="573">
        <f t="shared" ca="1" si="24"/>
        <v>-0.1</v>
      </c>
      <c r="AU103" s="189">
        <f t="shared" ca="1" si="24"/>
        <v>-0.11</v>
      </c>
      <c r="AV103" s="190">
        <f t="shared" ca="1" si="24"/>
        <v>-0.13</v>
      </c>
      <c r="AW103" s="190">
        <f t="shared" ca="1" si="24"/>
        <v>-0.1</v>
      </c>
      <c r="AX103" s="190">
        <f t="shared" ca="1" si="24"/>
        <v>-0.1</v>
      </c>
      <c r="AY103" s="191">
        <f t="shared" ca="1" si="24"/>
        <v>-0.1</v>
      </c>
      <c r="AZ103" s="641">
        <f t="shared" ca="1" si="25"/>
        <v>400</v>
      </c>
      <c r="BA103" s="642">
        <f t="shared" ca="1" si="25"/>
        <v>36</v>
      </c>
      <c r="BB103" s="642">
        <f t="shared" ca="1" si="25"/>
        <v>110</v>
      </c>
      <c r="BC103" s="642">
        <f t="shared" ca="1" si="25"/>
        <v>30</v>
      </c>
      <c r="BD103" s="643">
        <f t="shared" ca="1" si="25"/>
        <v>150</v>
      </c>
      <c r="BE103" s="641">
        <f t="shared" ca="1" si="25"/>
        <v>50</v>
      </c>
      <c r="BF103" s="642">
        <f t="shared" ca="1" si="25"/>
        <v>36</v>
      </c>
      <c r="BG103" s="642">
        <f t="shared" ca="1" si="25"/>
        <v>110</v>
      </c>
      <c r="BH103" s="642">
        <f t="shared" ca="1" si="25"/>
        <v>30</v>
      </c>
      <c r="BI103" s="644">
        <f t="shared" ca="1" si="25"/>
        <v>10</v>
      </c>
      <c r="BJ103" s="641">
        <f t="shared" ca="1" si="26"/>
        <v>10000</v>
      </c>
      <c r="BK103" s="642">
        <f t="shared" ca="1" si="26"/>
        <v>10000</v>
      </c>
      <c r="BL103" s="642">
        <f t="shared" ca="1" si="26"/>
        <v>10000</v>
      </c>
      <c r="BM103" s="642">
        <f t="shared" ca="1" si="26"/>
        <v>10000</v>
      </c>
      <c r="BN103" s="643">
        <f t="shared" ca="1" si="26"/>
        <v>10000</v>
      </c>
      <c r="BO103" s="641">
        <f t="shared" ca="1" si="26"/>
        <v>400</v>
      </c>
      <c r="BP103" s="642">
        <f t="shared" ca="1" si="26"/>
        <v>10000</v>
      </c>
      <c r="BQ103" s="642">
        <f t="shared" ca="1" si="26"/>
        <v>10000</v>
      </c>
      <c r="BR103" s="642">
        <f t="shared" ca="1" si="26"/>
        <v>10000</v>
      </c>
      <c r="BS103" s="644">
        <f t="shared" ca="1" si="26"/>
        <v>150</v>
      </c>
    </row>
    <row r="104" spans="2:71" ht="15" customHeight="1" thickBot="1" x14ac:dyDescent="0.3">
      <c r="B104" s="1717"/>
      <c r="C104" s="278" t="str">
        <f>$C$27</f>
        <v>Interior modules</v>
      </c>
      <c r="D104" s="578">
        <f t="shared" ca="1" si="22"/>
        <v>-0.11</v>
      </c>
      <c r="E104" s="579">
        <f t="shared" ca="1" si="22"/>
        <v>-0.13</v>
      </c>
      <c r="F104" s="579">
        <f t="shared" ca="1" si="22"/>
        <v>-0.1</v>
      </c>
      <c r="G104" s="579">
        <f t="shared" ca="1" si="22"/>
        <v>-0.1</v>
      </c>
      <c r="H104" s="580">
        <f t="shared" ca="1" si="22"/>
        <v>-0.1</v>
      </c>
      <c r="I104" s="578">
        <f t="shared" ca="1" si="22"/>
        <v>-0.11</v>
      </c>
      <c r="J104" s="579">
        <f t="shared" ca="1" si="22"/>
        <v>-0.13</v>
      </c>
      <c r="K104" s="579">
        <f t="shared" ca="1" si="22"/>
        <v>-0.1</v>
      </c>
      <c r="L104" s="579">
        <f t="shared" ca="1" si="22"/>
        <v>-0.1</v>
      </c>
      <c r="M104" s="581">
        <f t="shared" ca="1" si="22"/>
        <v>-0.10734989605332523</v>
      </c>
      <c r="S104">
        <v>21</v>
      </c>
      <c r="T104" s="955"/>
      <c r="U104" s="278" t="str">
        <f>$C$27</f>
        <v>Interior modules</v>
      </c>
      <c r="V104" s="578" t="str">
        <f t="shared" si="17"/>
        <v>C149:C153</v>
      </c>
      <c r="W104" s="579" t="str">
        <f t="shared" si="17"/>
        <v>F149:F153</v>
      </c>
      <c r="X104" s="579" t="str">
        <f t="shared" si="17"/>
        <v>I149:I153</v>
      </c>
      <c r="Y104" s="579" t="str">
        <f t="shared" si="17"/>
        <v>L149:L153</v>
      </c>
      <c r="Z104" s="580" t="str">
        <f t="shared" si="17"/>
        <v>O149:O153</v>
      </c>
      <c r="AA104" s="578" t="str">
        <f t="shared" si="17"/>
        <v>C207:C211</v>
      </c>
      <c r="AB104" s="579" t="str">
        <f t="shared" si="17"/>
        <v>F207:F211</v>
      </c>
      <c r="AC104" s="579" t="str">
        <f t="shared" si="17"/>
        <v>I207:I211</v>
      </c>
      <c r="AD104" s="579" t="str">
        <f t="shared" si="17"/>
        <v>L207:L211</v>
      </c>
      <c r="AE104" s="581" t="str">
        <f t="shared" si="17"/>
        <v>O207:O211</v>
      </c>
      <c r="AF104" s="578">
        <f t="shared" ca="1" si="23"/>
        <v>-0.11</v>
      </c>
      <c r="AG104" s="579">
        <f t="shared" ca="1" si="23"/>
        <v>-0.13</v>
      </c>
      <c r="AH104" s="579">
        <f t="shared" ca="1" si="23"/>
        <v>-0.1</v>
      </c>
      <c r="AI104" s="579">
        <f t="shared" ca="1" si="23"/>
        <v>-0.1</v>
      </c>
      <c r="AJ104" s="580">
        <f t="shared" ca="1" si="23"/>
        <v>-0.1</v>
      </c>
      <c r="AK104" s="578">
        <f t="shared" ca="1" si="23"/>
        <v>-0.11</v>
      </c>
      <c r="AL104" s="579">
        <f t="shared" ca="1" si="23"/>
        <v>-0.13</v>
      </c>
      <c r="AM104" s="579">
        <f t="shared" ca="1" si="23"/>
        <v>-0.1</v>
      </c>
      <c r="AN104" s="579">
        <f t="shared" ca="1" si="23"/>
        <v>-0.1</v>
      </c>
      <c r="AO104" s="581">
        <f t="shared" ca="1" si="23"/>
        <v>-0.14000000000000001</v>
      </c>
      <c r="AP104" s="578">
        <f t="shared" ca="1" si="24"/>
        <v>-0.11</v>
      </c>
      <c r="AQ104" s="579">
        <f t="shared" ca="1" si="24"/>
        <v>-0.13</v>
      </c>
      <c r="AR104" s="579">
        <f t="shared" ca="1" si="24"/>
        <v>-0.1</v>
      </c>
      <c r="AS104" s="579">
        <f t="shared" ca="1" si="24"/>
        <v>-0.1</v>
      </c>
      <c r="AT104" s="580">
        <f t="shared" ca="1" si="24"/>
        <v>-0.1</v>
      </c>
      <c r="AU104" s="578">
        <f t="shared" ca="1" si="24"/>
        <v>-0.11</v>
      </c>
      <c r="AV104" s="579">
        <f t="shared" ca="1" si="24"/>
        <v>-0.13</v>
      </c>
      <c r="AW104" s="579">
        <f t="shared" ca="1" si="24"/>
        <v>-0.1</v>
      </c>
      <c r="AX104" s="579">
        <f t="shared" ca="1" si="24"/>
        <v>-0.1</v>
      </c>
      <c r="AY104" s="581">
        <f t="shared" ca="1" si="24"/>
        <v>-0.1</v>
      </c>
      <c r="AZ104" s="649">
        <f t="shared" ca="1" si="25"/>
        <v>100</v>
      </c>
      <c r="BA104" s="650">
        <f t="shared" ca="1" si="25"/>
        <v>150</v>
      </c>
      <c r="BB104" s="650">
        <f t="shared" ca="1" si="25"/>
        <v>110</v>
      </c>
      <c r="BC104" s="650">
        <f t="shared" ca="1" si="25"/>
        <v>30</v>
      </c>
      <c r="BD104" s="651">
        <f t="shared" ca="1" si="25"/>
        <v>150</v>
      </c>
      <c r="BE104" s="649">
        <f t="shared" ca="1" si="25"/>
        <v>100</v>
      </c>
      <c r="BF104" s="650">
        <f t="shared" ca="1" si="25"/>
        <v>150</v>
      </c>
      <c r="BG104" s="650">
        <f t="shared" ca="1" si="25"/>
        <v>110</v>
      </c>
      <c r="BH104" s="650">
        <f t="shared" ca="1" si="25"/>
        <v>30</v>
      </c>
      <c r="BI104" s="652">
        <f t="shared" ca="1" si="25"/>
        <v>10</v>
      </c>
      <c r="BJ104" s="649">
        <f t="shared" ca="1" si="26"/>
        <v>10000</v>
      </c>
      <c r="BK104" s="650">
        <f t="shared" ca="1" si="26"/>
        <v>10000</v>
      </c>
      <c r="BL104" s="650">
        <f t="shared" ca="1" si="26"/>
        <v>10000</v>
      </c>
      <c r="BM104" s="650">
        <f t="shared" ca="1" si="26"/>
        <v>10000</v>
      </c>
      <c r="BN104" s="651">
        <f t="shared" ca="1" si="26"/>
        <v>10000</v>
      </c>
      <c r="BO104" s="649">
        <f t="shared" ca="1" si="26"/>
        <v>10000</v>
      </c>
      <c r="BP104" s="650">
        <f t="shared" ca="1" si="26"/>
        <v>10000</v>
      </c>
      <c r="BQ104" s="650">
        <f t="shared" ca="1" si="26"/>
        <v>10000</v>
      </c>
      <c r="BR104" s="650">
        <f t="shared" ca="1" si="26"/>
        <v>10000</v>
      </c>
      <c r="BS104" s="652">
        <f t="shared" ca="1" si="26"/>
        <v>150</v>
      </c>
    </row>
    <row r="105" spans="2:71" ht="15" customHeight="1" x14ac:dyDescent="0.25">
      <c r="B105" s="1716" t="str">
        <f>$B$30</f>
        <v>Inner rows, from 7th row from north</v>
      </c>
      <c r="C105" s="183" t="str">
        <f>$C$26</f>
        <v>1st-4th module</v>
      </c>
      <c r="D105" s="189">
        <f t="shared" ca="1" si="22"/>
        <v>-0.11</v>
      </c>
      <c r="E105" s="190">
        <f t="shared" ca="1" si="22"/>
        <v>-0.13</v>
      </c>
      <c r="F105" s="190">
        <f t="shared" ca="1" si="22"/>
        <v>-0.1</v>
      </c>
      <c r="G105" s="190">
        <f t="shared" ca="1" si="22"/>
        <v>-0.1</v>
      </c>
      <c r="H105" s="190">
        <f t="shared" ca="1" si="22"/>
        <v>-0.1</v>
      </c>
      <c r="I105" s="189">
        <f t="shared" ca="1" si="22"/>
        <v>-0.12915175171218479</v>
      </c>
      <c r="J105" s="190">
        <f t="shared" ca="1" si="22"/>
        <v>-0.13</v>
      </c>
      <c r="K105" s="190">
        <f t="shared" ca="1" si="22"/>
        <v>-0.1</v>
      </c>
      <c r="L105" s="190">
        <f t="shared" ca="1" si="22"/>
        <v>-0.10545571449058683</v>
      </c>
      <c r="M105" s="191">
        <f t="shared" ca="1" si="22"/>
        <v>-0.1</v>
      </c>
      <c r="S105">
        <v>28</v>
      </c>
      <c r="T105" s="954"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-0.11</v>
      </c>
      <c r="AG105" s="190">
        <f t="shared" ca="1" si="23"/>
        <v>-0.13</v>
      </c>
      <c r="AH105" s="190">
        <f t="shared" ca="1" si="23"/>
        <v>-0.1</v>
      </c>
      <c r="AI105" s="190">
        <f t="shared" ca="1" si="23"/>
        <v>-0.1</v>
      </c>
      <c r="AJ105" s="190">
        <f t="shared" ca="1" si="23"/>
        <v>-0.1</v>
      </c>
      <c r="AK105" s="189">
        <f t="shared" ca="1" si="23"/>
        <v>-0.21</v>
      </c>
      <c r="AL105" s="190">
        <f t="shared" ca="1" si="23"/>
        <v>-0.13</v>
      </c>
      <c r="AM105" s="190">
        <f t="shared" ca="1" si="23"/>
        <v>-0.1</v>
      </c>
      <c r="AN105" s="190">
        <f t="shared" ca="1" si="23"/>
        <v>-0.16</v>
      </c>
      <c r="AO105" s="191">
        <f t="shared" ca="1" si="23"/>
        <v>-0.1</v>
      </c>
      <c r="AP105" s="189">
        <f t="shared" ca="1" si="24"/>
        <v>-0.11</v>
      </c>
      <c r="AQ105" s="190">
        <f t="shared" ca="1" si="24"/>
        <v>-0.13</v>
      </c>
      <c r="AR105" s="190">
        <f t="shared" ca="1" si="24"/>
        <v>-0.1</v>
      </c>
      <c r="AS105" s="190">
        <f t="shared" ca="1" si="24"/>
        <v>-0.1</v>
      </c>
      <c r="AT105" s="190">
        <f t="shared" ca="1" si="24"/>
        <v>-0.1</v>
      </c>
      <c r="AU105" s="189">
        <f t="shared" ca="1" si="24"/>
        <v>-0.11</v>
      </c>
      <c r="AV105" s="190">
        <f t="shared" ca="1" si="24"/>
        <v>-0.13</v>
      </c>
      <c r="AW105" s="190">
        <f t="shared" ca="1" si="24"/>
        <v>-0.1</v>
      </c>
      <c r="AX105" s="190">
        <f t="shared" ca="1" si="24"/>
        <v>-0.1</v>
      </c>
      <c r="AY105" s="191">
        <f t="shared" ca="1" si="24"/>
        <v>-0.1</v>
      </c>
      <c r="AZ105" s="641">
        <f t="shared" ca="1" si="25"/>
        <v>300</v>
      </c>
      <c r="BA105" s="642">
        <f t="shared" ca="1" si="25"/>
        <v>150</v>
      </c>
      <c r="BB105" s="642">
        <f t="shared" ca="1" si="25"/>
        <v>140</v>
      </c>
      <c r="BC105" s="642">
        <f t="shared" ca="1" si="25"/>
        <v>110</v>
      </c>
      <c r="BD105" s="642">
        <f t="shared" ca="1" si="25"/>
        <v>70</v>
      </c>
      <c r="BE105" s="641">
        <f t="shared" ca="1" si="25"/>
        <v>80</v>
      </c>
      <c r="BF105" s="642">
        <f t="shared" ca="1" si="25"/>
        <v>150</v>
      </c>
      <c r="BG105" s="642">
        <f t="shared" ca="1" si="25"/>
        <v>140</v>
      </c>
      <c r="BH105" s="642">
        <f t="shared" ca="1" si="25"/>
        <v>14</v>
      </c>
      <c r="BI105" s="644">
        <f t="shared" ca="1" si="25"/>
        <v>70</v>
      </c>
      <c r="BJ105" s="641">
        <f t="shared" ca="1" si="26"/>
        <v>10000</v>
      </c>
      <c r="BK105" s="642">
        <f t="shared" ca="1" si="26"/>
        <v>10000</v>
      </c>
      <c r="BL105" s="642">
        <f t="shared" ca="1" si="26"/>
        <v>10000</v>
      </c>
      <c r="BM105" s="642">
        <f t="shared" ca="1" si="26"/>
        <v>10000</v>
      </c>
      <c r="BN105" s="642">
        <f t="shared" ca="1" si="26"/>
        <v>10000</v>
      </c>
      <c r="BO105" s="641">
        <f t="shared" ca="1" si="26"/>
        <v>300</v>
      </c>
      <c r="BP105" s="642">
        <f t="shared" ca="1" si="26"/>
        <v>10000</v>
      </c>
      <c r="BQ105" s="642">
        <f t="shared" ca="1" si="26"/>
        <v>10000</v>
      </c>
      <c r="BR105" s="642">
        <f t="shared" ca="1" si="26"/>
        <v>110</v>
      </c>
      <c r="BS105" s="644">
        <f t="shared" ca="1" si="26"/>
        <v>10000</v>
      </c>
    </row>
    <row r="106" spans="2:71" ht="15" customHeight="1" thickBot="1" x14ac:dyDescent="0.3">
      <c r="B106" s="1717"/>
      <c r="C106" s="277" t="str">
        <f>$C$27</f>
        <v>Interior modules</v>
      </c>
      <c r="D106" s="582">
        <f t="shared" ca="1" si="22"/>
        <v>-0.11</v>
      </c>
      <c r="E106" s="583">
        <f t="shared" ca="1" si="22"/>
        <v>-0.13</v>
      </c>
      <c r="F106" s="583">
        <f t="shared" ca="1" si="22"/>
        <v>-0.1</v>
      </c>
      <c r="G106" s="583">
        <f t="shared" ca="1" si="22"/>
        <v>-0.1</v>
      </c>
      <c r="H106" s="583">
        <f t="shared" ca="1" si="22"/>
        <v>-0.1</v>
      </c>
      <c r="I106" s="582">
        <f t="shared" ca="1" si="22"/>
        <v>-0.12149105102731089</v>
      </c>
      <c r="J106" s="583">
        <f t="shared" ca="1" si="22"/>
        <v>-0.13</v>
      </c>
      <c r="K106" s="583">
        <f t="shared" ca="1" si="22"/>
        <v>-0.1</v>
      </c>
      <c r="L106" s="583">
        <f t="shared" ca="1" si="22"/>
        <v>-0.10454642874215569</v>
      </c>
      <c r="M106" s="585">
        <f t="shared" ca="1" si="22"/>
        <v>-0.10281160093304098</v>
      </c>
      <c r="S106">
        <v>35</v>
      </c>
      <c r="T106" s="955"/>
      <c r="U106" s="277" t="str">
        <f>$C$27</f>
        <v>Interior modules</v>
      </c>
      <c r="V106" s="582" t="str">
        <f t="shared" si="17"/>
        <v>C163:C167</v>
      </c>
      <c r="W106" s="583" t="str">
        <f t="shared" si="17"/>
        <v>F163:F167</v>
      </c>
      <c r="X106" s="583" t="str">
        <f t="shared" si="17"/>
        <v>I163:I167</v>
      </c>
      <c r="Y106" s="583" t="str">
        <f t="shared" si="17"/>
        <v>L163:L167</v>
      </c>
      <c r="Z106" s="583" t="str">
        <f t="shared" si="17"/>
        <v>O163:O167</v>
      </c>
      <c r="AA106" s="582" t="str">
        <f t="shared" si="17"/>
        <v>C221:C225</v>
      </c>
      <c r="AB106" s="583" t="str">
        <f t="shared" si="17"/>
        <v>F221:F225</v>
      </c>
      <c r="AC106" s="583" t="str">
        <f t="shared" si="17"/>
        <v>I221:I225</v>
      </c>
      <c r="AD106" s="583" t="str">
        <f t="shared" si="17"/>
        <v>L221:L225</v>
      </c>
      <c r="AE106" s="585" t="str">
        <f t="shared" si="17"/>
        <v>O221:O225</v>
      </c>
      <c r="AF106" s="582">
        <f t="shared" ca="1" si="23"/>
        <v>-0.11</v>
      </c>
      <c r="AG106" s="583">
        <f t="shared" ca="1" si="23"/>
        <v>-0.13</v>
      </c>
      <c r="AH106" s="583">
        <f t="shared" ca="1" si="23"/>
        <v>-0.1</v>
      </c>
      <c r="AI106" s="583">
        <f t="shared" ca="1" si="23"/>
        <v>-0.1</v>
      </c>
      <c r="AJ106" s="583">
        <f t="shared" ca="1" si="23"/>
        <v>-0.1</v>
      </c>
      <c r="AK106" s="582">
        <f t="shared" ca="1" si="23"/>
        <v>-0.17</v>
      </c>
      <c r="AL106" s="583">
        <f t="shared" ca="1" si="23"/>
        <v>-0.13</v>
      </c>
      <c r="AM106" s="583">
        <f t="shared" ca="1" si="23"/>
        <v>-0.1</v>
      </c>
      <c r="AN106" s="583">
        <f t="shared" ca="1" si="23"/>
        <v>-0.15</v>
      </c>
      <c r="AO106" s="585">
        <f t="shared" ca="1" si="23"/>
        <v>-0.16</v>
      </c>
      <c r="AP106" s="582">
        <f t="shared" ca="1" si="24"/>
        <v>-0.11</v>
      </c>
      <c r="AQ106" s="583">
        <f t="shared" ca="1" si="24"/>
        <v>-0.13</v>
      </c>
      <c r="AR106" s="583">
        <f t="shared" ca="1" si="24"/>
        <v>-0.1</v>
      </c>
      <c r="AS106" s="583">
        <f t="shared" ca="1" si="24"/>
        <v>-0.1</v>
      </c>
      <c r="AT106" s="583">
        <f t="shared" ca="1" si="24"/>
        <v>-0.1</v>
      </c>
      <c r="AU106" s="582">
        <f t="shared" ca="1" si="24"/>
        <v>-0.11</v>
      </c>
      <c r="AV106" s="583">
        <f t="shared" ca="1" si="24"/>
        <v>-0.13</v>
      </c>
      <c r="AW106" s="583">
        <f t="shared" ca="1" si="24"/>
        <v>-0.1</v>
      </c>
      <c r="AX106" s="583">
        <f t="shared" ca="1" si="24"/>
        <v>-0.1</v>
      </c>
      <c r="AY106" s="585">
        <f t="shared" ca="1" si="24"/>
        <v>-0.1</v>
      </c>
      <c r="AZ106" s="653">
        <f t="shared" ca="1" si="25"/>
        <v>300</v>
      </c>
      <c r="BA106" s="654">
        <f t="shared" ca="1" si="25"/>
        <v>150</v>
      </c>
      <c r="BB106" s="654">
        <f t="shared" ca="1" si="25"/>
        <v>150</v>
      </c>
      <c r="BC106" s="654">
        <f t="shared" ca="1" si="25"/>
        <v>110</v>
      </c>
      <c r="BD106" s="654">
        <f t="shared" ca="1" si="25"/>
        <v>100</v>
      </c>
      <c r="BE106" s="653">
        <f t="shared" ca="1" si="25"/>
        <v>80</v>
      </c>
      <c r="BF106" s="654">
        <f t="shared" ca="1" si="25"/>
        <v>150</v>
      </c>
      <c r="BG106" s="654">
        <f t="shared" ca="1" si="25"/>
        <v>150</v>
      </c>
      <c r="BH106" s="654">
        <f t="shared" ca="1" si="25"/>
        <v>14</v>
      </c>
      <c r="BI106" s="655">
        <f t="shared" ca="1" si="25"/>
        <v>14</v>
      </c>
      <c r="BJ106" s="653">
        <f t="shared" ca="1" si="26"/>
        <v>10000</v>
      </c>
      <c r="BK106" s="654">
        <f t="shared" ca="1" si="26"/>
        <v>10000</v>
      </c>
      <c r="BL106" s="654">
        <f t="shared" ca="1" si="26"/>
        <v>10000</v>
      </c>
      <c r="BM106" s="654">
        <f t="shared" ca="1" si="26"/>
        <v>10000</v>
      </c>
      <c r="BN106" s="654">
        <f t="shared" ca="1" si="26"/>
        <v>10000</v>
      </c>
      <c r="BO106" s="653">
        <f t="shared" ca="1" si="26"/>
        <v>300</v>
      </c>
      <c r="BP106" s="654">
        <f t="shared" ca="1" si="26"/>
        <v>10000</v>
      </c>
      <c r="BQ106" s="654">
        <f t="shared" ca="1" si="26"/>
        <v>10000</v>
      </c>
      <c r="BR106" s="654">
        <f t="shared" ca="1" si="26"/>
        <v>110</v>
      </c>
      <c r="BS106" s="655">
        <f t="shared" ca="1" si="26"/>
        <v>100</v>
      </c>
    </row>
    <row r="107" spans="2:71" ht="15" customHeight="1" x14ac:dyDescent="0.25">
      <c r="B107" s="1716" t="str">
        <f>$B$32</f>
        <v>South row</v>
      </c>
      <c r="C107" s="183" t="str">
        <f>$C$26</f>
        <v>1st-4th module</v>
      </c>
      <c r="D107" s="189">
        <f t="shared" ca="1" si="22"/>
        <v>-0.11</v>
      </c>
      <c r="E107" s="190">
        <f t="shared" ca="1" si="22"/>
        <v>-0.13</v>
      </c>
      <c r="F107" s="190">
        <f t="shared" ca="1" si="22"/>
        <v>-0.1</v>
      </c>
      <c r="G107" s="190">
        <f t="shared" ca="1" si="22"/>
        <v>-0.1</v>
      </c>
      <c r="H107" s="573">
        <f t="shared" ca="1" si="22"/>
        <v>-0.1</v>
      </c>
      <c r="I107" s="189">
        <f t="shared" ca="1" si="22"/>
        <v>-0.14360312721529986</v>
      </c>
      <c r="J107" s="190">
        <f t="shared" ca="1" si="22"/>
        <v>-0.13</v>
      </c>
      <c r="K107" s="190">
        <f t="shared" ca="1" si="22"/>
        <v>-0.10691965817911281</v>
      </c>
      <c r="L107" s="190">
        <f t="shared" ca="1" si="22"/>
        <v>-0.10351092553743543</v>
      </c>
      <c r="M107" s="191">
        <f t="shared" ca="1" si="22"/>
        <v>-0.1</v>
      </c>
      <c r="S107">
        <v>42</v>
      </c>
      <c r="T107" s="954" t="str">
        <f>$B$32</f>
        <v>South row</v>
      </c>
      <c r="U107" s="183" t="str">
        <f>$C$26</f>
        <v>1st-4th module</v>
      </c>
      <c r="V107" s="189" t="str">
        <f t="shared" si="17"/>
        <v>C170:C174</v>
      </c>
      <c r="W107" s="190" t="str">
        <f t="shared" si="17"/>
        <v>F170:F174</v>
      </c>
      <c r="X107" s="190" t="str">
        <f t="shared" si="17"/>
        <v>I170:I174</v>
      </c>
      <c r="Y107" s="190" t="str">
        <f t="shared" si="17"/>
        <v>L170:L174</v>
      </c>
      <c r="Z107" s="573"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-0.11</v>
      </c>
      <c r="AG107" s="190">
        <f t="shared" ca="1" si="23"/>
        <v>-0.13</v>
      </c>
      <c r="AH107" s="190">
        <f t="shared" ca="1" si="23"/>
        <v>-0.1</v>
      </c>
      <c r="AI107" s="190">
        <f t="shared" ca="1" si="23"/>
        <v>-0.1</v>
      </c>
      <c r="AJ107" s="573">
        <f t="shared" ca="1" si="23"/>
        <v>-0.1</v>
      </c>
      <c r="AK107" s="189">
        <f t="shared" ca="1" si="23"/>
        <v>-0.21</v>
      </c>
      <c r="AL107" s="190">
        <f t="shared" ca="1" si="23"/>
        <v>-0.13</v>
      </c>
      <c r="AM107" s="190">
        <f t="shared" ca="1" si="23"/>
        <v>-0.23</v>
      </c>
      <c r="AN107" s="190">
        <f t="shared" ca="1" si="23"/>
        <v>-0.14000000000000001</v>
      </c>
      <c r="AO107" s="191">
        <f t="shared" ca="1" si="23"/>
        <v>-0.1</v>
      </c>
      <c r="AP107" s="189">
        <f t="shared" ca="1" si="24"/>
        <v>-0.11</v>
      </c>
      <c r="AQ107" s="190">
        <f t="shared" ca="1" si="24"/>
        <v>-0.13</v>
      </c>
      <c r="AR107" s="190">
        <f t="shared" ca="1" si="24"/>
        <v>-0.1</v>
      </c>
      <c r="AS107" s="190">
        <f t="shared" ca="1" si="24"/>
        <v>-0.1</v>
      </c>
      <c r="AT107" s="573">
        <f t="shared" ca="1" si="24"/>
        <v>-0.1</v>
      </c>
      <c r="AU107" s="189">
        <f t="shared" ca="1" si="24"/>
        <v>-0.11</v>
      </c>
      <c r="AV107" s="190">
        <f t="shared" ca="1" si="24"/>
        <v>-0.13</v>
      </c>
      <c r="AW107" s="190">
        <f t="shared" ca="1" si="24"/>
        <v>-0.1</v>
      </c>
      <c r="AX107" s="190">
        <f t="shared" ca="1" si="24"/>
        <v>-0.1</v>
      </c>
      <c r="AY107" s="191">
        <f t="shared" ca="1" si="24"/>
        <v>-0.1</v>
      </c>
      <c r="AZ107" s="641">
        <f t="shared" ca="1" si="25"/>
        <v>400</v>
      </c>
      <c r="BA107" s="642">
        <f t="shared" ca="1" si="25"/>
        <v>36</v>
      </c>
      <c r="BB107" s="642">
        <f t="shared" ca="1" si="25"/>
        <v>180</v>
      </c>
      <c r="BC107" s="642">
        <f t="shared" ca="1" si="25"/>
        <v>110</v>
      </c>
      <c r="BD107" s="643">
        <f t="shared" ca="1" si="25"/>
        <v>40</v>
      </c>
      <c r="BE107" s="641">
        <f t="shared" ca="1" si="25"/>
        <v>80</v>
      </c>
      <c r="BF107" s="642">
        <f t="shared" ca="1" si="25"/>
        <v>36</v>
      </c>
      <c r="BG107" s="642">
        <f t="shared" ca="1" si="25"/>
        <v>12</v>
      </c>
      <c r="BH107" s="642">
        <f t="shared" ca="1" si="25"/>
        <v>13</v>
      </c>
      <c r="BI107" s="644">
        <f t="shared" ca="1" si="25"/>
        <v>40</v>
      </c>
      <c r="BJ107" s="641">
        <f t="shared" ca="1" si="26"/>
        <v>10000</v>
      </c>
      <c r="BK107" s="642">
        <f t="shared" ca="1" si="26"/>
        <v>10000</v>
      </c>
      <c r="BL107" s="642">
        <f t="shared" ca="1" si="26"/>
        <v>10000</v>
      </c>
      <c r="BM107" s="642">
        <f t="shared" ca="1" si="26"/>
        <v>10000</v>
      </c>
      <c r="BN107" s="643">
        <f t="shared" ca="1" si="26"/>
        <v>10000</v>
      </c>
      <c r="BO107" s="641">
        <f t="shared" ca="1" si="26"/>
        <v>400</v>
      </c>
      <c r="BP107" s="642">
        <f t="shared" ca="1" si="26"/>
        <v>10000</v>
      </c>
      <c r="BQ107" s="642">
        <f t="shared" ca="1" si="26"/>
        <v>180</v>
      </c>
      <c r="BR107" s="642">
        <f t="shared" ca="1" si="26"/>
        <v>110</v>
      </c>
      <c r="BS107" s="644">
        <f t="shared" ca="1" si="26"/>
        <v>10000</v>
      </c>
    </row>
    <row r="108" spans="2:71" ht="15" customHeight="1" thickBot="1" x14ac:dyDescent="0.3">
      <c r="B108" s="1717"/>
      <c r="C108" s="277" t="str">
        <f>$C$27</f>
        <v>Interior modules</v>
      </c>
      <c r="D108" s="578">
        <f t="shared" ca="1" si="22"/>
        <v>-0.11</v>
      </c>
      <c r="E108" s="579">
        <f t="shared" ca="1" si="22"/>
        <v>-0.13</v>
      </c>
      <c r="F108" s="579">
        <f t="shared" ca="1" si="22"/>
        <v>-0.1</v>
      </c>
      <c r="G108" s="579">
        <f t="shared" ca="1" si="22"/>
        <v>-0.1</v>
      </c>
      <c r="H108" s="580">
        <f t="shared" ca="1" si="22"/>
        <v>-0.1</v>
      </c>
      <c r="I108" s="578">
        <f t="shared" ca="1" si="22"/>
        <v>-0.13352218905070989</v>
      </c>
      <c r="J108" s="579">
        <f t="shared" ca="1" si="22"/>
        <v>-0.13</v>
      </c>
      <c r="K108" s="579">
        <f t="shared" ca="1" si="22"/>
        <v>-0.1</v>
      </c>
      <c r="L108" s="579">
        <f t="shared" ca="1" si="22"/>
        <v>-0.1</v>
      </c>
      <c r="M108" s="581">
        <f t="shared" ca="1" si="22"/>
        <v>-0.1</v>
      </c>
      <c r="S108">
        <v>49</v>
      </c>
      <c r="T108" s="955"/>
      <c r="U108" s="277" t="str">
        <f>$C$27</f>
        <v>Interior modules</v>
      </c>
      <c r="V108" s="578" t="str">
        <f t="shared" si="17"/>
        <v>C177:C181</v>
      </c>
      <c r="W108" s="579" t="str">
        <f t="shared" si="17"/>
        <v>F177:F181</v>
      </c>
      <c r="X108" s="579" t="str">
        <f t="shared" si="17"/>
        <v>I177:I181</v>
      </c>
      <c r="Y108" s="579" t="str">
        <f t="shared" si="17"/>
        <v>L177:L181</v>
      </c>
      <c r="Z108" s="580" t="str">
        <f t="shared" si="17"/>
        <v>O177:O181</v>
      </c>
      <c r="AA108" s="578" t="str">
        <f t="shared" si="17"/>
        <v>C235:C239</v>
      </c>
      <c r="AB108" s="579" t="str">
        <f t="shared" si="17"/>
        <v>F235:F239</v>
      </c>
      <c r="AC108" s="579" t="str">
        <f t="shared" si="17"/>
        <v>I235:I239</v>
      </c>
      <c r="AD108" s="579" t="str">
        <f t="shared" si="17"/>
        <v>L235:L239</v>
      </c>
      <c r="AE108" s="581" t="str">
        <f t="shared" si="17"/>
        <v>O235:O239</v>
      </c>
      <c r="AF108" s="578">
        <f t="shared" ca="1" si="23"/>
        <v>-0.11</v>
      </c>
      <c r="AG108" s="579">
        <f t="shared" ca="1" si="23"/>
        <v>-0.13</v>
      </c>
      <c r="AH108" s="579">
        <f t="shared" ca="1" si="23"/>
        <v>-0.1</v>
      </c>
      <c r="AI108" s="579">
        <f t="shared" ca="1" si="23"/>
        <v>-0.1</v>
      </c>
      <c r="AJ108" s="580">
        <f t="shared" ca="1" si="23"/>
        <v>-0.1</v>
      </c>
      <c r="AK108" s="578">
        <f t="shared" ca="1" si="23"/>
        <v>-0.18</v>
      </c>
      <c r="AL108" s="579">
        <f t="shared" ca="1" si="23"/>
        <v>-0.13</v>
      </c>
      <c r="AM108" s="579">
        <f t="shared" ca="1" si="23"/>
        <v>-0.1</v>
      </c>
      <c r="AN108" s="579">
        <f t="shared" ca="1" si="23"/>
        <v>-0.1</v>
      </c>
      <c r="AO108" s="581">
        <f t="shared" ca="1" si="23"/>
        <v>-0.1</v>
      </c>
      <c r="AP108" s="578">
        <f t="shared" ca="1" si="24"/>
        <v>-0.11</v>
      </c>
      <c r="AQ108" s="579">
        <f t="shared" ca="1" si="24"/>
        <v>-0.13</v>
      </c>
      <c r="AR108" s="579">
        <f t="shared" ca="1" si="24"/>
        <v>-0.1</v>
      </c>
      <c r="AS108" s="579">
        <f t="shared" ca="1" si="24"/>
        <v>-0.1</v>
      </c>
      <c r="AT108" s="580">
        <f t="shared" ca="1" si="24"/>
        <v>-0.1</v>
      </c>
      <c r="AU108" s="578">
        <f t="shared" ca="1" si="24"/>
        <v>-0.11</v>
      </c>
      <c r="AV108" s="579">
        <f t="shared" ca="1" si="24"/>
        <v>-0.13</v>
      </c>
      <c r="AW108" s="579">
        <f t="shared" ca="1" si="24"/>
        <v>-0.1</v>
      </c>
      <c r="AX108" s="579">
        <f t="shared" ca="1" si="24"/>
        <v>-0.1</v>
      </c>
      <c r="AY108" s="581">
        <f t="shared" ca="1" si="24"/>
        <v>-0.1</v>
      </c>
      <c r="AZ108" s="649">
        <f t="shared" ca="1" si="25"/>
        <v>400</v>
      </c>
      <c r="BA108" s="650">
        <f t="shared" ca="1" si="25"/>
        <v>150</v>
      </c>
      <c r="BB108" s="650">
        <f t="shared" ca="1" si="25"/>
        <v>100</v>
      </c>
      <c r="BC108" s="650">
        <f t="shared" ca="1" si="25"/>
        <v>40</v>
      </c>
      <c r="BD108" s="651">
        <f t="shared" ca="1" si="25"/>
        <v>50</v>
      </c>
      <c r="BE108" s="649">
        <f t="shared" ca="1" si="25"/>
        <v>80</v>
      </c>
      <c r="BF108" s="650">
        <f t="shared" ca="1" si="25"/>
        <v>150</v>
      </c>
      <c r="BG108" s="650">
        <f t="shared" ca="1" si="25"/>
        <v>100</v>
      </c>
      <c r="BH108" s="650">
        <f t="shared" ca="1" si="25"/>
        <v>40</v>
      </c>
      <c r="BI108" s="652">
        <f t="shared" ca="1" si="25"/>
        <v>50</v>
      </c>
      <c r="BJ108" s="649">
        <f t="shared" ca="1" si="26"/>
        <v>10000</v>
      </c>
      <c r="BK108" s="650">
        <f t="shared" ca="1" si="26"/>
        <v>10000</v>
      </c>
      <c r="BL108" s="650">
        <f t="shared" ca="1" si="26"/>
        <v>10000</v>
      </c>
      <c r="BM108" s="650">
        <f t="shared" ca="1" si="26"/>
        <v>10000</v>
      </c>
      <c r="BN108" s="651">
        <f t="shared" ca="1" si="26"/>
        <v>10000</v>
      </c>
      <c r="BO108" s="649">
        <f t="shared" ca="1" si="26"/>
        <v>400</v>
      </c>
      <c r="BP108" s="650">
        <f t="shared" ca="1" si="26"/>
        <v>10000</v>
      </c>
      <c r="BQ108" s="650">
        <f t="shared" ca="1" si="26"/>
        <v>10000</v>
      </c>
      <c r="BR108" s="650">
        <f t="shared" ca="1" si="26"/>
        <v>10000</v>
      </c>
      <c r="BS108" s="652">
        <f t="shared" ca="1" si="26"/>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67</v>
      </c>
      <c r="J114" s="438" t="s">
        <v>67</v>
      </c>
      <c r="K114" s="438" t="s">
        <v>67</v>
      </c>
      <c r="L114" s="438" t="s">
        <v>67</v>
      </c>
      <c r="M114" s="439" t="s">
        <v>67</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1st-4th module</v>
      </c>
      <c r="D115" s="626">
        <f ca="1">AF115+(AP115-AF115)/(LOG(BJ115)-LOG(AZ115))*(LOG(D87)-LOG(AZ115))</f>
        <v>23</v>
      </c>
      <c r="E115" s="627">
        <f t="shared" ref="E115:M115" ca="1" si="27">AG115+(AQ115-AG115)/(LOG(BK115)-LOG(BA115))*(LOG(E87)-LOG(BA115))</f>
        <v>34</v>
      </c>
      <c r="F115" s="627">
        <f t="shared" ca="1" si="27"/>
        <v>23</v>
      </c>
      <c r="G115" s="627">
        <f t="shared" ca="1" si="27"/>
        <v>23</v>
      </c>
      <c r="H115" s="628">
        <f t="shared" ca="1" si="27"/>
        <v>22</v>
      </c>
      <c r="I115" s="626">
        <f t="shared" ca="1" si="27"/>
        <v>18.278047144486194</v>
      </c>
      <c r="J115" s="627">
        <f t="shared" ca="1" si="27"/>
        <v>31.226787920359786</v>
      </c>
      <c r="K115" s="627">
        <f t="shared" ca="1" si="27"/>
        <v>11.535784410479266</v>
      </c>
      <c r="L115" s="627">
        <f t="shared" ca="1" si="27"/>
        <v>13.237477192899995</v>
      </c>
      <c r="M115" s="629">
        <f t="shared" ca="1" si="27"/>
        <v>12.011431454152778</v>
      </c>
      <c r="S115">
        <v>0</v>
      </c>
      <c r="T115" s="954"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73"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41">
        <f ca="1">INDEX(OFFSET(INDIRECT(V115),0,2),MATCH(D87,INDIRECT(V115),1))</f>
        <v>23</v>
      </c>
      <c r="AG115" s="642">
        <f t="shared" ref="AG115:AO115" ca="1" si="29">INDEX(OFFSET(INDIRECT(W115),0,2),MATCH(E87,INDIRECT(W115),1))</f>
        <v>34</v>
      </c>
      <c r="AH115" s="642">
        <f t="shared" ca="1" si="29"/>
        <v>23</v>
      </c>
      <c r="AI115" s="642">
        <f t="shared" ca="1" si="29"/>
        <v>23</v>
      </c>
      <c r="AJ115" s="643">
        <f t="shared" ca="1" si="29"/>
        <v>22</v>
      </c>
      <c r="AK115" s="641">
        <f t="shared" ca="1" si="29"/>
        <v>31</v>
      </c>
      <c r="AL115" s="642">
        <f t="shared" ca="1" si="29"/>
        <v>57</v>
      </c>
      <c r="AM115" s="642">
        <f t="shared" ca="1" si="29"/>
        <v>56</v>
      </c>
      <c r="AN115" s="642">
        <f t="shared" ca="1" si="29"/>
        <v>50</v>
      </c>
      <c r="AO115" s="644">
        <f t="shared" ca="1" si="29"/>
        <v>54</v>
      </c>
      <c r="AP115" s="641">
        <f ca="1">INDEX(OFFSET(INDIRECT(V115),0,2),MATCH(D87,INDIRECT(V115),1)+1)</f>
        <v>23</v>
      </c>
      <c r="AQ115" s="642">
        <f t="shared" ref="AQ115:AY115" ca="1" si="30">INDEX(OFFSET(INDIRECT(W115),0,2),MATCH(E87,INDIRECT(W115),1)+1)</f>
        <v>34</v>
      </c>
      <c r="AR115" s="642">
        <f t="shared" ca="1" si="30"/>
        <v>23</v>
      </c>
      <c r="AS115" s="642">
        <f t="shared" ca="1" si="30"/>
        <v>23</v>
      </c>
      <c r="AT115" s="643">
        <f t="shared" ca="1" si="30"/>
        <v>22</v>
      </c>
      <c r="AU115" s="641">
        <f t="shared" ca="1" si="30"/>
        <v>10</v>
      </c>
      <c r="AV115" s="642">
        <f t="shared" ca="1" si="30"/>
        <v>16</v>
      </c>
      <c r="AW115" s="642">
        <f t="shared" ca="1" si="30"/>
        <v>7</v>
      </c>
      <c r="AX115" s="642">
        <f t="shared" ca="1" si="30"/>
        <v>7</v>
      </c>
      <c r="AY115" s="644">
        <f t="shared" ca="1" si="30"/>
        <v>7</v>
      </c>
      <c r="AZ115" s="641">
        <f ca="1">INDEX(OFFSET(INDIRECT(V115),0,0),MATCH(D87,INDIRECT(V115),1))</f>
        <v>300</v>
      </c>
      <c r="BA115" s="642">
        <f t="shared" ref="BA115:BI115" ca="1" si="31">INDEX(OFFSET(INDIRECT(W115),0,0),MATCH(E87,INDIRECT(W115),1))</f>
        <v>300</v>
      </c>
      <c r="BB115" s="642">
        <f t="shared" ca="1" si="31"/>
        <v>130</v>
      </c>
      <c r="BC115" s="642">
        <f t="shared" ca="1" si="31"/>
        <v>110</v>
      </c>
      <c r="BD115" s="643">
        <f t="shared" ca="1" si="31"/>
        <v>100</v>
      </c>
      <c r="BE115" s="641">
        <f t="shared" ca="1" si="31"/>
        <v>80</v>
      </c>
      <c r="BF115" s="642">
        <f t="shared" ca="1" si="31"/>
        <v>25</v>
      </c>
      <c r="BG115" s="642">
        <f t="shared" ca="1" si="31"/>
        <v>12</v>
      </c>
      <c r="BH115" s="642">
        <f t="shared" ca="1" si="31"/>
        <v>12</v>
      </c>
      <c r="BI115" s="644">
        <f t="shared" ca="1" si="31"/>
        <v>12</v>
      </c>
      <c r="BJ115" s="641">
        <f ca="1">INDEX(OFFSET(INDIRECT(V115),0,0),MATCH(D87,INDIRECT(V115),1)+1)</f>
        <v>10000</v>
      </c>
      <c r="BK115" s="642">
        <f t="shared" ref="BK115:BS115" ca="1" si="32">INDEX(OFFSET(INDIRECT(W115),0,0),MATCH(E87,INDIRECT(W115),1)+1)</f>
        <v>10000</v>
      </c>
      <c r="BL115" s="642">
        <f t="shared" ca="1" si="32"/>
        <v>10000</v>
      </c>
      <c r="BM115" s="642">
        <f t="shared" ca="1" si="32"/>
        <v>10000</v>
      </c>
      <c r="BN115" s="643">
        <f t="shared" ca="1" si="32"/>
        <v>10000</v>
      </c>
      <c r="BO115" s="641">
        <f t="shared" ca="1" si="32"/>
        <v>300</v>
      </c>
      <c r="BP115" s="642">
        <f t="shared" ca="1" si="32"/>
        <v>300</v>
      </c>
      <c r="BQ115" s="642">
        <f t="shared" ca="1" si="32"/>
        <v>130</v>
      </c>
      <c r="BR115" s="642">
        <f t="shared" ca="1" si="32"/>
        <v>110</v>
      </c>
      <c r="BS115" s="644">
        <f t="shared" ca="1" si="32"/>
        <v>100</v>
      </c>
    </row>
    <row r="116" spans="2:71" ht="15" customHeight="1" thickBot="1" x14ac:dyDescent="0.3">
      <c r="B116" s="1717"/>
      <c r="C116" s="277" t="str">
        <f>$C$27</f>
        <v>Interior modules</v>
      </c>
      <c r="D116" s="630">
        <f t="shared" ref="D116:M122" ca="1" si="33">AF116+(AP116-AF116)/(LOG(BJ116)-LOG(AZ116))*(LOG(D88)-LOG(AZ116))</f>
        <v>23</v>
      </c>
      <c r="E116" s="631">
        <f t="shared" ca="1" si="33"/>
        <v>34</v>
      </c>
      <c r="F116" s="631">
        <f t="shared" ca="1" si="33"/>
        <v>23</v>
      </c>
      <c r="G116" s="631">
        <f t="shared" ca="1" si="33"/>
        <v>23</v>
      </c>
      <c r="H116" s="632">
        <f t="shared" ca="1" si="33"/>
        <v>22</v>
      </c>
      <c r="I116" s="630">
        <f t="shared" ca="1" si="33"/>
        <v>10</v>
      </c>
      <c r="J116" s="631">
        <f t="shared" ca="1" si="33"/>
        <v>38.782410438583682</v>
      </c>
      <c r="K116" s="631">
        <f t="shared" ca="1" si="33"/>
        <v>10.181385848958179</v>
      </c>
      <c r="L116" s="631">
        <f t="shared" ca="1" si="33"/>
        <v>13.817707629448826</v>
      </c>
      <c r="M116" s="633">
        <f t="shared" ca="1" si="33"/>
        <v>12.331310057609343</v>
      </c>
      <c r="S116">
        <v>7</v>
      </c>
      <c r="T116" s="955"/>
      <c r="U116" s="277" t="str">
        <f>$C$27</f>
        <v>Interior modules</v>
      </c>
      <c r="V116" s="574" t="str">
        <f t="shared" si="28"/>
        <v>C135:C139</v>
      </c>
      <c r="W116" s="575" t="str">
        <f t="shared" si="28"/>
        <v>F135:F139</v>
      </c>
      <c r="X116" s="575" t="str">
        <f t="shared" si="28"/>
        <v>I135:I139</v>
      </c>
      <c r="Y116" s="575" t="str">
        <f t="shared" si="28"/>
        <v>L135:L139</v>
      </c>
      <c r="Z116" s="576" t="str">
        <f t="shared" si="28"/>
        <v>O135:O139</v>
      </c>
      <c r="AA116" s="574" t="str">
        <f t="shared" si="28"/>
        <v>C193:C197</v>
      </c>
      <c r="AB116" s="575" t="str">
        <f t="shared" si="28"/>
        <v>F193:F197</v>
      </c>
      <c r="AC116" s="575" t="str">
        <f t="shared" si="28"/>
        <v>I193:I197</v>
      </c>
      <c r="AD116" s="575" t="str">
        <f t="shared" si="28"/>
        <v>L193:L197</v>
      </c>
      <c r="AE116" s="577" t="str">
        <f t="shared" si="28"/>
        <v>O193:O197</v>
      </c>
      <c r="AF116" s="645">
        <f t="shared" ref="AF116:AO122" ca="1" si="34">INDEX(OFFSET(INDIRECT(V116),0,2),MATCH(D88,INDIRECT(V116),1))</f>
        <v>23</v>
      </c>
      <c r="AG116" s="646">
        <f t="shared" ca="1" si="34"/>
        <v>34</v>
      </c>
      <c r="AH116" s="646">
        <f t="shared" ca="1" si="34"/>
        <v>23</v>
      </c>
      <c r="AI116" s="646">
        <f t="shared" ca="1" si="34"/>
        <v>23</v>
      </c>
      <c r="AJ116" s="647">
        <f t="shared" ca="1" si="34"/>
        <v>22</v>
      </c>
      <c r="AK116" s="645">
        <f t="shared" ca="1" si="34"/>
        <v>10</v>
      </c>
      <c r="AL116" s="646">
        <f t="shared" ca="1" si="34"/>
        <v>70</v>
      </c>
      <c r="AM116" s="646">
        <f t="shared" ca="1" si="34"/>
        <v>34</v>
      </c>
      <c r="AN116" s="646">
        <f t="shared" ca="1" si="34"/>
        <v>54</v>
      </c>
      <c r="AO116" s="648">
        <f t="shared" ca="1" si="34"/>
        <v>57</v>
      </c>
      <c r="AP116" s="645">
        <f t="shared" ref="AP116:AY122" ca="1" si="35">INDEX(OFFSET(INDIRECT(V116),0,2),MATCH(D88,INDIRECT(V116),1)+1)</f>
        <v>23</v>
      </c>
      <c r="AQ116" s="646">
        <f t="shared" ca="1" si="35"/>
        <v>34</v>
      </c>
      <c r="AR116" s="646">
        <f t="shared" ca="1" si="35"/>
        <v>23</v>
      </c>
      <c r="AS116" s="646">
        <f t="shared" ca="1" si="35"/>
        <v>23</v>
      </c>
      <c r="AT116" s="647">
        <f t="shared" ca="1" si="35"/>
        <v>22</v>
      </c>
      <c r="AU116" s="645">
        <f t="shared" ca="1" si="35"/>
        <v>10</v>
      </c>
      <c r="AV116" s="646">
        <f t="shared" ca="1" si="35"/>
        <v>16</v>
      </c>
      <c r="AW116" s="646">
        <f t="shared" ca="1" si="35"/>
        <v>7</v>
      </c>
      <c r="AX116" s="646">
        <f t="shared" ca="1" si="35"/>
        <v>7</v>
      </c>
      <c r="AY116" s="648">
        <f t="shared" ca="1" si="35"/>
        <v>7</v>
      </c>
      <c r="AZ116" s="645">
        <f t="shared" ref="AZ116:BI122" ca="1" si="36">INDEX(OFFSET(INDIRECT(V116),0,0),MATCH(D88,INDIRECT(V116),1))</f>
        <v>60</v>
      </c>
      <c r="BA116" s="646">
        <f t="shared" ca="1" si="36"/>
        <v>280</v>
      </c>
      <c r="BB116" s="646">
        <f t="shared" ca="1" si="36"/>
        <v>130</v>
      </c>
      <c r="BC116" s="646">
        <f t="shared" ca="1" si="36"/>
        <v>110</v>
      </c>
      <c r="BD116" s="647">
        <f t="shared" ca="1" si="36"/>
        <v>100</v>
      </c>
      <c r="BE116" s="645">
        <f t="shared" ca="1" si="36"/>
        <v>60</v>
      </c>
      <c r="BF116" s="646">
        <f t="shared" ca="1" si="36"/>
        <v>37</v>
      </c>
      <c r="BG116" s="646">
        <f t="shared" ca="1" si="36"/>
        <v>20</v>
      </c>
      <c r="BH116" s="646">
        <f t="shared" ca="1" si="36"/>
        <v>12</v>
      </c>
      <c r="BI116" s="648">
        <f t="shared" ca="1" si="36"/>
        <v>12</v>
      </c>
      <c r="BJ116" s="645">
        <f t="shared" ref="BJ116:BS122" ca="1" si="37">INDEX(OFFSET(INDIRECT(V116),0,0),MATCH(D88,INDIRECT(V116),1)+1)</f>
        <v>10000</v>
      </c>
      <c r="BK116" s="646">
        <f t="shared" ca="1" si="37"/>
        <v>10000</v>
      </c>
      <c r="BL116" s="646">
        <f t="shared" ca="1" si="37"/>
        <v>10000</v>
      </c>
      <c r="BM116" s="646">
        <f t="shared" ca="1" si="37"/>
        <v>10000</v>
      </c>
      <c r="BN116" s="647">
        <f t="shared" ca="1" si="37"/>
        <v>10000</v>
      </c>
      <c r="BO116" s="645">
        <f t="shared" ca="1" si="37"/>
        <v>10000</v>
      </c>
      <c r="BP116" s="646">
        <f t="shared" ca="1" si="37"/>
        <v>280</v>
      </c>
      <c r="BQ116" s="646">
        <f t="shared" ca="1" si="37"/>
        <v>130</v>
      </c>
      <c r="BR116" s="646">
        <f t="shared" ca="1" si="37"/>
        <v>110</v>
      </c>
      <c r="BS116" s="648">
        <f t="shared" ca="1" si="37"/>
        <v>100</v>
      </c>
    </row>
    <row r="117" spans="2:71" ht="15" customHeight="1" x14ac:dyDescent="0.25">
      <c r="B117" s="1716" t="str">
        <f>$B$28</f>
        <v>Inner rows, 2nd to 6th row from north</v>
      </c>
      <c r="C117" s="183" t="str">
        <f>$C$26</f>
        <v>1st-4th module</v>
      </c>
      <c r="D117" s="626">
        <f t="shared" ca="1" si="33"/>
        <v>23</v>
      </c>
      <c r="E117" s="627">
        <f t="shared" ca="1" si="33"/>
        <v>34</v>
      </c>
      <c r="F117" s="627">
        <f t="shared" ca="1" si="33"/>
        <v>23</v>
      </c>
      <c r="G117" s="627">
        <f t="shared" ca="1" si="33"/>
        <v>23</v>
      </c>
      <c r="H117" s="628">
        <f t="shared" ca="1" si="33"/>
        <v>22</v>
      </c>
      <c r="I117" s="626">
        <f t="shared" ca="1" si="33"/>
        <v>20.663286171494782</v>
      </c>
      <c r="J117" s="627">
        <f t="shared" ca="1" si="33"/>
        <v>16</v>
      </c>
      <c r="K117" s="627">
        <f t="shared" ca="1" si="33"/>
        <v>7</v>
      </c>
      <c r="L117" s="627">
        <f t="shared" ca="1" si="33"/>
        <v>7</v>
      </c>
      <c r="M117" s="629">
        <f t="shared" ca="1" si="33"/>
        <v>8.2862318093319161</v>
      </c>
      <c r="S117">
        <v>14</v>
      </c>
      <c r="T117" s="954"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73"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41">
        <f t="shared" ca="1" si="34"/>
        <v>23</v>
      </c>
      <c r="AG117" s="642">
        <f t="shared" ca="1" si="34"/>
        <v>34</v>
      </c>
      <c r="AH117" s="642">
        <f t="shared" ca="1" si="34"/>
        <v>23</v>
      </c>
      <c r="AI117" s="642">
        <f t="shared" ca="1" si="34"/>
        <v>23</v>
      </c>
      <c r="AJ117" s="643">
        <f t="shared" ca="1" si="34"/>
        <v>22</v>
      </c>
      <c r="AK117" s="641">
        <f t="shared" ca="1" si="34"/>
        <v>51</v>
      </c>
      <c r="AL117" s="642">
        <f t="shared" ca="1" si="34"/>
        <v>16</v>
      </c>
      <c r="AM117" s="642">
        <f t="shared" ca="1" si="34"/>
        <v>7</v>
      </c>
      <c r="AN117" s="642">
        <f t="shared" ca="1" si="34"/>
        <v>7</v>
      </c>
      <c r="AO117" s="644">
        <f t="shared" ca="1" si="34"/>
        <v>14</v>
      </c>
      <c r="AP117" s="641">
        <f t="shared" ca="1" si="35"/>
        <v>23</v>
      </c>
      <c r="AQ117" s="642">
        <f t="shared" ca="1" si="35"/>
        <v>34</v>
      </c>
      <c r="AR117" s="642">
        <f t="shared" ca="1" si="35"/>
        <v>23</v>
      </c>
      <c r="AS117" s="642">
        <f t="shared" ca="1" si="35"/>
        <v>23</v>
      </c>
      <c r="AT117" s="643">
        <f t="shared" ca="1" si="35"/>
        <v>22</v>
      </c>
      <c r="AU117" s="641">
        <f t="shared" ca="1" si="35"/>
        <v>10</v>
      </c>
      <c r="AV117" s="642">
        <f t="shared" ca="1" si="35"/>
        <v>16</v>
      </c>
      <c r="AW117" s="642">
        <f t="shared" ca="1" si="35"/>
        <v>7</v>
      </c>
      <c r="AX117" s="642">
        <f t="shared" ca="1" si="35"/>
        <v>7</v>
      </c>
      <c r="AY117" s="644">
        <f t="shared" ca="1" si="35"/>
        <v>7</v>
      </c>
      <c r="AZ117" s="641">
        <f t="shared" ca="1" si="36"/>
        <v>400</v>
      </c>
      <c r="BA117" s="642">
        <f t="shared" ca="1" si="36"/>
        <v>36</v>
      </c>
      <c r="BB117" s="642">
        <f t="shared" ca="1" si="36"/>
        <v>110</v>
      </c>
      <c r="BC117" s="642">
        <f t="shared" ca="1" si="36"/>
        <v>30</v>
      </c>
      <c r="BD117" s="643">
        <f t="shared" ca="1" si="36"/>
        <v>150</v>
      </c>
      <c r="BE117" s="641">
        <f t="shared" ca="1" si="36"/>
        <v>50</v>
      </c>
      <c r="BF117" s="642">
        <f t="shared" ca="1" si="36"/>
        <v>36</v>
      </c>
      <c r="BG117" s="642">
        <f t="shared" ca="1" si="36"/>
        <v>110</v>
      </c>
      <c r="BH117" s="642">
        <f t="shared" ca="1" si="36"/>
        <v>30</v>
      </c>
      <c r="BI117" s="644">
        <f t="shared" ca="1" si="36"/>
        <v>10</v>
      </c>
      <c r="BJ117" s="641">
        <f t="shared" ca="1" si="37"/>
        <v>10000</v>
      </c>
      <c r="BK117" s="642">
        <f t="shared" ca="1" si="37"/>
        <v>10000</v>
      </c>
      <c r="BL117" s="642">
        <f t="shared" ca="1" si="37"/>
        <v>10000</v>
      </c>
      <c r="BM117" s="642">
        <f t="shared" ca="1" si="37"/>
        <v>10000</v>
      </c>
      <c r="BN117" s="643">
        <f t="shared" ca="1" si="37"/>
        <v>10000</v>
      </c>
      <c r="BO117" s="641">
        <f t="shared" ca="1" si="37"/>
        <v>400</v>
      </c>
      <c r="BP117" s="642">
        <f t="shared" ca="1" si="37"/>
        <v>10000</v>
      </c>
      <c r="BQ117" s="642">
        <f t="shared" ca="1" si="37"/>
        <v>10000</v>
      </c>
      <c r="BR117" s="642">
        <f t="shared" ca="1" si="37"/>
        <v>10000</v>
      </c>
      <c r="BS117" s="644">
        <f t="shared" ca="1" si="37"/>
        <v>150</v>
      </c>
    </row>
    <row r="118" spans="2:71" ht="15" customHeight="1" thickBot="1" x14ac:dyDescent="0.3">
      <c r="B118" s="1717"/>
      <c r="C118" s="278" t="str">
        <f>$C$27</f>
        <v>Interior modules</v>
      </c>
      <c r="D118" s="634">
        <f t="shared" ca="1" si="33"/>
        <v>23</v>
      </c>
      <c r="E118" s="635">
        <f t="shared" ca="1" si="33"/>
        <v>34</v>
      </c>
      <c r="F118" s="635">
        <f t="shared" ca="1" si="33"/>
        <v>23</v>
      </c>
      <c r="G118" s="635">
        <f t="shared" ca="1" si="33"/>
        <v>23</v>
      </c>
      <c r="H118" s="636">
        <f t="shared" ca="1" si="33"/>
        <v>22</v>
      </c>
      <c r="I118" s="634">
        <f t="shared" ca="1" si="33"/>
        <v>10</v>
      </c>
      <c r="J118" s="635">
        <f t="shared" ca="1" si="33"/>
        <v>16</v>
      </c>
      <c r="K118" s="635">
        <f t="shared" ca="1" si="33"/>
        <v>7</v>
      </c>
      <c r="L118" s="635">
        <f t="shared" ca="1" si="33"/>
        <v>7</v>
      </c>
      <c r="M118" s="637">
        <f t="shared" ca="1" si="33"/>
        <v>9.3887162173306997</v>
      </c>
      <c r="S118">
        <v>21</v>
      </c>
      <c r="T118" s="955"/>
      <c r="U118" s="278" t="str">
        <f>$C$27</f>
        <v>Interior modules</v>
      </c>
      <c r="V118" s="578" t="str">
        <f t="shared" si="28"/>
        <v>C149:C153</v>
      </c>
      <c r="W118" s="579" t="str">
        <f t="shared" si="28"/>
        <v>F149:F153</v>
      </c>
      <c r="X118" s="579" t="str">
        <f t="shared" si="28"/>
        <v>I149:I153</v>
      </c>
      <c r="Y118" s="579" t="str">
        <f t="shared" si="28"/>
        <v>L149:L153</v>
      </c>
      <c r="Z118" s="580" t="str">
        <f t="shared" si="28"/>
        <v>O149:O153</v>
      </c>
      <c r="AA118" s="578" t="str">
        <f t="shared" si="28"/>
        <v>C207:C211</v>
      </c>
      <c r="AB118" s="579" t="str">
        <f t="shared" si="28"/>
        <v>F207:F211</v>
      </c>
      <c r="AC118" s="579" t="str">
        <f t="shared" si="28"/>
        <v>I207:I211</v>
      </c>
      <c r="AD118" s="579" t="str">
        <f t="shared" si="28"/>
        <v>L207:L211</v>
      </c>
      <c r="AE118" s="581" t="str">
        <f t="shared" si="28"/>
        <v>O207:O211</v>
      </c>
      <c r="AF118" s="649">
        <f t="shared" ca="1" si="34"/>
        <v>23</v>
      </c>
      <c r="AG118" s="650">
        <f t="shared" ca="1" si="34"/>
        <v>34</v>
      </c>
      <c r="AH118" s="650">
        <f t="shared" ca="1" si="34"/>
        <v>23</v>
      </c>
      <c r="AI118" s="650">
        <f t="shared" ca="1" si="34"/>
        <v>23</v>
      </c>
      <c r="AJ118" s="651">
        <f t="shared" ca="1" si="34"/>
        <v>22</v>
      </c>
      <c r="AK118" s="649">
        <f t="shared" ca="1" si="34"/>
        <v>10</v>
      </c>
      <c r="AL118" s="650">
        <f t="shared" ca="1" si="34"/>
        <v>16</v>
      </c>
      <c r="AM118" s="650">
        <f t="shared" ca="1" si="34"/>
        <v>7</v>
      </c>
      <c r="AN118" s="650">
        <f t="shared" ca="1" si="34"/>
        <v>7</v>
      </c>
      <c r="AO118" s="652">
        <f t="shared" ca="1" si="34"/>
        <v>20</v>
      </c>
      <c r="AP118" s="649">
        <f t="shared" ca="1" si="35"/>
        <v>23</v>
      </c>
      <c r="AQ118" s="650">
        <f t="shared" ca="1" si="35"/>
        <v>34</v>
      </c>
      <c r="AR118" s="650">
        <f t="shared" ca="1" si="35"/>
        <v>23</v>
      </c>
      <c r="AS118" s="650">
        <f t="shared" ca="1" si="35"/>
        <v>23</v>
      </c>
      <c r="AT118" s="651">
        <f t="shared" ca="1" si="35"/>
        <v>22</v>
      </c>
      <c r="AU118" s="649">
        <f t="shared" ca="1" si="35"/>
        <v>10</v>
      </c>
      <c r="AV118" s="650">
        <f t="shared" ca="1" si="35"/>
        <v>16</v>
      </c>
      <c r="AW118" s="650">
        <f t="shared" ca="1" si="35"/>
        <v>7</v>
      </c>
      <c r="AX118" s="650">
        <f t="shared" ca="1" si="35"/>
        <v>7</v>
      </c>
      <c r="AY118" s="652">
        <f t="shared" ca="1" si="35"/>
        <v>7</v>
      </c>
      <c r="AZ118" s="649">
        <f t="shared" ca="1" si="36"/>
        <v>100</v>
      </c>
      <c r="BA118" s="650">
        <f t="shared" ca="1" si="36"/>
        <v>150</v>
      </c>
      <c r="BB118" s="650">
        <f t="shared" ca="1" si="36"/>
        <v>110</v>
      </c>
      <c r="BC118" s="650">
        <f t="shared" ca="1" si="36"/>
        <v>30</v>
      </c>
      <c r="BD118" s="651">
        <f t="shared" ca="1" si="36"/>
        <v>150</v>
      </c>
      <c r="BE118" s="649">
        <f t="shared" ca="1" si="36"/>
        <v>100</v>
      </c>
      <c r="BF118" s="650">
        <f t="shared" ca="1" si="36"/>
        <v>150</v>
      </c>
      <c r="BG118" s="650">
        <f t="shared" ca="1" si="36"/>
        <v>110</v>
      </c>
      <c r="BH118" s="650">
        <f t="shared" ca="1" si="36"/>
        <v>30</v>
      </c>
      <c r="BI118" s="652">
        <f t="shared" ca="1" si="36"/>
        <v>10</v>
      </c>
      <c r="BJ118" s="649">
        <f t="shared" ca="1" si="37"/>
        <v>10000</v>
      </c>
      <c r="BK118" s="650">
        <f t="shared" ca="1" si="37"/>
        <v>10000</v>
      </c>
      <c r="BL118" s="650">
        <f t="shared" ca="1" si="37"/>
        <v>10000</v>
      </c>
      <c r="BM118" s="650">
        <f t="shared" ca="1" si="37"/>
        <v>10000</v>
      </c>
      <c r="BN118" s="651">
        <f t="shared" ca="1" si="37"/>
        <v>10000</v>
      </c>
      <c r="BO118" s="649">
        <f t="shared" ca="1" si="37"/>
        <v>10000</v>
      </c>
      <c r="BP118" s="650">
        <f t="shared" ca="1" si="37"/>
        <v>10000</v>
      </c>
      <c r="BQ118" s="650">
        <f t="shared" ca="1" si="37"/>
        <v>10000</v>
      </c>
      <c r="BR118" s="650">
        <f t="shared" ca="1" si="37"/>
        <v>10000</v>
      </c>
      <c r="BS118" s="652">
        <f t="shared" ca="1" si="37"/>
        <v>150</v>
      </c>
    </row>
    <row r="119" spans="2:71" ht="15" customHeight="1" x14ac:dyDescent="0.25">
      <c r="B119" s="1716" t="str">
        <f>$B$30</f>
        <v>Inner rows, from 7th row from north</v>
      </c>
      <c r="C119" s="183" t="str">
        <f>$C$26</f>
        <v>1st-4th module</v>
      </c>
      <c r="D119" s="626">
        <f t="shared" ca="1" si="33"/>
        <v>23</v>
      </c>
      <c r="E119" s="627">
        <f t="shared" ca="1" si="33"/>
        <v>34</v>
      </c>
      <c r="F119" s="627">
        <f t="shared" ca="1" si="33"/>
        <v>23</v>
      </c>
      <c r="G119" s="627">
        <f t="shared" ca="1" si="33"/>
        <v>23</v>
      </c>
      <c r="H119" s="627">
        <f t="shared" ca="1" si="33"/>
        <v>22</v>
      </c>
      <c r="I119" s="626">
        <f t="shared" ca="1" si="33"/>
        <v>14.787937928046198</v>
      </c>
      <c r="J119" s="627">
        <f t="shared" ca="1" si="33"/>
        <v>16</v>
      </c>
      <c r="K119" s="627">
        <f t="shared" ca="1" si="33"/>
        <v>7</v>
      </c>
      <c r="L119" s="627">
        <f t="shared" ca="1" si="33"/>
        <v>8.6367143471760457</v>
      </c>
      <c r="M119" s="629">
        <f t="shared" ca="1" si="33"/>
        <v>7</v>
      </c>
      <c r="S119">
        <v>28</v>
      </c>
      <c r="T119" s="954"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41">
        <f t="shared" ca="1" si="34"/>
        <v>23</v>
      </c>
      <c r="AG119" s="642">
        <f t="shared" ca="1" si="34"/>
        <v>34</v>
      </c>
      <c r="AH119" s="642">
        <f t="shared" ca="1" si="34"/>
        <v>23</v>
      </c>
      <c r="AI119" s="642">
        <f t="shared" ca="1" si="34"/>
        <v>23</v>
      </c>
      <c r="AJ119" s="642">
        <f t="shared" ca="1" si="34"/>
        <v>22</v>
      </c>
      <c r="AK119" s="641">
        <f t="shared" ca="1" si="34"/>
        <v>35</v>
      </c>
      <c r="AL119" s="642">
        <f t="shared" ca="1" si="34"/>
        <v>16</v>
      </c>
      <c r="AM119" s="642">
        <f t="shared" ca="1" si="34"/>
        <v>7</v>
      </c>
      <c r="AN119" s="642">
        <f t="shared" ca="1" si="34"/>
        <v>25</v>
      </c>
      <c r="AO119" s="644">
        <f t="shared" ca="1" si="34"/>
        <v>7</v>
      </c>
      <c r="AP119" s="641">
        <f t="shared" ca="1" si="35"/>
        <v>23</v>
      </c>
      <c r="AQ119" s="642">
        <f t="shared" ca="1" si="35"/>
        <v>34</v>
      </c>
      <c r="AR119" s="642">
        <f t="shared" ca="1" si="35"/>
        <v>23</v>
      </c>
      <c r="AS119" s="642">
        <f t="shared" ca="1" si="35"/>
        <v>23</v>
      </c>
      <c r="AT119" s="642">
        <f t="shared" ca="1" si="35"/>
        <v>22</v>
      </c>
      <c r="AU119" s="641">
        <f t="shared" ca="1" si="35"/>
        <v>10</v>
      </c>
      <c r="AV119" s="642">
        <f t="shared" ca="1" si="35"/>
        <v>16</v>
      </c>
      <c r="AW119" s="642">
        <f t="shared" ca="1" si="35"/>
        <v>7</v>
      </c>
      <c r="AX119" s="642">
        <f t="shared" ca="1" si="35"/>
        <v>7</v>
      </c>
      <c r="AY119" s="644">
        <f t="shared" ca="1" si="35"/>
        <v>7</v>
      </c>
      <c r="AZ119" s="641">
        <f t="shared" ca="1" si="36"/>
        <v>300</v>
      </c>
      <c r="BA119" s="642">
        <f t="shared" ca="1" si="36"/>
        <v>150</v>
      </c>
      <c r="BB119" s="642">
        <f t="shared" ca="1" si="36"/>
        <v>140</v>
      </c>
      <c r="BC119" s="642">
        <f t="shared" ca="1" si="36"/>
        <v>110</v>
      </c>
      <c r="BD119" s="642">
        <f t="shared" ca="1" si="36"/>
        <v>70</v>
      </c>
      <c r="BE119" s="641">
        <f t="shared" ca="1" si="36"/>
        <v>80</v>
      </c>
      <c r="BF119" s="642">
        <f t="shared" ca="1" si="36"/>
        <v>150</v>
      </c>
      <c r="BG119" s="642">
        <f t="shared" ca="1" si="36"/>
        <v>140</v>
      </c>
      <c r="BH119" s="642">
        <f t="shared" ca="1" si="36"/>
        <v>14</v>
      </c>
      <c r="BI119" s="644">
        <f t="shared" ca="1" si="36"/>
        <v>70</v>
      </c>
      <c r="BJ119" s="641">
        <f t="shared" ca="1" si="37"/>
        <v>10000</v>
      </c>
      <c r="BK119" s="642">
        <f t="shared" ca="1" si="37"/>
        <v>10000</v>
      </c>
      <c r="BL119" s="642">
        <f t="shared" ca="1" si="37"/>
        <v>10000</v>
      </c>
      <c r="BM119" s="642">
        <f t="shared" ca="1" si="37"/>
        <v>10000</v>
      </c>
      <c r="BN119" s="642">
        <f t="shared" ca="1" si="37"/>
        <v>10000</v>
      </c>
      <c r="BO119" s="641">
        <f t="shared" ca="1" si="37"/>
        <v>300</v>
      </c>
      <c r="BP119" s="642">
        <f t="shared" ca="1" si="37"/>
        <v>10000</v>
      </c>
      <c r="BQ119" s="642">
        <f t="shared" ca="1" si="37"/>
        <v>10000</v>
      </c>
      <c r="BR119" s="642">
        <f t="shared" ca="1" si="37"/>
        <v>110</v>
      </c>
      <c r="BS119" s="644">
        <f t="shared" ca="1" si="37"/>
        <v>10000</v>
      </c>
    </row>
    <row r="120" spans="2:71" ht="15" customHeight="1" thickBot="1" x14ac:dyDescent="0.3">
      <c r="B120" s="1717"/>
      <c r="C120" s="277" t="str">
        <f>$C$27</f>
        <v>Interior modules</v>
      </c>
      <c r="D120" s="638">
        <f t="shared" ca="1" si="33"/>
        <v>23</v>
      </c>
      <c r="E120" s="639">
        <f t="shared" ca="1" si="33"/>
        <v>34</v>
      </c>
      <c r="F120" s="639">
        <f t="shared" ca="1" si="33"/>
        <v>23</v>
      </c>
      <c r="G120" s="639">
        <f t="shared" ca="1" si="33"/>
        <v>23</v>
      </c>
      <c r="H120" s="639">
        <f t="shared" ca="1" si="33"/>
        <v>22</v>
      </c>
      <c r="I120" s="638">
        <f t="shared" ca="1" si="33"/>
        <v>13.447315308193264</v>
      </c>
      <c r="J120" s="639">
        <f t="shared" ca="1" si="33"/>
        <v>16</v>
      </c>
      <c r="K120" s="639">
        <f t="shared" ca="1" si="33"/>
        <v>7</v>
      </c>
      <c r="L120" s="639">
        <f t="shared" ca="1" si="33"/>
        <v>8.3639286226467036</v>
      </c>
      <c r="M120" s="640">
        <f t="shared" ca="1" si="33"/>
        <v>7.843480279912292</v>
      </c>
      <c r="S120">
        <v>35</v>
      </c>
      <c r="T120" s="955"/>
      <c r="U120" s="277" t="str">
        <f>$C$27</f>
        <v>Interior modules</v>
      </c>
      <c r="V120" s="582" t="str">
        <f t="shared" si="28"/>
        <v>C163:C167</v>
      </c>
      <c r="W120" s="583" t="str">
        <f t="shared" si="28"/>
        <v>F163:F167</v>
      </c>
      <c r="X120" s="583" t="str">
        <f t="shared" si="28"/>
        <v>I163:I167</v>
      </c>
      <c r="Y120" s="583" t="str">
        <f t="shared" si="28"/>
        <v>L163:L167</v>
      </c>
      <c r="Z120" s="583" t="str">
        <f t="shared" si="28"/>
        <v>O163:O167</v>
      </c>
      <c r="AA120" s="582" t="str">
        <f t="shared" si="28"/>
        <v>C221:C225</v>
      </c>
      <c r="AB120" s="583" t="str">
        <f t="shared" si="28"/>
        <v>F221:F225</v>
      </c>
      <c r="AC120" s="583" t="str">
        <f t="shared" si="28"/>
        <v>I221:I225</v>
      </c>
      <c r="AD120" s="583" t="str">
        <f t="shared" si="28"/>
        <v>L221:L225</v>
      </c>
      <c r="AE120" s="585" t="str">
        <f t="shared" si="28"/>
        <v>O221:O225</v>
      </c>
      <c r="AF120" s="653">
        <f t="shared" ca="1" si="34"/>
        <v>23</v>
      </c>
      <c r="AG120" s="654">
        <f t="shared" ca="1" si="34"/>
        <v>34</v>
      </c>
      <c r="AH120" s="654">
        <f t="shared" ca="1" si="34"/>
        <v>23</v>
      </c>
      <c r="AI120" s="654">
        <f t="shared" ca="1" si="34"/>
        <v>23</v>
      </c>
      <c r="AJ120" s="654">
        <f t="shared" ca="1" si="34"/>
        <v>22</v>
      </c>
      <c r="AK120" s="653">
        <f t="shared" ca="1" si="34"/>
        <v>28</v>
      </c>
      <c r="AL120" s="654">
        <f t="shared" ca="1" si="34"/>
        <v>16</v>
      </c>
      <c r="AM120" s="654">
        <f t="shared" ca="1" si="34"/>
        <v>7</v>
      </c>
      <c r="AN120" s="654">
        <f t="shared" ca="1" si="34"/>
        <v>22</v>
      </c>
      <c r="AO120" s="655">
        <f t="shared" ca="1" si="34"/>
        <v>25</v>
      </c>
      <c r="AP120" s="653">
        <f t="shared" ca="1" si="35"/>
        <v>23</v>
      </c>
      <c r="AQ120" s="654">
        <f t="shared" ca="1" si="35"/>
        <v>34</v>
      </c>
      <c r="AR120" s="654">
        <f t="shared" ca="1" si="35"/>
        <v>23</v>
      </c>
      <c r="AS120" s="654">
        <f t="shared" ca="1" si="35"/>
        <v>23</v>
      </c>
      <c r="AT120" s="654">
        <f t="shared" ca="1" si="35"/>
        <v>22</v>
      </c>
      <c r="AU120" s="653">
        <f t="shared" ca="1" si="35"/>
        <v>10</v>
      </c>
      <c r="AV120" s="654">
        <f t="shared" ca="1" si="35"/>
        <v>16</v>
      </c>
      <c r="AW120" s="654">
        <f t="shared" ca="1" si="35"/>
        <v>7</v>
      </c>
      <c r="AX120" s="654">
        <f t="shared" ca="1" si="35"/>
        <v>7</v>
      </c>
      <c r="AY120" s="655">
        <f t="shared" ca="1" si="35"/>
        <v>7</v>
      </c>
      <c r="AZ120" s="653">
        <f t="shared" ca="1" si="36"/>
        <v>300</v>
      </c>
      <c r="BA120" s="654">
        <f t="shared" ca="1" si="36"/>
        <v>150</v>
      </c>
      <c r="BB120" s="654">
        <f t="shared" ca="1" si="36"/>
        <v>150</v>
      </c>
      <c r="BC120" s="654">
        <f t="shared" ca="1" si="36"/>
        <v>110</v>
      </c>
      <c r="BD120" s="654">
        <f t="shared" ca="1" si="36"/>
        <v>100</v>
      </c>
      <c r="BE120" s="653">
        <f t="shared" ca="1" si="36"/>
        <v>80</v>
      </c>
      <c r="BF120" s="654">
        <f t="shared" ca="1" si="36"/>
        <v>150</v>
      </c>
      <c r="BG120" s="654">
        <f t="shared" ca="1" si="36"/>
        <v>150</v>
      </c>
      <c r="BH120" s="654">
        <f t="shared" ca="1" si="36"/>
        <v>14</v>
      </c>
      <c r="BI120" s="655">
        <f t="shared" ca="1" si="36"/>
        <v>14</v>
      </c>
      <c r="BJ120" s="653">
        <f t="shared" ca="1" si="37"/>
        <v>10000</v>
      </c>
      <c r="BK120" s="654">
        <f t="shared" ca="1" si="37"/>
        <v>10000</v>
      </c>
      <c r="BL120" s="654">
        <f t="shared" ca="1" si="37"/>
        <v>10000</v>
      </c>
      <c r="BM120" s="654">
        <f t="shared" ca="1" si="37"/>
        <v>10000</v>
      </c>
      <c r="BN120" s="654">
        <f t="shared" ca="1" si="37"/>
        <v>10000</v>
      </c>
      <c r="BO120" s="653">
        <f t="shared" ca="1" si="37"/>
        <v>300</v>
      </c>
      <c r="BP120" s="654">
        <f t="shared" ca="1" si="37"/>
        <v>10000</v>
      </c>
      <c r="BQ120" s="654">
        <f t="shared" ca="1" si="37"/>
        <v>10000</v>
      </c>
      <c r="BR120" s="654">
        <f t="shared" ca="1" si="37"/>
        <v>110</v>
      </c>
      <c r="BS120" s="655">
        <f t="shared" ca="1" si="37"/>
        <v>100</v>
      </c>
    </row>
    <row r="121" spans="2:71" ht="15" customHeight="1" x14ac:dyDescent="0.25">
      <c r="B121" s="1716" t="str">
        <f>$B$32</f>
        <v>South row</v>
      </c>
      <c r="C121" s="183" t="str">
        <f>$C$26</f>
        <v>1st-4th module</v>
      </c>
      <c r="D121" s="626">
        <f t="shared" ca="1" si="33"/>
        <v>23</v>
      </c>
      <c r="E121" s="627">
        <f t="shared" ca="1" si="33"/>
        <v>34</v>
      </c>
      <c r="F121" s="627">
        <f t="shared" ca="1" si="33"/>
        <v>23</v>
      </c>
      <c r="G121" s="627">
        <f t="shared" ca="1" si="33"/>
        <v>23</v>
      </c>
      <c r="H121" s="628">
        <f t="shared" ca="1" si="33"/>
        <v>22</v>
      </c>
      <c r="I121" s="626">
        <f t="shared" ca="1" si="33"/>
        <v>19.072844348130964</v>
      </c>
      <c r="J121" s="627">
        <f t="shared" ca="1" si="33"/>
        <v>16</v>
      </c>
      <c r="K121" s="627">
        <f t="shared" ca="1" si="33"/>
        <v>9.0226693138945109</v>
      </c>
      <c r="L121" s="627">
        <f t="shared" ca="1" si="33"/>
        <v>8.0532776612306289</v>
      </c>
      <c r="M121" s="629">
        <f t="shared" ca="1" si="33"/>
        <v>7</v>
      </c>
      <c r="S121">
        <v>42</v>
      </c>
      <c r="T121" s="954" t="str">
        <f>$B$32</f>
        <v>South row</v>
      </c>
      <c r="U121" s="183" t="str">
        <f>$C$26</f>
        <v>1st-4th module</v>
      </c>
      <c r="V121" s="189" t="str">
        <f t="shared" si="28"/>
        <v>C170:C174</v>
      </c>
      <c r="W121" s="190" t="str">
        <f t="shared" si="28"/>
        <v>F170:F174</v>
      </c>
      <c r="X121" s="190" t="str">
        <f t="shared" si="28"/>
        <v>I170:I174</v>
      </c>
      <c r="Y121" s="190" t="str">
        <f t="shared" si="28"/>
        <v>L170:L174</v>
      </c>
      <c r="Z121" s="573"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41">
        <f t="shared" ca="1" si="34"/>
        <v>23</v>
      </c>
      <c r="AG121" s="642">
        <f t="shared" ca="1" si="34"/>
        <v>34</v>
      </c>
      <c r="AH121" s="642">
        <f t="shared" ca="1" si="34"/>
        <v>23</v>
      </c>
      <c r="AI121" s="642">
        <f t="shared" ca="1" si="34"/>
        <v>23</v>
      </c>
      <c r="AJ121" s="643">
        <f t="shared" ca="1" si="34"/>
        <v>22</v>
      </c>
      <c r="AK121" s="641">
        <f t="shared" ca="1" si="34"/>
        <v>37</v>
      </c>
      <c r="AL121" s="642">
        <f t="shared" ca="1" si="34"/>
        <v>16</v>
      </c>
      <c r="AM121" s="642">
        <f t="shared" ca="1" si="34"/>
        <v>45</v>
      </c>
      <c r="AN121" s="642">
        <f t="shared" ca="1" si="34"/>
        <v>19</v>
      </c>
      <c r="AO121" s="644">
        <f t="shared" ca="1" si="34"/>
        <v>7</v>
      </c>
      <c r="AP121" s="641">
        <f t="shared" ca="1" si="35"/>
        <v>23</v>
      </c>
      <c r="AQ121" s="642">
        <f t="shared" ca="1" si="35"/>
        <v>34</v>
      </c>
      <c r="AR121" s="642">
        <f t="shared" ca="1" si="35"/>
        <v>23</v>
      </c>
      <c r="AS121" s="642">
        <f t="shared" ca="1" si="35"/>
        <v>23</v>
      </c>
      <c r="AT121" s="643">
        <f t="shared" ca="1" si="35"/>
        <v>22</v>
      </c>
      <c r="AU121" s="641">
        <f t="shared" ca="1" si="35"/>
        <v>10</v>
      </c>
      <c r="AV121" s="642">
        <f t="shared" ca="1" si="35"/>
        <v>16</v>
      </c>
      <c r="AW121" s="642">
        <f t="shared" ca="1" si="35"/>
        <v>7</v>
      </c>
      <c r="AX121" s="642">
        <f t="shared" ca="1" si="35"/>
        <v>7</v>
      </c>
      <c r="AY121" s="644">
        <f t="shared" ca="1" si="35"/>
        <v>7</v>
      </c>
      <c r="AZ121" s="641">
        <f t="shared" ca="1" si="36"/>
        <v>400</v>
      </c>
      <c r="BA121" s="642">
        <f t="shared" ca="1" si="36"/>
        <v>36</v>
      </c>
      <c r="BB121" s="642">
        <f t="shared" ca="1" si="36"/>
        <v>180</v>
      </c>
      <c r="BC121" s="642">
        <f t="shared" ca="1" si="36"/>
        <v>110</v>
      </c>
      <c r="BD121" s="643">
        <f t="shared" ca="1" si="36"/>
        <v>40</v>
      </c>
      <c r="BE121" s="641">
        <f t="shared" ca="1" si="36"/>
        <v>80</v>
      </c>
      <c r="BF121" s="642">
        <f t="shared" ca="1" si="36"/>
        <v>36</v>
      </c>
      <c r="BG121" s="642">
        <f t="shared" ca="1" si="36"/>
        <v>12</v>
      </c>
      <c r="BH121" s="642">
        <f t="shared" ca="1" si="36"/>
        <v>13</v>
      </c>
      <c r="BI121" s="644">
        <f t="shared" ca="1" si="36"/>
        <v>40</v>
      </c>
      <c r="BJ121" s="641">
        <f t="shared" ca="1" si="37"/>
        <v>10000</v>
      </c>
      <c r="BK121" s="642">
        <f t="shared" ca="1" si="37"/>
        <v>10000</v>
      </c>
      <c r="BL121" s="642">
        <f t="shared" ca="1" si="37"/>
        <v>10000</v>
      </c>
      <c r="BM121" s="642">
        <f t="shared" ca="1" si="37"/>
        <v>10000</v>
      </c>
      <c r="BN121" s="643">
        <f t="shared" ca="1" si="37"/>
        <v>10000</v>
      </c>
      <c r="BO121" s="641">
        <f t="shared" ca="1" si="37"/>
        <v>400</v>
      </c>
      <c r="BP121" s="642">
        <f t="shared" ca="1" si="37"/>
        <v>10000</v>
      </c>
      <c r="BQ121" s="642">
        <f t="shared" ca="1" si="37"/>
        <v>180</v>
      </c>
      <c r="BR121" s="642">
        <f t="shared" ca="1" si="37"/>
        <v>110</v>
      </c>
      <c r="BS121" s="644">
        <f t="shared" ca="1" si="37"/>
        <v>10000</v>
      </c>
    </row>
    <row r="122" spans="2:71" ht="15" customHeight="1" thickBot="1" x14ac:dyDescent="0.3">
      <c r="B122" s="1717"/>
      <c r="C122" s="277" t="str">
        <f>$C$27</f>
        <v>Interior modules</v>
      </c>
      <c r="D122" s="634">
        <f t="shared" ca="1" si="33"/>
        <v>23</v>
      </c>
      <c r="E122" s="635">
        <f t="shared" ca="1" si="33"/>
        <v>34</v>
      </c>
      <c r="F122" s="635">
        <f t="shared" ca="1" si="33"/>
        <v>23</v>
      </c>
      <c r="G122" s="635">
        <f t="shared" ca="1" si="33"/>
        <v>23</v>
      </c>
      <c r="H122" s="636">
        <f t="shared" ca="1" si="33"/>
        <v>22</v>
      </c>
      <c r="I122" s="634">
        <f t="shared" ca="1" si="33"/>
        <v>17.056656715212974</v>
      </c>
      <c r="J122" s="635">
        <f t="shared" ca="1" si="33"/>
        <v>16</v>
      </c>
      <c r="K122" s="635">
        <f t="shared" ca="1" si="33"/>
        <v>7</v>
      </c>
      <c r="L122" s="635">
        <f t="shared" ca="1" si="33"/>
        <v>7</v>
      </c>
      <c r="M122" s="637">
        <f t="shared" ca="1" si="33"/>
        <v>7</v>
      </c>
      <c r="S122">
        <v>49</v>
      </c>
      <c r="T122" s="955"/>
      <c r="U122" s="277" t="str">
        <f>$C$27</f>
        <v>Interior modules</v>
      </c>
      <c r="V122" s="578" t="str">
        <f t="shared" si="28"/>
        <v>C177:C181</v>
      </c>
      <c r="W122" s="579" t="str">
        <f t="shared" si="28"/>
        <v>F177:F181</v>
      </c>
      <c r="X122" s="579" t="str">
        <f t="shared" si="28"/>
        <v>I177:I181</v>
      </c>
      <c r="Y122" s="579" t="str">
        <f t="shared" si="28"/>
        <v>L177:L181</v>
      </c>
      <c r="Z122" s="580" t="str">
        <f t="shared" si="28"/>
        <v>O177:O181</v>
      </c>
      <c r="AA122" s="578" t="str">
        <f t="shared" si="28"/>
        <v>C235:C239</v>
      </c>
      <c r="AB122" s="579" t="str">
        <f t="shared" si="28"/>
        <v>F235:F239</v>
      </c>
      <c r="AC122" s="579" t="str">
        <f t="shared" si="28"/>
        <v>I235:I239</v>
      </c>
      <c r="AD122" s="579" t="str">
        <f t="shared" si="28"/>
        <v>L235:L239</v>
      </c>
      <c r="AE122" s="581" t="str">
        <f t="shared" si="28"/>
        <v>O235:O239</v>
      </c>
      <c r="AF122" s="649">
        <f t="shared" ca="1" si="34"/>
        <v>23</v>
      </c>
      <c r="AG122" s="650">
        <f t="shared" ca="1" si="34"/>
        <v>34</v>
      </c>
      <c r="AH122" s="650">
        <f t="shared" ca="1" si="34"/>
        <v>23</v>
      </c>
      <c r="AI122" s="650">
        <f t="shared" ca="1" si="34"/>
        <v>23</v>
      </c>
      <c r="AJ122" s="651">
        <f t="shared" ca="1" si="34"/>
        <v>22</v>
      </c>
      <c r="AK122" s="649">
        <f t="shared" ca="1" si="34"/>
        <v>31</v>
      </c>
      <c r="AL122" s="650">
        <f t="shared" ca="1" si="34"/>
        <v>16</v>
      </c>
      <c r="AM122" s="650">
        <f t="shared" ca="1" si="34"/>
        <v>7</v>
      </c>
      <c r="AN122" s="650">
        <f t="shared" ca="1" si="34"/>
        <v>7</v>
      </c>
      <c r="AO122" s="652">
        <f t="shared" ca="1" si="34"/>
        <v>7</v>
      </c>
      <c r="AP122" s="649">
        <f t="shared" ca="1" si="35"/>
        <v>23</v>
      </c>
      <c r="AQ122" s="650">
        <f t="shared" ca="1" si="35"/>
        <v>34</v>
      </c>
      <c r="AR122" s="650">
        <f t="shared" ca="1" si="35"/>
        <v>23</v>
      </c>
      <c r="AS122" s="650">
        <f t="shared" ca="1" si="35"/>
        <v>23</v>
      </c>
      <c r="AT122" s="651">
        <f t="shared" ca="1" si="35"/>
        <v>22</v>
      </c>
      <c r="AU122" s="649">
        <f t="shared" ca="1" si="35"/>
        <v>10</v>
      </c>
      <c r="AV122" s="650">
        <f t="shared" ca="1" si="35"/>
        <v>16</v>
      </c>
      <c r="AW122" s="650">
        <f t="shared" ca="1" si="35"/>
        <v>7</v>
      </c>
      <c r="AX122" s="650">
        <f t="shared" ca="1" si="35"/>
        <v>7</v>
      </c>
      <c r="AY122" s="652">
        <f t="shared" ca="1" si="35"/>
        <v>7</v>
      </c>
      <c r="AZ122" s="649">
        <f t="shared" ca="1" si="36"/>
        <v>400</v>
      </c>
      <c r="BA122" s="650">
        <f t="shared" ca="1" si="36"/>
        <v>150</v>
      </c>
      <c r="BB122" s="650">
        <f t="shared" ca="1" si="36"/>
        <v>100</v>
      </c>
      <c r="BC122" s="650">
        <f t="shared" ca="1" si="36"/>
        <v>40</v>
      </c>
      <c r="BD122" s="651">
        <f t="shared" ca="1" si="36"/>
        <v>50</v>
      </c>
      <c r="BE122" s="649">
        <f t="shared" ca="1" si="36"/>
        <v>80</v>
      </c>
      <c r="BF122" s="650">
        <f t="shared" ca="1" si="36"/>
        <v>150</v>
      </c>
      <c r="BG122" s="650">
        <f t="shared" ca="1" si="36"/>
        <v>100</v>
      </c>
      <c r="BH122" s="650">
        <f t="shared" ca="1" si="36"/>
        <v>40</v>
      </c>
      <c r="BI122" s="652">
        <f t="shared" ca="1" si="36"/>
        <v>50</v>
      </c>
      <c r="BJ122" s="649">
        <f t="shared" ca="1" si="37"/>
        <v>10000</v>
      </c>
      <c r="BK122" s="650">
        <f t="shared" ca="1" si="37"/>
        <v>10000</v>
      </c>
      <c r="BL122" s="650">
        <f t="shared" ca="1" si="37"/>
        <v>10000</v>
      </c>
      <c r="BM122" s="650">
        <f t="shared" ca="1" si="37"/>
        <v>10000</v>
      </c>
      <c r="BN122" s="651">
        <f t="shared" ca="1" si="37"/>
        <v>10000</v>
      </c>
      <c r="BO122" s="649">
        <f t="shared" ca="1" si="37"/>
        <v>400</v>
      </c>
      <c r="BP122" s="650">
        <f t="shared" ca="1" si="37"/>
        <v>10000</v>
      </c>
      <c r="BQ122" s="650">
        <f t="shared" ca="1" si="37"/>
        <v>10000</v>
      </c>
      <c r="BR122" s="650">
        <f t="shared" ca="1" si="37"/>
        <v>10000</v>
      </c>
      <c r="BS122" s="652">
        <f t="shared" ca="1" si="37"/>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- 1st-4th module</v>
      </c>
      <c r="D126" s="1722"/>
      <c r="E126" s="1723"/>
      <c r="F126" s="1721" t="str">
        <f>$C$126</f>
        <v>North row - 1st-4th module</v>
      </c>
      <c r="G126" s="1722"/>
      <c r="H126" s="1723"/>
      <c r="I126" s="1721" t="str">
        <f>$C$126</f>
        <v>North row - 1st-4th module</v>
      </c>
      <c r="J126" s="1722"/>
      <c r="K126" s="1723"/>
      <c r="L126" s="1721" t="str">
        <f>$C$126</f>
        <v>North row - 1st-4th module</v>
      </c>
      <c r="M126" s="1722"/>
      <c r="N126" s="1723"/>
      <c r="O126" s="1721" t="str">
        <f>$C$126</f>
        <v>North row - 1st-4th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v>
      </c>
      <c r="E128" s="535">
        <v>386</v>
      </c>
      <c r="F128" s="442">
        <v>1</v>
      </c>
      <c r="G128" s="528">
        <v>-0.96</v>
      </c>
      <c r="H128" s="535">
        <v>410</v>
      </c>
      <c r="I128" s="442">
        <v>1</v>
      </c>
      <c r="J128" s="528">
        <v>-0.46</v>
      </c>
      <c r="K128" s="535">
        <v>198</v>
      </c>
      <c r="L128" s="442">
        <v>1</v>
      </c>
      <c r="M128" s="528">
        <v>-0.46</v>
      </c>
      <c r="N128" s="535">
        <v>188</v>
      </c>
      <c r="O128" s="442">
        <v>1</v>
      </c>
      <c r="P128" s="528">
        <v>-0.42</v>
      </c>
      <c r="Q128" s="535">
        <v>172</v>
      </c>
    </row>
    <row r="129" spans="2:17" ht="15" customHeight="1" x14ac:dyDescent="0.25">
      <c r="B129" s="434" t="s">
        <v>38</v>
      </c>
      <c r="C129" s="443">
        <v>18</v>
      </c>
      <c r="D129" s="529">
        <v>-0.33</v>
      </c>
      <c r="E129" s="536">
        <v>121</v>
      </c>
      <c r="F129" s="443">
        <v>7</v>
      </c>
      <c r="G129" s="529">
        <v>-0.68</v>
      </c>
      <c r="H129" s="536">
        <v>286</v>
      </c>
      <c r="I129" s="443">
        <v>6</v>
      </c>
      <c r="J129" s="529">
        <v>-0.43</v>
      </c>
      <c r="K129" s="536">
        <v>176</v>
      </c>
      <c r="L129" s="443">
        <v>6</v>
      </c>
      <c r="M129" s="529">
        <v>-0.39</v>
      </c>
      <c r="N129" s="536">
        <v>158</v>
      </c>
      <c r="O129" s="443">
        <v>6</v>
      </c>
      <c r="P129" s="529">
        <v>-0.42</v>
      </c>
      <c r="Q129" s="536">
        <v>167</v>
      </c>
    </row>
    <row r="130" spans="2:17" ht="15" customHeight="1" x14ac:dyDescent="0.25">
      <c r="B130" s="434" t="s">
        <v>39</v>
      </c>
      <c r="C130" s="443">
        <v>80</v>
      </c>
      <c r="D130" s="529">
        <v>-0.19</v>
      </c>
      <c r="E130" s="536">
        <v>60</v>
      </c>
      <c r="F130" s="443">
        <v>25</v>
      </c>
      <c r="G130" s="529">
        <v>-0.27</v>
      </c>
      <c r="H130" s="536">
        <v>100</v>
      </c>
      <c r="I130" s="443">
        <v>12</v>
      </c>
      <c r="J130" s="529">
        <v>-0.28000000000000003</v>
      </c>
      <c r="K130" s="536">
        <v>108</v>
      </c>
      <c r="L130" s="443">
        <v>12</v>
      </c>
      <c r="M130" s="529">
        <v>-0.26</v>
      </c>
      <c r="N130" s="536">
        <v>96</v>
      </c>
      <c r="O130" s="443">
        <v>12</v>
      </c>
      <c r="P130" s="529">
        <v>-0.28000000000000003</v>
      </c>
      <c r="Q130" s="536">
        <v>104</v>
      </c>
    </row>
    <row r="131" spans="2:17" ht="15" customHeight="1" x14ac:dyDescent="0.25">
      <c r="B131" s="434" t="s">
        <v>40</v>
      </c>
      <c r="C131" s="443">
        <v>300</v>
      </c>
      <c r="D131" s="529">
        <v>-0.11</v>
      </c>
      <c r="E131" s="536">
        <v>23</v>
      </c>
      <c r="F131" s="443">
        <v>300</v>
      </c>
      <c r="G131" s="529">
        <v>-0.13</v>
      </c>
      <c r="H131" s="536">
        <v>34</v>
      </c>
      <c r="I131" s="443">
        <v>130</v>
      </c>
      <c r="J131" s="529">
        <v>-0.1</v>
      </c>
      <c r="K131" s="536">
        <v>23</v>
      </c>
      <c r="L131" s="443">
        <v>110</v>
      </c>
      <c r="M131" s="529">
        <v>-0.1</v>
      </c>
      <c r="N131" s="536">
        <v>23</v>
      </c>
      <c r="O131" s="443">
        <v>100</v>
      </c>
      <c r="P131" s="529">
        <v>-0.1</v>
      </c>
      <c r="Q131" s="536">
        <v>22</v>
      </c>
    </row>
    <row r="132" spans="2:17" ht="15" customHeight="1" thickBot="1" x14ac:dyDescent="0.3">
      <c r="B132" s="435" t="s">
        <v>64</v>
      </c>
      <c r="C132" s="444">
        <v>10000</v>
      </c>
      <c r="D132" s="530">
        <v>-0.11</v>
      </c>
      <c r="E132" s="537">
        <v>23</v>
      </c>
      <c r="F132" s="444">
        <v>10000</v>
      </c>
      <c r="G132" s="530">
        <v>-0.13</v>
      </c>
      <c r="H132" s="537">
        <v>34</v>
      </c>
      <c r="I132" s="444">
        <v>10000</v>
      </c>
      <c r="J132" s="530">
        <v>-0.1</v>
      </c>
      <c r="K132" s="537">
        <v>23</v>
      </c>
      <c r="L132" s="444">
        <v>10000</v>
      </c>
      <c r="M132" s="530">
        <v>-0.1</v>
      </c>
      <c r="N132" s="537">
        <v>23</v>
      </c>
      <c r="O132" s="444">
        <v>10000</v>
      </c>
      <c r="P132" s="530">
        <v>-0.1</v>
      </c>
      <c r="Q132" s="537">
        <v>22</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-0.36</v>
      </c>
      <c r="E135" s="535">
        <v>132</v>
      </c>
      <c r="F135" s="442">
        <v>1</v>
      </c>
      <c r="G135" s="528">
        <v>-0.93</v>
      </c>
      <c r="H135" s="535">
        <v>394</v>
      </c>
      <c r="I135" s="442">
        <v>1</v>
      </c>
      <c r="J135" s="528">
        <v>-0.39</v>
      </c>
      <c r="K135" s="535">
        <v>154</v>
      </c>
      <c r="L135" s="442">
        <v>1</v>
      </c>
      <c r="M135" s="528">
        <v>-0.45</v>
      </c>
      <c r="N135" s="535">
        <v>177</v>
      </c>
      <c r="O135" s="442">
        <v>1</v>
      </c>
      <c r="P135" s="528">
        <v>-0.41</v>
      </c>
      <c r="Q135" s="535">
        <v>170</v>
      </c>
    </row>
    <row r="136" spans="2:17" ht="15" customHeight="1" x14ac:dyDescent="0.25">
      <c r="B136" s="434" t="str">
        <f>$B$129</f>
        <v>i = b</v>
      </c>
      <c r="C136" s="443">
        <v>18</v>
      </c>
      <c r="D136" s="529">
        <v>-0.18</v>
      </c>
      <c r="E136" s="536">
        <v>59</v>
      </c>
      <c r="F136" s="443">
        <v>6</v>
      </c>
      <c r="G136" s="529">
        <v>-0.82</v>
      </c>
      <c r="H136" s="536">
        <v>341</v>
      </c>
      <c r="I136" s="443">
        <v>6</v>
      </c>
      <c r="J136" s="529">
        <v>-0.36</v>
      </c>
      <c r="K136" s="536">
        <v>140</v>
      </c>
      <c r="L136" s="443">
        <v>6</v>
      </c>
      <c r="M136" s="529">
        <v>-0.39</v>
      </c>
      <c r="N136" s="536">
        <v>150</v>
      </c>
      <c r="O136" s="443">
        <v>6</v>
      </c>
      <c r="P136" s="529">
        <v>-0.4</v>
      </c>
      <c r="Q136" s="536">
        <v>152</v>
      </c>
    </row>
    <row r="137" spans="2:17" ht="15" customHeight="1" x14ac:dyDescent="0.25">
      <c r="B137" s="434" t="str">
        <f>$B$130</f>
        <v>i = c</v>
      </c>
      <c r="C137" s="443">
        <v>38</v>
      </c>
      <c r="D137" s="529">
        <v>-0.13</v>
      </c>
      <c r="E137" s="536">
        <v>39</v>
      </c>
      <c r="F137" s="443">
        <v>37</v>
      </c>
      <c r="G137" s="529">
        <v>-0.32</v>
      </c>
      <c r="H137" s="536">
        <v>121</v>
      </c>
      <c r="I137" s="443">
        <v>20</v>
      </c>
      <c r="J137" s="529">
        <v>-0.18</v>
      </c>
      <c r="K137" s="536">
        <v>60</v>
      </c>
      <c r="L137" s="443">
        <v>12</v>
      </c>
      <c r="M137" s="529">
        <v>-0.27</v>
      </c>
      <c r="N137" s="536">
        <v>95</v>
      </c>
      <c r="O137" s="443">
        <v>12</v>
      </c>
      <c r="P137" s="529">
        <v>-0.28000000000000003</v>
      </c>
      <c r="Q137" s="536">
        <v>103</v>
      </c>
    </row>
    <row r="138" spans="2:17" ht="15" customHeight="1" x14ac:dyDescent="0.25">
      <c r="B138" s="434" t="str">
        <f>$B$131</f>
        <v>i = d</v>
      </c>
      <c r="C138" s="443">
        <v>60</v>
      </c>
      <c r="D138" s="529">
        <v>-0.11</v>
      </c>
      <c r="E138" s="536">
        <v>23</v>
      </c>
      <c r="F138" s="443">
        <v>280</v>
      </c>
      <c r="G138" s="529">
        <v>-0.13</v>
      </c>
      <c r="H138" s="536">
        <v>34</v>
      </c>
      <c r="I138" s="443">
        <v>130</v>
      </c>
      <c r="J138" s="529">
        <v>-0.1</v>
      </c>
      <c r="K138" s="536">
        <v>23</v>
      </c>
      <c r="L138" s="443">
        <v>110</v>
      </c>
      <c r="M138" s="529">
        <v>-0.1</v>
      </c>
      <c r="N138" s="536">
        <v>23</v>
      </c>
      <c r="O138" s="443">
        <v>100</v>
      </c>
      <c r="P138" s="529">
        <v>-0.1</v>
      </c>
      <c r="Q138" s="536">
        <v>22</v>
      </c>
    </row>
    <row r="139" spans="2:17" ht="15" customHeight="1" thickBot="1" x14ac:dyDescent="0.3">
      <c r="B139" s="435" t="str">
        <f>$B$132</f>
        <v>i = e</v>
      </c>
      <c r="C139" s="444">
        <v>10000</v>
      </c>
      <c r="D139" s="530">
        <v>-0.11</v>
      </c>
      <c r="E139" s="537">
        <v>23</v>
      </c>
      <c r="F139" s="444">
        <v>10000</v>
      </c>
      <c r="G139" s="530">
        <v>-0.13</v>
      </c>
      <c r="H139" s="537">
        <v>34</v>
      </c>
      <c r="I139" s="444">
        <v>10000</v>
      </c>
      <c r="J139" s="530">
        <v>-0.1</v>
      </c>
      <c r="K139" s="537">
        <v>23</v>
      </c>
      <c r="L139" s="444">
        <v>10000</v>
      </c>
      <c r="M139" s="530">
        <v>-0.1</v>
      </c>
      <c r="N139" s="537">
        <v>23</v>
      </c>
      <c r="O139" s="444">
        <v>10000</v>
      </c>
      <c r="P139" s="530">
        <v>-0.1</v>
      </c>
      <c r="Q139" s="537">
        <v>22</v>
      </c>
    </row>
    <row r="140" spans="2:17" ht="30" customHeight="1" x14ac:dyDescent="0.25">
      <c r="B140" s="429"/>
      <c r="C140" s="1724" t="str">
        <f>CONCATENATE(B28," -",CHAR(10),C28)</f>
        <v>Inner rows, 2nd to 6th row from north -
1st-4th module</v>
      </c>
      <c r="D140" s="1725"/>
      <c r="E140" s="1726"/>
      <c r="F140" s="1724" t="str">
        <f>$C$140</f>
        <v>Inner rows, 2nd to 6th row from north -
1st-4th module</v>
      </c>
      <c r="G140" s="1725"/>
      <c r="H140" s="1726"/>
      <c r="I140" s="1724" t="str">
        <f>$C$140</f>
        <v>Inner rows, 2nd to 6th row from north -
1st-4th module</v>
      </c>
      <c r="J140" s="1725"/>
      <c r="K140" s="1726"/>
      <c r="L140" s="1724" t="str">
        <f>$C$140</f>
        <v>Inner rows, 2nd to 6th row from north -
1st-4th module</v>
      </c>
      <c r="M140" s="1725"/>
      <c r="N140" s="1726"/>
      <c r="O140" s="1724" t="str">
        <f>$C$140</f>
        <v>Inner rows, 2nd to 6th row from north -
1st-4th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-1.06</v>
      </c>
      <c r="E142" s="535">
        <v>418</v>
      </c>
      <c r="F142" s="442">
        <v>1</v>
      </c>
      <c r="G142" s="528">
        <v>-0.43</v>
      </c>
      <c r="H142" s="535">
        <v>149</v>
      </c>
      <c r="I142" s="442">
        <v>1</v>
      </c>
      <c r="J142" s="528">
        <v>-0.41</v>
      </c>
      <c r="K142" s="535">
        <v>150</v>
      </c>
      <c r="L142" s="442">
        <v>1</v>
      </c>
      <c r="M142" s="528">
        <v>-0.38</v>
      </c>
      <c r="N142" s="535">
        <v>154</v>
      </c>
      <c r="O142" s="442">
        <v>1</v>
      </c>
      <c r="P142" s="528">
        <v>-0.34</v>
      </c>
      <c r="Q142" s="535">
        <v>134</v>
      </c>
    </row>
    <row r="143" spans="2:17" ht="15" customHeight="1" x14ac:dyDescent="0.25">
      <c r="B143" s="434" t="str">
        <f>$B$129</f>
        <v>i = b</v>
      </c>
      <c r="C143" s="443">
        <v>6</v>
      </c>
      <c r="D143" s="529">
        <v>-0.6</v>
      </c>
      <c r="E143" s="536">
        <v>222</v>
      </c>
      <c r="F143" s="443">
        <v>12</v>
      </c>
      <c r="G143" s="529">
        <v>-0.25</v>
      </c>
      <c r="H143" s="536">
        <v>80</v>
      </c>
      <c r="I143" s="443">
        <v>6</v>
      </c>
      <c r="J143" s="529">
        <v>-0.3</v>
      </c>
      <c r="K143" s="536">
        <v>102</v>
      </c>
      <c r="L143" s="443">
        <v>6</v>
      </c>
      <c r="M143" s="529">
        <v>-0.17</v>
      </c>
      <c r="N143" s="536">
        <v>55</v>
      </c>
      <c r="O143" s="443">
        <v>6</v>
      </c>
      <c r="P143" s="529">
        <v>-0.17</v>
      </c>
      <c r="Q143" s="536">
        <v>51</v>
      </c>
    </row>
    <row r="144" spans="2:17" ht="15" customHeight="1" x14ac:dyDescent="0.25">
      <c r="B144" s="434" t="str">
        <f>$B$130</f>
        <v>i = c</v>
      </c>
      <c r="C144" s="443">
        <v>50</v>
      </c>
      <c r="D144" s="529">
        <v>-0.27</v>
      </c>
      <c r="E144" s="536">
        <v>93</v>
      </c>
      <c r="F144" s="443">
        <v>25</v>
      </c>
      <c r="G144" s="529">
        <v>-0.16</v>
      </c>
      <c r="H144" s="536">
        <v>45</v>
      </c>
      <c r="I144" s="443">
        <v>16</v>
      </c>
      <c r="J144" s="529">
        <v>-0.2</v>
      </c>
      <c r="K144" s="536">
        <v>62</v>
      </c>
      <c r="L144" s="443">
        <v>13</v>
      </c>
      <c r="M144" s="529">
        <v>-0.13</v>
      </c>
      <c r="N144" s="536">
        <v>39</v>
      </c>
      <c r="O144" s="443">
        <v>10</v>
      </c>
      <c r="P144" s="529">
        <v>-0.12</v>
      </c>
      <c r="Q144" s="536">
        <v>31</v>
      </c>
    </row>
    <row r="145" spans="2:17" ht="15" customHeight="1" x14ac:dyDescent="0.25">
      <c r="B145" s="434" t="str">
        <f>$B$131</f>
        <v>i = d</v>
      </c>
      <c r="C145" s="443">
        <v>400</v>
      </c>
      <c r="D145" s="529">
        <v>-0.11</v>
      </c>
      <c r="E145" s="536">
        <v>23</v>
      </c>
      <c r="F145" s="443">
        <v>36</v>
      </c>
      <c r="G145" s="529">
        <v>-0.13</v>
      </c>
      <c r="H145" s="536">
        <v>34</v>
      </c>
      <c r="I145" s="443">
        <v>110</v>
      </c>
      <c r="J145" s="529">
        <v>-0.1</v>
      </c>
      <c r="K145" s="536">
        <v>23</v>
      </c>
      <c r="L145" s="443">
        <v>30</v>
      </c>
      <c r="M145" s="529">
        <v>-0.1</v>
      </c>
      <c r="N145" s="536">
        <v>23</v>
      </c>
      <c r="O145" s="443">
        <v>150</v>
      </c>
      <c r="P145" s="529">
        <v>-0.1</v>
      </c>
      <c r="Q145" s="536">
        <v>22</v>
      </c>
    </row>
    <row r="146" spans="2:17" ht="15" customHeight="1" thickBot="1" x14ac:dyDescent="0.3">
      <c r="B146" s="435" t="str">
        <f>$B$132</f>
        <v>i = e</v>
      </c>
      <c r="C146" s="444">
        <v>10000</v>
      </c>
      <c r="D146" s="530">
        <v>-0.11</v>
      </c>
      <c r="E146" s="537">
        <v>23</v>
      </c>
      <c r="F146" s="444">
        <v>10000</v>
      </c>
      <c r="G146" s="530">
        <v>-0.13</v>
      </c>
      <c r="H146" s="537">
        <v>34</v>
      </c>
      <c r="I146" s="444">
        <v>10000</v>
      </c>
      <c r="J146" s="530">
        <v>-0.1</v>
      </c>
      <c r="K146" s="537">
        <v>23</v>
      </c>
      <c r="L146" s="444">
        <v>10000</v>
      </c>
      <c r="M146" s="530">
        <v>-0.1</v>
      </c>
      <c r="N146" s="537">
        <v>23</v>
      </c>
      <c r="O146" s="444">
        <v>10000</v>
      </c>
      <c r="P146" s="530">
        <v>-0.1</v>
      </c>
      <c r="Q146" s="537">
        <v>22</v>
      </c>
    </row>
    <row r="147" spans="2:17" ht="30" customHeight="1" x14ac:dyDescent="0.25">
      <c r="B147" s="429"/>
      <c r="C147" s="1724" t="str">
        <f>CONCATENATE(B28," -",CHAR(10),C29)</f>
        <v>Inner rows, 2nd to 6th row from north -
Interior modules</v>
      </c>
      <c r="D147" s="1725"/>
      <c r="E147" s="1726"/>
      <c r="F147" s="1724" t="str">
        <f>$C$147</f>
        <v>Inner rows, 2nd to 6th row from north -
Interior modules</v>
      </c>
      <c r="G147" s="1725"/>
      <c r="H147" s="1726"/>
      <c r="I147" s="1724" t="str">
        <f>$C$147</f>
        <v>Inner rows, 2nd to 6th row from north -
Interior modules</v>
      </c>
      <c r="J147" s="1725"/>
      <c r="K147" s="1726"/>
      <c r="L147" s="1724" t="str">
        <f>$C$147</f>
        <v>Inner rows, 2nd to 6th row from north -
Interior modules</v>
      </c>
      <c r="M147" s="1725"/>
      <c r="N147" s="1726"/>
      <c r="O147" s="1724" t="str">
        <f>$C$147</f>
        <v>Inner rows, 2nd to 6th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-0.7</v>
      </c>
      <c r="E149" s="535">
        <v>258</v>
      </c>
      <c r="F149" s="442">
        <v>1</v>
      </c>
      <c r="G149" s="528">
        <v>-0.43</v>
      </c>
      <c r="H149" s="535">
        <v>150</v>
      </c>
      <c r="I149" s="442">
        <v>1</v>
      </c>
      <c r="J149" s="528">
        <v>-0.24</v>
      </c>
      <c r="K149" s="535">
        <v>72</v>
      </c>
      <c r="L149" s="442">
        <v>1</v>
      </c>
      <c r="M149" s="528">
        <v>-0.21</v>
      </c>
      <c r="N149" s="535">
        <v>67</v>
      </c>
      <c r="O149" s="442">
        <v>1</v>
      </c>
      <c r="P149" s="528">
        <v>-0.23</v>
      </c>
      <c r="Q149" s="535">
        <v>70</v>
      </c>
    </row>
    <row r="150" spans="2:17" ht="15" customHeight="1" x14ac:dyDescent="0.25">
      <c r="B150" s="434" t="str">
        <f>$B$129</f>
        <v>i = b</v>
      </c>
      <c r="C150" s="443">
        <v>18</v>
      </c>
      <c r="D150" s="529">
        <v>-0.27</v>
      </c>
      <c r="E150" s="536">
        <v>90</v>
      </c>
      <c r="F150" s="443">
        <v>6</v>
      </c>
      <c r="G150" s="529">
        <v>-0.3</v>
      </c>
      <c r="H150" s="536">
        <v>100</v>
      </c>
      <c r="I150" s="443">
        <v>6</v>
      </c>
      <c r="J150" s="529">
        <v>-0.21</v>
      </c>
      <c r="K150" s="536">
        <v>63</v>
      </c>
      <c r="L150" s="443">
        <v>7</v>
      </c>
      <c r="M150" s="529">
        <v>-0.14000000000000001</v>
      </c>
      <c r="N150" s="536">
        <v>39</v>
      </c>
      <c r="O150" s="443">
        <v>6</v>
      </c>
      <c r="P150" s="529">
        <v>-0.15</v>
      </c>
      <c r="Q150" s="536">
        <v>39</v>
      </c>
    </row>
    <row r="151" spans="2:17" ht="15" customHeight="1" x14ac:dyDescent="0.25">
      <c r="B151" s="434" t="str">
        <f>$B$130</f>
        <v>i = c</v>
      </c>
      <c r="C151" s="443">
        <v>38</v>
      </c>
      <c r="D151" s="529">
        <v>-0.2</v>
      </c>
      <c r="E151" s="536">
        <v>62</v>
      </c>
      <c r="F151" s="443">
        <v>20</v>
      </c>
      <c r="G151" s="529">
        <v>-0.22</v>
      </c>
      <c r="H151" s="536">
        <v>69</v>
      </c>
      <c r="I151" s="443">
        <v>12</v>
      </c>
      <c r="J151" s="529">
        <v>-0.17</v>
      </c>
      <c r="K151" s="536">
        <v>49</v>
      </c>
      <c r="L151" s="443">
        <v>13</v>
      </c>
      <c r="M151" s="529">
        <v>-0.12</v>
      </c>
      <c r="N151" s="536">
        <v>31</v>
      </c>
      <c r="O151" s="443">
        <v>10</v>
      </c>
      <c r="P151" s="529">
        <v>-0.13</v>
      </c>
      <c r="Q151" s="536">
        <v>31</v>
      </c>
    </row>
    <row r="152" spans="2:17" ht="15" customHeight="1" x14ac:dyDescent="0.25">
      <c r="B152" s="434" t="str">
        <f>$B$131</f>
        <v>i = d</v>
      </c>
      <c r="C152" s="443">
        <v>100</v>
      </c>
      <c r="D152" s="529">
        <v>-0.11</v>
      </c>
      <c r="E152" s="536">
        <v>23</v>
      </c>
      <c r="F152" s="443">
        <v>150</v>
      </c>
      <c r="G152" s="529">
        <v>-0.13</v>
      </c>
      <c r="H152" s="536">
        <v>34</v>
      </c>
      <c r="I152" s="443">
        <v>110</v>
      </c>
      <c r="J152" s="529">
        <v>-0.1</v>
      </c>
      <c r="K152" s="536">
        <v>23</v>
      </c>
      <c r="L152" s="443">
        <v>30</v>
      </c>
      <c r="M152" s="529">
        <v>-0.1</v>
      </c>
      <c r="N152" s="536">
        <v>23</v>
      </c>
      <c r="O152" s="443">
        <v>150</v>
      </c>
      <c r="P152" s="529">
        <v>-0.1</v>
      </c>
      <c r="Q152" s="536">
        <v>22</v>
      </c>
    </row>
    <row r="153" spans="2:17" ht="15" customHeight="1" thickBot="1" x14ac:dyDescent="0.3">
      <c r="B153" s="435" t="str">
        <f>$B$132</f>
        <v>i = e</v>
      </c>
      <c r="C153" s="444">
        <v>10000</v>
      </c>
      <c r="D153" s="530">
        <v>-0.11</v>
      </c>
      <c r="E153" s="537">
        <v>23</v>
      </c>
      <c r="F153" s="444">
        <v>10000</v>
      </c>
      <c r="G153" s="530">
        <v>-0.13</v>
      </c>
      <c r="H153" s="537">
        <v>34</v>
      </c>
      <c r="I153" s="444">
        <v>10000</v>
      </c>
      <c r="J153" s="530">
        <v>-0.1</v>
      </c>
      <c r="K153" s="537">
        <v>23</v>
      </c>
      <c r="L153" s="444">
        <v>10000</v>
      </c>
      <c r="M153" s="530">
        <v>-0.1</v>
      </c>
      <c r="N153" s="537">
        <v>23</v>
      </c>
      <c r="O153" s="444">
        <v>10000</v>
      </c>
      <c r="P153" s="530">
        <v>-0.1</v>
      </c>
      <c r="Q153" s="537">
        <v>22</v>
      </c>
    </row>
    <row r="154" spans="2:17" ht="30" customHeight="1" x14ac:dyDescent="0.25">
      <c r="B154" s="429"/>
      <c r="C154" s="1724" t="str">
        <f>CONCATENATE(B30," -",CHAR(10),C30)</f>
        <v>Inner rows, from 7th row from north -
1st-4th module</v>
      </c>
      <c r="D154" s="1725"/>
      <c r="E154" s="1726"/>
      <c r="F154" s="1724" t="str">
        <f>$C$154</f>
        <v>Inner rows, from 7th row from north -
1st-4th module</v>
      </c>
      <c r="G154" s="1725"/>
      <c r="H154" s="1726"/>
      <c r="I154" s="1724" t="str">
        <f>$C$154</f>
        <v>Inner rows, from 7th row from north -
1st-4th module</v>
      </c>
      <c r="J154" s="1725"/>
      <c r="K154" s="1726"/>
      <c r="L154" s="1724" t="str">
        <f>$C$154</f>
        <v>Inner rows, from 7th row from north -
1st-4th module</v>
      </c>
      <c r="M154" s="1725"/>
      <c r="N154" s="1726"/>
      <c r="O154" s="1724" t="str">
        <f>$C$154</f>
        <v>Inner rows, from 7th row from north -
1st-4th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-0.97</v>
      </c>
      <c r="E156" s="535">
        <v>386</v>
      </c>
      <c r="F156" s="442">
        <v>1</v>
      </c>
      <c r="G156" s="528">
        <v>-0.47</v>
      </c>
      <c r="H156" s="535">
        <v>170</v>
      </c>
      <c r="I156" s="442">
        <v>1</v>
      </c>
      <c r="J156" s="528">
        <v>-0.38</v>
      </c>
      <c r="K156" s="535">
        <v>138</v>
      </c>
      <c r="L156" s="442">
        <v>1</v>
      </c>
      <c r="M156" s="528">
        <v>-0.28999999999999998</v>
      </c>
      <c r="N156" s="535">
        <v>110</v>
      </c>
      <c r="O156" s="442">
        <v>1</v>
      </c>
      <c r="P156" s="528">
        <v>-0.28999999999999998</v>
      </c>
      <c r="Q156" s="535">
        <v>104</v>
      </c>
    </row>
    <row r="157" spans="2:17" ht="15" customHeight="1" x14ac:dyDescent="0.25">
      <c r="B157" s="434" t="str">
        <f>$B$129</f>
        <v>i = b</v>
      </c>
      <c r="C157" s="443">
        <v>12</v>
      </c>
      <c r="D157" s="529">
        <v>-0.47</v>
      </c>
      <c r="E157" s="536">
        <v>173</v>
      </c>
      <c r="F157" s="443">
        <v>8</v>
      </c>
      <c r="G157" s="529">
        <v>-0.3</v>
      </c>
      <c r="H157" s="536">
        <v>103</v>
      </c>
      <c r="I157" s="443">
        <v>6</v>
      </c>
      <c r="J157" s="529">
        <v>-0.3</v>
      </c>
      <c r="K157" s="536">
        <v>106</v>
      </c>
      <c r="L157" s="443">
        <v>7</v>
      </c>
      <c r="M157" s="529">
        <v>-0.2</v>
      </c>
      <c r="N157" s="536">
        <v>67</v>
      </c>
      <c r="O157" s="443">
        <v>6</v>
      </c>
      <c r="P157" s="529">
        <v>-0.23</v>
      </c>
      <c r="Q157" s="536">
        <v>78</v>
      </c>
    </row>
    <row r="158" spans="2:17" ht="15" customHeight="1" x14ac:dyDescent="0.25">
      <c r="B158" s="434" t="str">
        <f>$B$130</f>
        <v>i = c</v>
      </c>
      <c r="C158" s="443">
        <v>80</v>
      </c>
      <c r="D158" s="529">
        <v>-0.21</v>
      </c>
      <c r="E158" s="536">
        <v>71</v>
      </c>
      <c r="F158" s="443">
        <v>22</v>
      </c>
      <c r="G158" s="529">
        <v>-0.2</v>
      </c>
      <c r="H158" s="536">
        <v>63</v>
      </c>
      <c r="I158" s="443">
        <v>12</v>
      </c>
      <c r="J158" s="529">
        <v>-0.24</v>
      </c>
      <c r="K158" s="536">
        <v>82</v>
      </c>
      <c r="L158" s="443">
        <v>14</v>
      </c>
      <c r="M158" s="529">
        <v>-0.16</v>
      </c>
      <c r="N158" s="536">
        <v>50</v>
      </c>
      <c r="O158" s="443">
        <v>13</v>
      </c>
      <c r="P158" s="529">
        <v>-0.18</v>
      </c>
      <c r="Q158" s="536">
        <v>57</v>
      </c>
    </row>
    <row r="159" spans="2:17" ht="15" customHeight="1" x14ac:dyDescent="0.25">
      <c r="B159" s="434" t="str">
        <f>$B$131</f>
        <v>i = d</v>
      </c>
      <c r="C159" s="443">
        <v>300</v>
      </c>
      <c r="D159" s="529">
        <v>-0.11</v>
      </c>
      <c r="E159" s="536">
        <v>23</v>
      </c>
      <c r="F159" s="443">
        <v>150</v>
      </c>
      <c r="G159" s="529">
        <v>-0.13</v>
      </c>
      <c r="H159" s="536">
        <v>34</v>
      </c>
      <c r="I159" s="443">
        <v>140</v>
      </c>
      <c r="J159" s="529">
        <v>-0.1</v>
      </c>
      <c r="K159" s="536">
        <v>23</v>
      </c>
      <c r="L159" s="443">
        <v>110</v>
      </c>
      <c r="M159" s="529">
        <v>-0.1</v>
      </c>
      <c r="N159" s="536">
        <v>23</v>
      </c>
      <c r="O159" s="443">
        <v>70</v>
      </c>
      <c r="P159" s="529">
        <v>-0.1</v>
      </c>
      <c r="Q159" s="536">
        <v>22</v>
      </c>
    </row>
    <row r="160" spans="2:17" ht="15" customHeight="1" thickBot="1" x14ac:dyDescent="0.3">
      <c r="B160" s="435" t="str">
        <f>$B$132</f>
        <v>i = e</v>
      </c>
      <c r="C160" s="444">
        <v>10000</v>
      </c>
      <c r="D160" s="530">
        <v>-0.11</v>
      </c>
      <c r="E160" s="537">
        <v>23</v>
      </c>
      <c r="F160" s="444">
        <v>10000</v>
      </c>
      <c r="G160" s="530">
        <v>-0.13</v>
      </c>
      <c r="H160" s="537">
        <v>34</v>
      </c>
      <c r="I160" s="444">
        <v>10000</v>
      </c>
      <c r="J160" s="530">
        <v>-0.1</v>
      </c>
      <c r="K160" s="537">
        <v>23</v>
      </c>
      <c r="L160" s="444">
        <v>10000</v>
      </c>
      <c r="M160" s="530">
        <v>-0.1</v>
      </c>
      <c r="N160" s="537">
        <v>23</v>
      </c>
      <c r="O160" s="444">
        <v>10000</v>
      </c>
      <c r="P160" s="530">
        <v>-0.1</v>
      </c>
      <c r="Q160" s="537">
        <v>22</v>
      </c>
    </row>
    <row r="161" spans="2:17" ht="30" customHeight="1" x14ac:dyDescent="0.25">
      <c r="B161" s="429"/>
      <c r="C161" s="1724" t="str">
        <f>CONCATENATE(B30," -",CHAR(10),C31)</f>
        <v>Inner rows, from 7th row from north -
Interior modules</v>
      </c>
      <c r="D161" s="1725"/>
      <c r="E161" s="1726"/>
      <c r="F161" s="1724" t="str">
        <f>$C$161</f>
        <v>Inner rows, from 7th row from north -
Interior modules</v>
      </c>
      <c r="G161" s="1725"/>
      <c r="H161" s="1726"/>
      <c r="I161" s="1724" t="str">
        <f>$C$161</f>
        <v>Inner rows, from 7th row from north -
Interior modules</v>
      </c>
      <c r="J161" s="1725"/>
      <c r="K161" s="1726"/>
      <c r="L161" s="1724" t="str">
        <f>$C$161</f>
        <v>Inner rows, from 7th row from north -
Interior modules</v>
      </c>
      <c r="M161" s="1725"/>
      <c r="N161" s="1726"/>
      <c r="O161" s="1724" t="str">
        <f>$C$161</f>
        <v>Inner rows, from 7th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-0.64</v>
      </c>
      <c r="E163" s="535">
        <v>244</v>
      </c>
      <c r="F163" s="442">
        <v>1</v>
      </c>
      <c r="G163" s="528">
        <v>-0.39</v>
      </c>
      <c r="H163" s="535">
        <v>142</v>
      </c>
      <c r="I163" s="442">
        <v>1</v>
      </c>
      <c r="J163" s="528">
        <v>-0.22</v>
      </c>
      <c r="K163" s="535">
        <v>71</v>
      </c>
      <c r="L163" s="442">
        <v>1</v>
      </c>
      <c r="M163" s="528">
        <v>-0.21</v>
      </c>
      <c r="N163" s="535">
        <v>66</v>
      </c>
      <c r="O163" s="442">
        <v>1</v>
      </c>
      <c r="P163" s="528">
        <v>-0.24</v>
      </c>
      <c r="Q163" s="535">
        <v>78</v>
      </c>
    </row>
    <row r="164" spans="2:17" ht="15" customHeight="1" x14ac:dyDescent="0.25">
      <c r="B164" s="434" t="str">
        <f>$B$129</f>
        <v>i = b</v>
      </c>
      <c r="C164" s="443">
        <v>12</v>
      </c>
      <c r="D164" s="529">
        <v>-0.35</v>
      </c>
      <c r="E164" s="536">
        <v>126</v>
      </c>
      <c r="F164" s="443">
        <v>6</v>
      </c>
      <c r="G164" s="529">
        <v>-0.33</v>
      </c>
      <c r="H164" s="536">
        <v>117</v>
      </c>
      <c r="I164" s="443">
        <v>12</v>
      </c>
      <c r="J164" s="529">
        <v>-0.17</v>
      </c>
      <c r="K164" s="536">
        <v>51</v>
      </c>
      <c r="L164" s="443">
        <v>7</v>
      </c>
      <c r="M164" s="529">
        <v>-0.19</v>
      </c>
      <c r="N164" s="536">
        <v>58</v>
      </c>
      <c r="O164" s="443">
        <v>6</v>
      </c>
      <c r="P164" s="529">
        <v>-0.21</v>
      </c>
      <c r="Q164" s="536">
        <v>66</v>
      </c>
    </row>
    <row r="165" spans="2:17" ht="15" customHeight="1" x14ac:dyDescent="0.25">
      <c r="B165" s="434" t="str">
        <f>$B$130</f>
        <v>i = c</v>
      </c>
      <c r="C165" s="443">
        <v>80</v>
      </c>
      <c r="D165" s="529">
        <v>-0.17</v>
      </c>
      <c r="E165" s="536">
        <v>56</v>
      </c>
      <c r="F165" s="443">
        <v>22</v>
      </c>
      <c r="G165" s="529">
        <v>-0.25</v>
      </c>
      <c r="H165" s="536">
        <v>82</v>
      </c>
      <c r="I165" s="443">
        <v>52</v>
      </c>
      <c r="J165" s="529">
        <v>-0.12</v>
      </c>
      <c r="K165" s="536">
        <v>31</v>
      </c>
      <c r="L165" s="443">
        <v>14</v>
      </c>
      <c r="M165" s="529">
        <v>-0.16</v>
      </c>
      <c r="N165" s="536">
        <v>46</v>
      </c>
      <c r="O165" s="443">
        <v>14</v>
      </c>
      <c r="P165" s="529">
        <v>-0.17</v>
      </c>
      <c r="Q165" s="536">
        <v>49</v>
      </c>
    </row>
    <row r="166" spans="2:17" ht="15" customHeight="1" x14ac:dyDescent="0.25">
      <c r="B166" s="434" t="str">
        <f>$B$131</f>
        <v>i = d</v>
      </c>
      <c r="C166" s="443">
        <v>300</v>
      </c>
      <c r="D166" s="529">
        <v>-0.11</v>
      </c>
      <c r="E166" s="536">
        <v>23</v>
      </c>
      <c r="F166" s="443">
        <v>150</v>
      </c>
      <c r="G166" s="529">
        <v>-0.13</v>
      </c>
      <c r="H166" s="536">
        <v>34</v>
      </c>
      <c r="I166" s="443">
        <v>150</v>
      </c>
      <c r="J166" s="529">
        <v>-0.1</v>
      </c>
      <c r="K166" s="536">
        <v>23</v>
      </c>
      <c r="L166" s="443">
        <v>110</v>
      </c>
      <c r="M166" s="529">
        <v>-0.1</v>
      </c>
      <c r="N166" s="536">
        <v>23</v>
      </c>
      <c r="O166" s="443">
        <v>100</v>
      </c>
      <c r="P166" s="529">
        <v>-0.1</v>
      </c>
      <c r="Q166" s="536">
        <v>22</v>
      </c>
    </row>
    <row r="167" spans="2:17" ht="15" customHeight="1" thickBot="1" x14ac:dyDescent="0.3">
      <c r="B167" s="435" t="str">
        <f>$B$132</f>
        <v>i = e</v>
      </c>
      <c r="C167" s="444">
        <v>10000</v>
      </c>
      <c r="D167" s="530">
        <v>-0.11</v>
      </c>
      <c r="E167" s="537">
        <v>23</v>
      </c>
      <c r="F167" s="444">
        <v>10000</v>
      </c>
      <c r="G167" s="530">
        <v>-0.13</v>
      </c>
      <c r="H167" s="537">
        <v>34</v>
      </c>
      <c r="I167" s="444">
        <v>10000</v>
      </c>
      <c r="J167" s="530">
        <v>-0.1</v>
      </c>
      <c r="K167" s="537">
        <v>23</v>
      </c>
      <c r="L167" s="444">
        <v>10000</v>
      </c>
      <c r="M167" s="530">
        <v>-0.1</v>
      </c>
      <c r="N167" s="537">
        <v>23</v>
      </c>
      <c r="O167" s="444">
        <v>10000</v>
      </c>
      <c r="P167" s="530">
        <v>-0.1</v>
      </c>
      <c r="Q167" s="537">
        <v>22</v>
      </c>
    </row>
    <row r="168" spans="2:17" ht="15" customHeight="1" x14ac:dyDescent="0.25">
      <c r="B168" s="429"/>
      <c r="C168" s="1721" t="str">
        <f>CONCATENATE(B32," - ",C32)</f>
        <v>South row - 1st-4th module</v>
      </c>
      <c r="D168" s="1722"/>
      <c r="E168" s="1723"/>
      <c r="F168" s="1721" t="str">
        <f>$C$168</f>
        <v>South row - 1st-4th module</v>
      </c>
      <c r="G168" s="1722"/>
      <c r="H168" s="1723"/>
      <c r="I168" s="1721" t="str">
        <f>$C$168</f>
        <v>South row - 1st-4th module</v>
      </c>
      <c r="J168" s="1722"/>
      <c r="K168" s="1723"/>
      <c r="L168" s="1721" t="str">
        <f>$C$168</f>
        <v>South row - 1st-4th module</v>
      </c>
      <c r="M168" s="1722"/>
      <c r="N168" s="1723"/>
      <c r="O168" s="1721" t="str">
        <f>$C$168</f>
        <v>South row - 1st-4th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-0.84</v>
      </c>
      <c r="E170" s="535">
        <v>314</v>
      </c>
      <c r="F170" s="442">
        <v>1</v>
      </c>
      <c r="G170" s="528">
        <v>-0.45</v>
      </c>
      <c r="H170" s="535">
        <v>166</v>
      </c>
      <c r="I170" s="442">
        <v>1</v>
      </c>
      <c r="J170" s="528">
        <v>-0.4</v>
      </c>
      <c r="K170" s="535">
        <v>157</v>
      </c>
      <c r="L170" s="442">
        <v>1</v>
      </c>
      <c r="M170" s="528">
        <v>-0.42</v>
      </c>
      <c r="N170" s="535">
        <v>172</v>
      </c>
      <c r="O170" s="442">
        <v>1</v>
      </c>
      <c r="P170" s="528">
        <v>-0.38</v>
      </c>
      <c r="Q170" s="535">
        <v>146</v>
      </c>
    </row>
    <row r="171" spans="2:17" ht="15" customHeight="1" x14ac:dyDescent="0.25">
      <c r="B171" s="434" t="str">
        <f>$B$129</f>
        <v>i = b</v>
      </c>
      <c r="C171" s="443">
        <v>20</v>
      </c>
      <c r="D171" s="529">
        <v>-0.35</v>
      </c>
      <c r="E171" s="536">
        <v>122</v>
      </c>
      <c r="F171" s="443">
        <v>12</v>
      </c>
      <c r="G171" s="529">
        <v>-0.25</v>
      </c>
      <c r="H171" s="536">
        <v>83</v>
      </c>
      <c r="I171" s="443">
        <v>6</v>
      </c>
      <c r="J171" s="529">
        <v>-0.31</v>
      </c>
      <c r="K171" s="536">
        <v>110</v>
      </c>
      <c r="L171" s="443">
        <v>6</v>
      </c>
      <c r="M171" s="529">
        <v>-0.21</v>
      </c>
      <c r="N171" s="536">
        <v>70</v>
      </c>
      <c r="O171" s="443">
        <v>7</v>
      </c>
      <c r="P171" s="529">
        <v>-0.21</v>
      </c>
      <c r="Q171" s="536">
        <v>70</v>
      </c>
    </row>
    <row r="172" spans="2:17" ht="15" customHeight="1" x14ac:dyDescent="0.25">
      <c r="B172" s="434" t="str">
        <f>$B$130</f>
        <v>i = c</v>
      </c>
      <c r="C172" s="443">
        <v>80</v>
      </c>
      <c r="D172" s="529">
        <v>-0.21</v>
      </c>
      <c r="E172" s="536">
        <v>66</v>
      </c>
      <c r="F172" s="443">
        <v>23</v>
      </c>
      <c r="G172" s="529">
        <v>-0.18</v>
      </c>
      <c r="H172" s="536">
        <v>54</v>
      </c>
      <c r="I172" s="443">
        <v>12</v>
      </c>
      <c r="J172" s="529">
        <v>-0.23</v>
      </c>
      <c r="K172" s="536">
        <v>77</v>
      </c>
      <c r="L172" s="443">
        <v>13</v>
      </c>
      <c r="M172" s="529">
        <v>-0.15</v>
      </c>
      <c r="N172" s="536">
        <v>46</v>
      </c>
      <c r="O172" s="443">
        <v>13</v>
      </c>
      <c r="P172" s="529">
        <v>-0.16</v>
      </c>
      <c r="Q172" s="536">
        <v>47</v>
      </c>
    </row>
    <row r="173" spans="2:17" ht="15" customHeight="1" x14ac:dyDescent="0.25">
      <c r="B173" s="434" t="str">
        <f>$B$131</f>
        <v>i = d</v>
      </c>
      <c r="C173" s="443">
        <v>400</v>
      </c>
      <c r="D173" s="529">
        <v>-0.11</v>
      </c>
      <c r="E173" s="536">
        <v>23</v>
      </c>
      <c r="F173" s="443">
        <v>36</v>
      </c>
      <c r="G173" s="529">
        <v>-0.13</v>
      </c>
      <c r="H173" s="536">
        <v>34</v>
      </c>
      <c r="I173" s="443">
        <v>180</v>
      </c>
      <c r="J173" s="529">
        <v>-0.1</v>
      </c>
      <c r="K173" s="536">
        <v>23</v>
      </c>
      <c r="L173" s="443">
        <v>110</v>
      </c>
      <c r="M173" s="529">
        <v>-0.1</v>
      </c>
      <c r="N173" s="536">
        <v>23</v>
      </c>
      <c r="O173" s="443">
        <v>40</v>
      </c>
      <c r="P173" s="529">
        <v>-0.1</v>
      </c>
      <c r="Q173" s="536">
        <v>22</v>
      </c>
    </row>
    <row r="174" spans="2:17" ht="15" customHeight="1" thickBot="1" x14ac:dyDescent="0.3">
      <c r="B174" s="435" t="str">
        <f>$B$132</f>
        <v>i = e</v>
      </c>
      <c r="C174" s="444">
        <v>10000</v>
      </c>
      <c r="D174" s="530">
        <v>-0.11</v>
      </c>
      <c r="E174" s="537">
        <v>23</v>
      </c>
      <c r="F174" s="444">
        <v>10000</v>
      </c>
      <c r="G174" s="530">
        <v>-0.13</v>
      </c>
      <c r="H174" s="537">
        <v>34</v>
      </c>
      <c r="I174" s="444">
        <v>10000</v>
      </c>
      <c r="J174" s="530">
        <v>-0.1</v>
      </c>
      <c r="K174" s="537">
        <v>23</v>
      </c>
      <c r="L174" s="444">
        <v>10000</v>
      </c>
      <c r="M174" s="530">
        <v>-0.1</v>
      </c>
      <c r="N174" s="537">
        <v>23</v>
      </c>
      <c r="O174" s="444">
        <v>10000</v>
      </c>
      <c r="P174" s="530">
        <v>-0.1</v>
      </c>
      <c r="Q174" s="537">
        <v>22</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-0.76</v>
      </c>
      <c r="E177" s="535">
        <v>296</v>
      </c>
      <c r="F177" s="442">
        <v>1</v>
      </c>
      <c r="G177" s="528">
        <v>-0.42</v>
      </c>
      <c r="H177" s="535">
        <v>154</v>
      </c>
      <c r="I177" s="442">
        <v>1</v>
      </c>
      <c r="J177" s="528">
        <v>-0.3</v>
      </c>
      <c r="K177" s="535">
        <v>109</v>
      </c>
      <c r="L177" s="442">
        <v>1</v>
      </c>
      <c r="M177" s="528">
        <v>-0.22</v>
      </c>
      <c r="N177" s="535">
        <v>71</v>
      </c>
      <c r="O177" s="442">
        <v>1</v>
      </c>
      <c r="P177" s="528">
        <v>-0.25</v>
      </c>
      <c r="Q177" s="535">
        <v>86</v>
      </c>
    </row>
    <row r="178" spans="2:17" ht="15" customHeight="1" x14ac:dyDescent="0.25">
      <c r="B178" s="434" t="str">
        <f>$B$129</f>
        <v>i = b</v>
      </c>
      <c r="C178" s="443">
        <v>20</v>
      </c>
      <c r="D178" s="529">
        <v>-0.31</v>
      </c>
      <c r="E178" s="536">
        <v>107</v>
      </c>
      <c r="F178" s="443">
        <v>8</v>
      </c>
      <c r="G178" s="529">
        <v>-0.28999999999999998</v>
      </c>
      <c r="H178" s="536">
        <v>98</v>
      </c>
      <c r="I178" s="443">
        <v>6</v>
      </c>
      <c r="J178" s="529">
        <v>-0.24</v>
      </c>
      <c r="K178" s="536">
        <v>78</v>
      </c>
      <c r="L178" s="443">
        <v>6</v>
      </c>
      <c r="M178" s="529">
        <v>-0.17</v>
      </c>
      <c r="N178" s="536">
        <v>51</v>
      </c>
      <c r="O178" s="443">
        <v>6</v>
      </c>
      <c r="P178" s="529">
        <v>-0.18</v>
      </c>
      <c r="Q178" s="536">
        <v>56</v>
      </c>
    </row>
    <row r="179" spans="2:17" ht="15" customHeight="1" x14ac:dyDescent="0.25">
      <c r="B179" s="434" t="str">
        <f>$B$130</f>
        <v>i = c</v>
      </c>
      <c r="C179" s="443">
        <v>80</v>
      </c>
      <c r="D179" s="529">
        <v>-0.2</v>
      </c>
      <c r="E179" s="536">
        <v>60</v>
      </c>
      <c r="F179" s="443">
        <v>22</v>
      </c>
      <c r="G179" s="529">
        <v>-0.21</v>
      </c>
      <c r="H179" s="536">
        <v>65</v>
      </c>
      <c r="I179" s="443">
        <v>12</v>
      </c>
      <c r="J179" s="529">
        <v>-0.19</v>
      </c>
      <c r="K179" s="536">
        <v>58</v>
      </c>
      <c r="L179" s="443">
        <v>13</v>
      </c>
      <c r="M179" s="529">
        <v>-0.13</v>
      </c>
      <c r="N179" s="536">
        <v>35</v>
      </c>
      <c r="O179" s="443">
        <v>14</v>
      </c>
      <c r="P179" s="529">
        <v>-0.14000000000000001</v>
      </c>
      <c r="Q179" s="536">
        <v>39</v>
      </c>
    </row>
    <row r="180" spans="2:17" ht="15" customHeight="1" x14ac:dyDescent="0.25">
      <c r="B180" s="434" t="str">
        <f>$B$131</f>
        <v>i = d</v>
      </c>
      <c r="C180" s="443">
        <v>400</v>
      </c>
      <c r="D180" s="529">
        <v>-0.11</v>
      </c>
      <c r="E180" s="536">
        <v>23</v>
      </c>
      <c r="F180" s="443">
        <v>150</v>
      </c>
      <c r="G180" s="529">
        <v>-0.13</v>
      </c>
      <c r="H180" s="536">
        <v>34</v>
      </c>
      <c r="I180" s="443">
        <v>100</v>
      </c>
      <c r="J180" s="529">
        <v>-0.1</v>
      </c>
      <c r="K180" s="536">
        <v>23</v>
      </c>
      <c r="L180" s="443">
        <v>40</v>
      </c>
      <c r="M180" s="529">
        <v>-0.1</v>
      </c>
      <c r="N180" s="536">
        <v>23</v>
      </c>
      <c r="O180" s="443">
        <v>50</v>
      </c>
      <c r="P180" s="529">
        <v>-0.1</v>
      </c>
      <c r="Q180" s="536">
        <v>22</v>
      </c>
    </row>
    <row r="181" spans="2:17" ht="15" customHeight="1" thickBot="1" x14ac:dyDescent="0.3">
      <c r="B181" s="435" t="str">
        <f>$B$132</f>
        <v>i = e</v>
      </c>
      <c r="C181" s="444">
        <v>10000</v>
      </c>
      <c r="D181" s="530">
        <v>-0.11</v>
      </c>
      <c r="E181" s="537">
        <v>23</v>
      </c>
      <c r="F181" s="444">
        <v>10000</v>
      </c>
      <c r="G181" s="530">
        <v>-0.13</v>
      </c>
      <c r="H181" s="537">
        <v>34</v>
      </c>
      <c r="I181" s="444">
        <v>10000</v>
      </c>
      <c r="J181" s="530">
        <v>-0.1</v>
      </c>
      <c r="K181" s="537">
        <v>23</v>
      </c>
      <c r="L181" s="444">
        <v>10000</v>
      </c>
      <c r="M181" s="530">
        <v>-0.1</v>
      </c>
      <c r="N181" s="537">
        <v>23</v>
      </c>
      <c r="O181" s="444">
        <v>10000</v>
      </c>
      <c r="P181" s="530">
        <v>-0.1</v>
      </c>
      <c r="Q181" s="537">
        <v>22</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- 1st-4th module</v>
      </c>
      <c r="D184" s="1722"/>
      <c r="E184" s="1723"/>
      <c r="F184" s="1721" t="str">
        <f>$C$126</f>
        <v>North row - 1st-4th module</v>
      </c>
      <c r="G184" s="1722"/>
      <c r="H184" s="1723"/>
      <c r="I184" s="1721" t="str">
        <f>$C$126</f>
        <v>North row - 1st-4th module</v>
      </c>
      <c r="J184" s="1722"/>
      <c r="K184" s="1723"/>
      <c r="L184" s="1721" t="str">
        <f>$C$126</f>
        <v>North row - 1st-4th module</v>
      </c>
      <c r="M184" s="1722"/>
      <c r="N184" s="1723"/>
      <c r="O184" s="1721" t="str">
        <f>$C$126</f>
        <v>North row - 1st-4th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-1.01</v>
      </c>
      <c r="E186" s="535">
        <v>276</v>
      </c>
      <c r="F186" s="442">
        <v>1</v>
      </c>
      <c r="G186" s="528">
        <v>-0.95</v>
      </c>
      <c r="H186" s="535">
        <v>244</v>
      </c>
      <c r="I186" s="442">
        <v>1</v>
      </c>
      <c r="J186" s="528">
        <v>-0.48</v>
      </c>
      <c r="K186" s="535">
        <v>115</v>
      </c>
      <c r="L186" s="442">
        <v>1</v>
      </c>
      <c r="M186" s="528">
        <v>-0.5</v>
      </c>
      <c r="N186" s="535">
        <v>126</v>
      </c>
      <c r="O186" s="442">
        <v>1</v>
      </c>
      <c r="P186" s="528">
        <v>-0.44</v>
      </c>
      <c r="Q186" s="535">
        <v>100</v>
      </c>
    </row>
    <row r="187" spans="2:17" ht="15" customHeight="1" x14ac:dyDescent="0.25">
      <c r="B187" s="434" t="str">
        <f>$B$129</f>
        <v>i = b</v>
      </c>
      <c r="C187" s="443">
        <v>18</v>
      </c>
      <c r="D187" s="529">
        <v>-0.32</v>
      </c>
      <c r="E187" s="536">
        <v>69</v>
      </c>
      <c r="F187" s="443">
        <v>7</v>
      </c>
      <c r="G187" s="529">
        <v>-0.69</v>
      </c>
      <c r="H187" s="536">
        <v>168</v>
      </c>
      <c r="I187" s="443">
        <v>6</v>
      </c>
      <c r="J187" s="529">
        <v>-0.43</v>
      </c>
      <c r="K187" s="536">
        <v>96</v>
      </c>
      <c r="L187" s="443">
        <v>6</v>
      </c>
      <c r="M187" s="529">
        <v>-0.39</v>
      </c>
      <c r="N187" s="536">
        <v>86</v>
      </c>
      <c r="O187" s="443">
        <v>6</v>
      </c>
      <c r="P187" s="529">
        <v>-0.41</v>
      </c>
      <c r="Q187" s="536">
        <v>92</v>
      </c>
    </row>
    <row r="188" spans="2:17" ht="15" customHeight="1" x14ac:dyDescent="0.25">
      <c r="B188" s="434" t="str">
        <f>$B$130</f>
        <v>i = c</v>
      </c>
      <c r="C188" s="443">
        <v>80</v>
      </c>
      <c r="D188" s="529">
        <v>-0.18</v>
      </c>
      <c r="E188" s="536">
        <v>31</v>
      </c>
      <c r="F188" s="443">
        <v>25</v>
      </c>
      <c r="G188" s="529">
        <v>-0.28000000000000003</v>
      </c>
      <c r="H188" s="536">
        <v>57</v>
      </c>
      <c r="I188" s="443">
        <v>12</v>
      </c>
      <c r="J188" s="529">
        <v>-0.28000000000000003</v>
      </c>
      <c r="K188" s="536">
        <v>56</v>
      </c>
      <c r="L188" s="443">
        <v>12</v>
      </c>
      <c r="M188" s="529">
        <v>-0.26</v>
      </c>
      <c r="N188" s="536">
        <v>50</v>
      </c>
      <c r="O188" s="443">
        <v>12</v>
      </c>
      <c r="P188" s="529">
        <v>-0.27</v>
      </c>
      <c r="Q188" s="536">
        <v>54</v>
      </c>
    </row>
    <row r="189" spans="2:17" ht="15" customHeight="1" x14ac:dyDescent="0.25">
      <c r="B189" s="434" t="str">
        <f>$B$131</f>
        <v>i = d</v>
      </c>
      <c r="C189" s="443">
        <v>300</v>
      </c>
      <c r="D189" s="529">
        <v>-0.11</v>
      </c>
      <c r="E189" s="536">
        <v>10</v>
      </c>
      <c r="F189" s="443">
        <v>300</v>
      </c>
      <c r="G189" s="529">
        <v>-0.13</v>
      </c>
      <c r="H189" s="536">
        <v>16</v>
      </c>
      <c r="I189" s="443">
        <v>130</v>
      </c>
      <c r="J189" s="529">
        <v>-0.1</v>
      </c>
      <c r="K189" s="536">
        <v>7</v>
      </c>
      <c r="L189" s="443">
        <v>110</v>
      </c>
      <c r="M189" s="529">
        <v>-0.1</v>
      </c>
      <c r="N189" s="536">
        <v>7</v>
      </c>
      <c r="O189" s="443">
        <v>100</v>
      </c>
      <c r="P189" s="529">
        <v>-0.1</v>
      </c>
      <c r="Q189" s="536">
        <v>7</v>
      </c>
    </row>
    <row r="190" spans="2:17" ht="15" customHeight="1" thickBot="1" x14ac:dyDescent="0.3">
      <c r="B190" s="435" t="str">
        <f>$B$132</f>
        <v>i = e</v>
      </c>
      <c r="C190" s="444">
        <v>10000</v>
      </c>
      <c r="D190" s="530">
        <v>-0.11</v>
      </c>
      <c r="E190" s="537">
        <v>10</v>
      </c>
      <c r="F190" s="444">
        <v>10000</v>
      </c>
      <c r="G190" s="530">
        <v>-0.13</v>
      </c>
      <c r="H190" s="537">
        <v>16</v>
      </c>
      <c r="I190" s="444">
        <v>10000</v>
      </c>
      <c r="J190" s="530">
        <v>-0.1</v>
      </c>
      <c r="K190" s="537">
        <v>7</v>
      </c>
      <c r="L190" s="444">
        <v>10000</v>
      </c>
      <c r="M190" s="530">
        <v>-0.1</v>
      </c>
      <c r="N190" s="537">
        <v>7</v>
      </c>
      <c r="O190" s="444">
        <v>10000</v>
      </c>
      <c r="P190" s="530">
        <v>-0.1</v>
      </c>
      <c r="Q190" s="537">
        <v>7</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-0.35</v>
      </c>
      <c r="E193" s="535">
        <v>80</v>
      </c>
      <c r="F193" s="442">
        <v>1</v>
      </c>
      <c r="G193" s="528">
        <v>-0.94</v>
      </c>
      <c r="H193" s="535">
        <v>243</v>
      </c>
      <c r="I193" s="442">
        <v>1</v>
      </c>
      <c r="J193" s="528">
        <v>-0.41</v>
      </c>
      <c r="K193" s="535">
        <v>95</v>
      </c>
      <c r="L193" s="442">
        <v>1</v>
      </c>
      <c r="M193" s="528">
        <v>-0.47</v>
      </c>
      <c r="N193" s="535">
        <v>116</v>
      </c>
      <c r="O193" s="442">
        <v>1</v>
      </c>
      <c r="P193" s="528">
        <v>-0.43</v>
      </c>
      <c r="Q193" s="535">
        <v>100</v>
      </c>
    </row>
    <row r="194" spans="2:17" ht="15" customHeight="1" x14ac:dyDescent="0.25">
      <c r="B194" s="434" t="str">
        <f>$B$129</f>
        <v>i = b</v>
      </c>
      <c r="C194" s="443">
        <v>18</v>
      </c>
      <c r="D194" s="529">
        <v>-0.18</v>
      </c>
      <c r="E194" s="536">
        <v>31</v>
      </c>
      <c r="F194" s="443">
        <v>6</v>
      </c>
      <c r="G194" s="529">
        <v>-0.8</v>
      </c>
      <c r="H194" s="536">
        <v>196</v>
      </c>
      <c r="I194" s="443">
        <v>6</v>
      </c>
      <c r="J194" s="529">
        <v>-0.36</v>
      </c>
      <c r="K194" s="536">
        <v>78</v>
      </c>
      <c r="L194" s="443">
        <v>6</v>
      </c>
      <c r="M194" s="529">
        <v>-0.39</v>
      </c>
      <c r="N194" s="536">
        <v>89</v>
      </c>
      <c r="O194" s="443">
        <v>6</v>
      </c>
      <c r="P194" s="529">
        <v>-0.4</v>
      </c>
      <c r="Q194" s="536">
        <v>90</v>
      </c>
    </row>
    <row r="195" spans="2:17" ht="15" customHeight="1" x14ac:dyDescent="0.25">
      <c r="B195" s="434" t="str">
        <f>$B$130</f>
        <v>i = c</v>
      </c>
      <c r="C195" s="443">
        <v>38</v>
      </c>
      <c r="D195" s="529">
        <v>-0.13</v>
      </c>
      <c r="E195" s="536">
        <v>16</v>
      </c>
      <c r="F195" s="443">
        <v>37</v>
      </c>
      <c r="G195" s="529">
        <v>-0.32</v>
      </c>
      <c r="H195" s="536">
        <v>70</v>
      </c>
      <c r="I195" s="443">
        <v>20</v>
      </c>
      <c r="J195" s="529">
        <v>-0.18</v>
      </c>
      <c r="K195" s="536">
        <v>34</v>
      </c>
      <c r="L195" s="443">
        <v>12</v>
      </c>
      <c r="M195" s="529">
        <v>-0.27</v>
      </c>
      <c r="N195" s="536">
        <v>54</v>
      </c>
      <c r="O195" s="443">
        <v>12</v>
      </c>
      <c r="P195" s="529">
        <v>-0.28000000000000003</v>
      </c>
      <c r="Q195" s="536">
        <v>57</v>
      </c>
    </row>
    <row r="196" spans="2:17" ht="15" customHeight="1" x14ac:dyDescent="0.25">
      <c r="B196" s="434" t="str">
        <f>$B$131</f>
        <v>i = d</v>
      </c>
      <c r="C196" s="443">
        <v>60</v>
      </c>
      <c r="D196" s="529">
        <v>-0.11</v>
      </c>
      <c r="E196" s="536">
        <v>10</v>
      </c>
      <c r="F196" s="443">
        <v>280</v>
      </c>
      <c r="G196" s="529">
        <v>-0.13</v>
      </c>
      <c r="H196" s="536">
        <v>16</v>
      </c>
      <c r="I196" s="443">
        <v>130</v>
      </c>
      <c r="J196" s="529">
        <v>-0.1</v>
      </c>
      <c r="K196" s="536">
        <v>7</v>
      </c>
      <c r="L196" s="443">
        <v>110</v>
      </c>
      <c r="M196" s="529">
        <v>-0.1</v>
      </c>
      <c r="N196" s="536">
        <v>7</v>
      </c>
      <c r="O196" s="443">
        <v>100</v>
      </c>
      <c r="P196" s="529">
        <v>-0.1</v>
      </c>
      <c r="Q196" s="536">
        <v>7</v>
      </c>
    </row>
    <row r="197" spans="2:17" ht="15" customHeight="1" thickBot="1" x14ac:dyDescent="0.3">
      <c r="B197" s="435" t="str">
        <f>$B$132</f>
        <v>i = e</v>
      </c>
      <c r="C197" s="444">
        <v>10000</v>
      </c>
      <c r="D197" s="530">
        <v>-0.11</v>
      </c>
      <c r="E197" s="537">
        <v>10</v>
      </c>
      <c r="F197" s="444">
        <v>10000</v>
      </c>
      <c r="G197" s="530">
        <v>-0.13</v>
      </c>
      <c r="H197" s="537">
        <v>16</v>
      </c>
      <c r="I197" s="444">
        <v>10000</v>
      </c>
      <c r="J197" s="530">
        <v>-0.1</v>
      </c>
      <c r="K197" s="537">
        <v>7</v>
      </c>
      <c r="L197" s="444">
        <v>10000</v>
      </c>
      <c r="M197" s="530">
        <v>-0.1</v>
      </c>
      <c r="N197" s="537">
        <v>7</v>
      </c>
      <c r="O197" s="444">
        <v>10000</v>
      </c>
      <c r="P197" s="530">
        <v>-0.1</v>
      </c>
      <c r="Q197" s="537">
        <v>7</v>
      </c>
    </row>
    <row r="198" spans="2:17" ht="30" customHeight="1" x14ac:dyDescent="0.25">
      <c r="B198" s="429"/>
      <c r="C198" s="1724" t="str">
        <f>$C$140</f>
        <v>Inner rows, 2nd to 6th row from north -
1st-4th module</v>
      </c>
      <c r="D198" s="1725"/>
      <c r="E198" s="1726"/>
      <c r="F198" s="1724" t="str">
        <f>$C$140</f>
        <v>Inner rows, 2nd to 6th row from north -
1st-4th module</v>
      </c>
      <c r="G198" s="1725"/>
      <c r="H198" s="1726"/>
      <c r="I198" s="1724" t="str">
        <f>$C$140</f>
        <v>Inner rows, 2nd to 6th row from north -
1st-4th module</v>
      </c>
      <c r="J198" s="1725"/>
      <c r="K198" s="1726"/>
      <c r="L198" s="1724" t="str">
        <f>$C$140</f>
        <v>Inner rows, 2nd to 6th row from north -
1st-4th module</v>
      </c>
      <c r="M198" s="1725"/>
      <c r="N198" s="1726"/>
      <c r="O198" s="1724" t="str">
        <f>$C$140</f>
        <v>Inner rows, 2nd to 6th row from north -
1st-4th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-1.06</v>
      </c>
      <c r="E200" s="535">
        <v>274</v>
      </c>
      <c r="F200" s="442">
        <v>1</v>
      </c>
      <c r="G200" s="528">
        <v>-0.44</v>
      </c>
      <c r="H200" s="535">
        <v>114</v>
      </c>
      <c r="I200" s="442">
        <v>1</v>
      </c>
      <c r="J200" s="528">
        <v>-0.42</v>
      </c>
      <c r="K200" s="535">
        <v>101</v>
      </c>
      <c r="L200" s="442">
        <v>1</v>
      </c>
      <c r="M200" s="528">
        <v>-0.38</v>
      </c>
      <c r="N200" s="535">
        <v>92</v>
      </c>
      <c r="O200" s="442">
        <v>1</v>
      </c>
      <c r="P200" s="528">
        <v>-0.33</v>
      </c>
      <c r="Q200" s="535">
        <v>74</v>
      </c>
    </row>
    <row r="201" spans="2:17" ht="15" customHeight="1" x14ac:dyDescent="0.25">
      <c r="B201" s="434" t="str">
        <f>$B$129</f>
        <v>i = b</v>
      </c>
      <c r="C201" s="443">
        <v>6</v>
      </c>
      <c r="D201" s="529">
        <v>-0.6</v>
      </c>
      <c r="E201" s="536">
        <v>158</v>
      </c>
      <c r="F201" s="443">
        <v>12</v>
      </c>
      <c r="G201" s="529">
        <v>-0.24</v>
      </c>
      <c r="H201" s="536">
        <v>51</v>
      </c>
      <c r="I201" s="443">
        <v>6</v>
      </c>
      <c r="J201" s="529">
        <v>-0.3</v>
      </c>
      <c r="K201" s="536">
        <v>68</v>
      </c>
      <c r="L201" s="443">
        <v>6</v>
      </c>
      <c r="M201" s="529">
        <v>-0.18</v>
      </c>
      <c r="N201" s="536">
        <v>30</v>
      </c>
      <c r="O201" s="443">
        <v>6</v>
      </c>
      <c r="P201" s="529">
        <v>-0.17</v>
      </c>
      <c r="Q201" s="536">
        <v>27</v>
      </c>
    </row>
    <row r="202" spans="2:17" ht="15" customHeight="1" x14ac:dyDescent="0.25">
      <c r="B202" s="434" t="str">
        <f>$B$130</f>
        <v>i = c</v>
      </c>
      <c r="C202" s="443">
        <v>50</v>
      </c>
      <c r="D202" s="529">
        <v>-0.26</v>
      </c>
      <c r="E202" s="536">
        <v>51</v>
      </c>
      <c r="F202" s="443">
        <v>25</v>
      </c>
      <c r="G202" s="529">
        <v>-0.17</v>
      </c>
      <c r="H202" s="536">
        <v>30</v>
      </c>
      <c r="I202" s="443">
        <v>16</v>
      </c>
      <c r="J202" s="529">
        <v>-0.2</v>
      </c>
      <c r="K202" s="536">
        <v>36</v>
      </c>
      <c r="L202" s="443">
        <v>13</v>
      </c>
      <c r="M202" s="529">
        <v>-0.13</v>
      </c>
      <c r="N202" s="536">
        <v>15</v>
      </c>
      <c r="O202" s="443">
        <v>10</v>
      </c>
      <c r="P202" s="529">
        <v>-0.13</v>
      </c>
      <c r="Q202" s="536">
        <v>14</v>
      </c>
    </row>
    <row r="203" spans="2:17" ht="15" customHeight="1" x14ac:dyDescent="0.25">
      <c r="B203" s="434" t="str">
        <f>$B$131</f>
        <v>i = d</v>
      </c>
      <c r="C203" s="443">
        <v>400</v>
      </c>
      <c r="D203" s="529">
        <v>-0.11</v>
      </c>
      <c r="E203" s="536">
        <v>10</v>
      </c>
      <c r="F203" s="443">
        <v>36</v>
      </c>
      <c r="G203" s="529">
        <v>-0.13</v>
      </c>
      <c r="H203" s="536">
        <v>16</v>
      </c>
      <c r="I203" s="443">
        <v>110</v>
      </c>
      <c r="J203" s="529">
        <v>-0.1</v>
      </c>
      <c r="K203" s="536">
        <v>7</v>
      </c>
      <c r="L203" s="443">
        <v>30</v>
      </c>
      <c r="M203" s="529">
        <v>-0.1</v>
      </c>
      <c r="N203" s="536">
        <v>7</v>
      </c>
      <c r="O203" s="443">
        <v>150</v>
      </c>
      <c r="P203" s="529">
        <v>-0.1</v>
      </c>
      <c r="Q203" s="536">
        <v>7</v>
      </c>
    </row>
    <row r="204" spans="2:17" ht="15" customHeight="1" thickBot="1" x14ac:dyDescent="0.3">
      <c r="B204" s="435" t="str">
        <f>$B$132</f>
        <v>i = e</v>
      </c>
      <c r="C204" s="444">
        <v>10000</v>
      </c>
      <c r="D204" s="530">
        <v>-0.11</v>
      </c>
      <c r="E204" s="537">
        <v>10</v>
      </c>
      <c r="F204" s="444">
        <v>10000</v>
      </c>
      <c r="G204" s="530">
        <v>-0.13</v>
      </c>
      <c r="H204" s="537">
        <v>16</v>
      </c>
      <c r="I204" s="444">
        <v>10000</v>
      </c>
      <c r="J204" s="530">
        <v>-0.1</v>
      </c>
      <c r="K204" s="537">
        <v>7</v>
      </c>
      <c r="L204" s="444">
        <v>10000</v>
      </c>
      <c r="M204" s="530">
        <v>-0.1</v>
      </c>
      <c r="N204" s="537">
        <v>7</v>
      </c>
      <c r="O204" s="444">
        <v>10000</v>
      </c>
      <c r="P204" s="530">
        <v>-0.1</v>
      </c>
      <c r="Q204" s="537">
        <v>7</v>
      </c>
    </row>
    <row r="205" spans="2:17" ht="30" customHeight="1" x14ac:dyDescent="0.25">
      <c r="B205" s="429"/>
      <c r="C205" s="1724" t="str">
        <f>$C$147</f>
        <v>Inner rows, 2nd to 6th row from north -
Interior modules</v>
      </c>
      <c r="D205" s="1725"/>
      <c r="E205" s="1726"/>
      <c r="F205" s="1724" t="str">
        <f>$C$147</f>
        <v>Inner rows, 2nd to 6th row from north -
Interior modules</v>
      </c>
      <c r="G205" s="1725"/>
      <c r="H205" s="1726"/>
      <c r="I205" s="1724" t="str">
        <f>$C$147</f>
        <v>Inner rows, 2nd to 6th row from north -
Interior modules</v>
      </c>
      <c r="J205" s="1725"/>
      <c r="K205" s="1726"/>
      <c r="L205" s="1724" t="str">
        <f>$C$147</f>
        <v>Inner rows, 2nd to 6th row from north -
Interior modules</v>
      </c>
      <c r="M205" s="1725"/>
      <c r="N205" s="1726"/>
      <c r="O205" s="1724" t="str">
        <f>$C$147</f>
        <v>Inner rows, 2nd to 6th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-0.7</v>
      </c>
      <c r="E207" s="535">
        <v>186</v>
      </c>
      <c r="F207" s="442">
        <v>1</v>
      </c>
      <c r="G207" s="528">
        <v>-0.43</v>
      </c>
      <c r="H207" s="535">
        <v>112</v>
      </c>
      <c r="I207" s="442">
        <v>1</v>
      </c>
      <c r="J207" s="528">
        <v>-0.24</v>
      </c>
      <c r="K207" s="535">
        <v>49</v>
      </c>
      <c r="L207" s="442">
        <v>1</v>
      </c>
      <c r="M207" s="528">
        <v>-0.21</v>
      </c>
      <c r="N207" s="535">
        <v>38</v>
      </c>
      <c r="O207" s="442">
        <v>1</v>
      </c>
      <c r="P207" s="528">
        <v>-0.21</v>
      </c>
      <c r="Q207" s="535">
        <v>36</v>
      </c>
    </row>
    <row r="208" spans="2:17" ht="15" customHeight="1" x14ac:dyDescent="0.25">
      <c r="B208" s="434" t="str">
        <f>$B$129</f>
        <v>i = b</v>
      </c>
      <c r="C208" s="443">
        <v>18</v>
      </c>
      <c r="D208" s="529">
        <v>-0.27</v>
      </c>
      <c r="E208" s="536">
        <v>58</v>
      </c>
      <c r="F208" s="443">
        <v>6</v>
      </c>
      <c r="G208" s="529">
        <v>-0.28999999999999998</v>
      </c>
      <c r="H208" s="536">
        <v>64</v>
      </c>
      <c r="I208" s="443">
        <v>6</v>
      </c>
      <c r="J208" s="529">
        <v>-0.21</v>
      </c>
      <c r="K208" s="536">
        <v>40</v>
      </c>
      <c r="L208" s="443">
        <v>7</v>
      </c>
      <c r="M208" s="529">
        <v>-0.14000000000000001</v>
      </c>
      <c r="N208" s="536">
        <v>21</v>
      </c>
      <c r="O208" s="443">
        <v>6</v>
      </c>
      <c r="P208" s="529">
        <v>-0.15</v>
      </c>
      <c r="Q208" s="536">
        <v>22</v>
      </c>
    </row>
    <row r="209" spans="2:17" ht="15" customHeight="1" x14ac:dyDescent="0.25">
      <c r="B209" s="434" t="str">
        <f>$B$130</f>
        <v>i = c</v>
      </c>
      <c r="C209" s="443">
        <v>38</v>
      </c>
      <c r="D209" s="529">
        <v>-0.19</v>
      </c>
      <c r="E209" s="536">
        <v>34</v>
      </c>
      <c r="F209" s="443">
        <v>20</v>
      </c>
      <c r="G209" s="529">
        <v>-0.22</v>
      </c>
      <c r="H209" s="536">
        <v>42</v>
      </c>
      <c r="I209" s="443">
        <v>12</v>
      </c>
      <c r="J209" s="529">
        <v>-0.17</v>
      </c>
      <c r="K209" s="536">
        <v>31</v>
      </c>
      <c r="L209" s="443">
        <v>13</v>
      </c>
      <c r="M209" s="529">
        <v>-0.12</v>
      </c>
      <c r="N209" s="536">
        <v>14</v>
      </c>
      <c r="O209" s="443">
        <v>10</v>
      </c>
      <c r="P209" s="529">
        <v>-0.14000000000000001</v>
      </c>
      <c r="Q209" s="536">
        <v>20</v>
      </c>
    </row>
    <row r="210" spans="2:17" ht="15" customHeight="1" x14ac:dyDescent="0.25">
      <c r="B210" s="434" t="str">
        <f>$B$131</f>
        <v>i = d</v>
      </c>
      <c r="C210" s="443">
        <v>100</v>
      </c>
      <c r="D210" s="529">
        <v>-0.11</v>
      </c>
      <c r="E210" s="536">
        <v>10</v>
      </c>
      <c r="F210" s="443">
        <v>150</v>
      </c>
      <c r="G210" s="529">
        <v>-0.13</v>
      </c>
      <c r="H210" s="536">
        <v>16</v>
      </c>
      <c r="I210" s="443">
        <v>110</v>
      </c>
      <c r="J210" s="529">
        <v>-0.1</v>
      </c>
      <c r="K210" s="536">
        <v>7</v>
      </c>
      <c r="L210" s="443">
        <v>30</v>
      </c>
      <c r="M210" s="529">
        <v>-0.1</v>
      </c>
      <c r="N210" s="536">
        <v>7</v>
      </c>
      <c r="O210" s="443">
        <v>150</v>
      </c>
      <c r="P210" s="529">
        <v>-0.1</v>
      </c>
      <c r="Q210" s="536">
        <v>7</v>
      </c>
    </row>
    <row r="211" spans="2:17" ht="15" customHeight="1" thickBot="1" x14ac:dyDescent="0.3">
      <c r="B211" s="435" t="str">
        <f>$B$132</f>
        <v>i = e</v>
      </c>
      <c r="C211" s="444">
        <v>10000</v>
      </c>
      <c r="D211" s="530">
        <v>-0.11</v>
      </c>
      <c r="E211" s="537">
        <v>10</v>
      </c>
      <c r="F211" s="444">
        <v>10000</v>
      </c>
      <c r="G211" s="530">
        <v>-0.13</v>
      </c>
      <c r="H211" s="537">
        <v>16</v>
      </c>
      <c r="I211" s="444">
        <v>10000</v>
      </c>
      <c r="J211" s="530">
        <v>-0.1</v>
      </c>
      <c r="K211" s="537">
        <v>7</v>
      </c>
      <c r="L211" s="444">
        <v>10000</v>
      </c>
      <c r="M211" s="530">
        <v>-0.1</v>
      </c>
      <c r="N211" s="537">
        <v>7</v>
      </c>
      <c r="O211" s="444">
        <v>10000</v>
      </c>
      <c r="P211" s="530">
        <v>-0.1</v>
      </c>
      <c r="Q211" s="537">
        <v>7</v>
      </c>
    </row>
    <row r="212" spans="2:17" ht="30" customHeight="1" x14ac:dyDescent="0.25">
      <c r="B212" s="429"/>
      <c r="C212" s="1724" t="str">
        <f>$C$154</f>
        <v>Inner rows, from 7th row from north -
1st-4th module</v>
      </c>
      <c r="D212" s="1725"/>
      <c r="E212" s="1726"/>
      <c r="F212" s="1724" t="str">
        <f>$C$154</f>
        <v>Inner rows, from 7th row from north -
1st-4th module</v>
      </c>
      <c r="G212" s="1725"/>
      <c r="H212" s="1726"/>
      <c r="I212" s="1724" t="str">
        <f>$C$154</f>
        <v>Inner rows, from 7th row from north -
1st-4th module</v>
      </c>
      <c r="J212" s="1725"/>
      <c r="K212" s="1726"/>
      <c r="L212" s="1724" t="str">
        <f>$C$154</f>
        <v>Inner rows, from 7th row from north -
1st-4th module</v>
      </c>
      <c r="M212" s="1725"/>
      <c r="N212" s="1726"/>
      <c r="O212" s="1724" t="str">
        <f>$C$154</f>
        <v>Inner rows, from 7th row from north -
1st-4th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-0.99</v>
      </c>
      <c r="E214" s="535">
        <v>250</v>
      </c>
      <c r="F214" s="442">
        <v>1</v>
      </c>
      <c r="G214" s="528">
        <v>-0.44</v>
      </c>
      <c r="H214" s="535">
        <v>104</v>
      </c>
      <c r="I214" s="442">
        <v>1</v>
      </c>
      <c r="J214" s="528">
        <v>-0.39</v>
      </c>
      <c r="K214" s="535">
        <v>99</v>
      </c>
      <c r="L214" s="442">
        <v>1</v>
      </c>
      <c r="M214" s="528">
        <v>-0.28999999999999998</v>
      </c>
      <c r="N214" s="535">
        <v>56</v>
      </c>
      <c r="O214" s="442">
        <v>1</v>
      </c>
      <c r="P214" s="528">
        <v>-0.3</v>
      </c>
      <c r="Q214" s="535">
        <v>70</v>
      </c>
    </row>
    <row r="215" spans="2:17" ht="15" customHeight="1" x14ac:dyDescent="0.25">
      <c r="B215" s="434" t="str">
        <f>$B$129</f>
        <v>i = b</v>
      </c>
      <c r="C215" s="443">
        <v>12</v>
      </c>
      <c r="D215" s="529">
        <v>-0.44</v>
      </c>
      <c r="E215" s="536">
        <v>102</v>
      </c>
      <c r="F215" s="443">
        <v>8</v>
      </c>
      <c r="G215" s="529">
        <v>-0.28000000000000003</v>
      </c>
      <c r="H215" s="536">
        <v>58</v>
      </c>
      <c r="I215" s="443">
        <v>6</v>
      </c>
      <c r="J215" s="529">
        <v>-0.28000000000000003</v>
      </c>
      <c r="K215" s="536">
        <v>58</v>
      </c>
      <c r="L215" s="443">
        <v>7</v>
      </c>
      <c r="M215" s="529">
        <v>-0.19</v>
      </c>
      <c r="N215" s="536">
        <v>34</v>
      </c>
      <c r="O215" s="443">
        <v>6</v>
      </c>
      <c r="P215" s="529">
        <v>-0.21</v>
      </c>
      <c r="Q215" s="536">
        <v>38</v>
      </c>
    </row>
    <row r="216" spans="2:17" ht="15" customHeight="1" x14ac:dyDescent="0.25">
      <c r="B216" s="434" t="str">
        <f>$B$130</f>
        <v>i = c</v>
      </c>
      <c r="C216" s="443">
        <v>80</v>
      </c>
      <c r="D216" s="529">
        <v>-0.21</v>
      </c>
      <c r="E216" s="536">
        <v>35</v>
      </c>
      <c r="F216" s="443">
        <v>22</v>
      </c>
      <c r="G216" s="529">
        <v>-0.19</v>
      </c>
      <c r="H216" s="536">
        <v>33</v>
      </c>
      <c r="I216" s="443">
        <v>12</v>
      </c>
      <c r="J216" s="529">
        <v>-0.24</v>
      </c>
      <c r="K216" s="536">
        <v>47</v>
      </c>
      <c r="L216" s="443">
        <v>14</v>
      </c>
      <c r="M216" s="529">
        <v>-0.16</v>
      </c>
      <c r="N216" s="536">
        <v>25</v>
      </c>
      <c r="O216" s="443">
        <v>13</v>
      </c>
      <c r="P216" s="529">
        <v>-0.17</v>
      </c>
      <c r="Q216" s="536">
        <v>27</v>
      </c>
    </row>
    <row r="217" spans="2:17" ht="15" customHeight="1" x14ac:dyDescent="0.25">
      <c r="B217" s="434" t="str">
        <f>$B$131</f>
        <v>i = d</v>
      </c>
      <c r="C217" s="443">
        <v>300</v>
      </c>
      <c r="D217" s="529">
        <v>-0.11</v>
      </c>
      <c r="E217" s="536">
        <v>10</v>
      </c>
      <c r="F217" s="443">
        <v>150</v>
      </c>
      <c r="G217" s="529">
        <v>-0.13</v>
      </c>
      <c r="H217" s="536">
        <v>16</v>
      </c>
      <c r="I217" s="443">
        <v>140</v>
      </c>
      <c r="J217" s="529">
        <v>-0.1</v>
      </c>
      <c r="K217" s="536">
        <v>7</v>
      </c>
      <c r="L217" s="443">
        <v>110</v>
      </c>
      <c r="M217" s="529">
        <v>-0.1</v>
      </c>
      <c r="N217" s="536">
        <v>7</v>
      </c>
      <c r="O217" s="443">
        <v>70</v>
      </c>
      <c r="P217" s="529">
        <v>-0.1</v>
      </c>
      <c r="Q217" s="536">
        <v>7</v>
      </c>
    </row>
    <row r="218" spans="2:17" ht="15" customHeight="1" thickBot="1" x14ac:dyDescent="0.3">
      <c r="B218" s="435" t="str">
        <f>$B$132</f>
        <v>i = e</v>
      </c>
      <c r="C218" s="444">
        <v>10000</v>
      </c>
      <c r="D218" s="530">
        <v>-0.11</v>
      </c>
      <c r="E218" s="537">
        <v>10</v>
      </c>
      <c r="F218" s="444">
        <v>10000</v>
      </c>
      <c r="G218" s="530">
        <v>-0.13</v>
      </c>
      <c r="H218" s="537">
        <v>16</v>
      </c>
      <c r="I218" s="444">
        <v>10000</v>
      </c>
      <c r="J218" s="530">
        <v>-0.1</v>
      </c>
      <c r="K218" s="537">
        <v>7</v>
      </c>
      <c r="L218" s="444">
        <v>10000</v>
      </c>
      <c r="M218" s="530">
        <v>-0.1</v>
      </c>
      <c r="N218" s="537">
        <v>7</v>
      </c>
      <c r="O218" s="444">
        <v>10000</v>
      </c>
      <c r="P218" s="530">
        <v>-0.1</v>
      </c>
      <c r="Q218" s="537">
        <v>7</v>
      </c>
    </row>
    <row r="219" spans="2:17" ht="30" customHeight="1" x14ac:dyDescent="0.25">
      <c r="B219" s="429"/>
      <c r="C219" s="1724" t="str">
        <f>$C$161</f>
        <v>Inner rows, from 7th row from north -
Interior modules</v>
      </c>
      <c r="D219" s="1725"/>
      <c r="E219" s="1726"/>
      <c r="F219" s="1724" t="str">
        <f>$C$161</f>
        <v>Inner rows, from 7th row from north -
Interior modules</v>
      </c>
      <c r="G219" s="1725"/>
      <c r="H219" s="1726"/>
      <c r="I219" s="1724" t="str">
        <f>$C$161</f>
        <v>Inner rows, from 7th row from north -
Interior modules</v>
      </c>
      <c r="J219" s="1725"/>
      <c r="K219" s="1726"/>
      <c r="L219" s="1724" t="str">
        <f>$C$161</f>
        <v>Inner rows, from 7th row from north -
Interior modules</v>
      </c>
      <c r="M219" s="1725"/>
      <c r="N219" s="1726"/>
      <c r="O219" s="1724" t="str">
        <f>$C$161</f>
        <v>Inner rows, from 7th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-0.59</v>
      </c>
      <c r="E221" s="535">
        <v>140</v>
      </c>
      <c r="F221" s="442">
        <v>1</v>
      </c>
      <c r="G221" s="528">
        <v>-0.39</v>
      </c>
      <c r="H221" s="535">
        <v>93</v>
      </c>
      <c r="I221" s="442">
        <v>1</v>
      </c>
      <c r="J221" s="528">
        <v>-0.23</v>
      </c>
      <c r="K221" s="535">
        <v>48</v>
      </c>
      <c r="L221" s="442">
        <v>1</v>
      </c>
      <c r="M221" s="528">
        <v>-0.23</v>
      </c>
      <c r="N221" s="535">
        <v>43</v>
      </c>
      <c r="O221" s="442">
        <v>1</v>
      </c>
      <c r="P221" s="528">
        <v>-0.26</v>
      </c>
      <c r="Q221" s="535">
        <v>52</v>
      </c>
    </row>
    <row r="222" spans="2:17" ht="15" customHeight="1" x14ac:dyDescent="0.25">
      <c r="B222" s="434" t="str">
        <f>$B$129</f>
        <v>i = b</v>
      </c>
      <c r="C222" s="443">
        <v>12</v>
      </c>
      <c r="D222" s="529">
        <v>-0.34</v>
      </c>
      <c r="E222" s="536">
        <v>74</v>
      </c>
      <c r="F222" s="443">
        <v>6</v>
      </c>
      <c r="G222" s="529">
        <v>-0.32</v>
      </c>
      <c r="H222" s="536">
        <v>69</v>
      </c>
      <c r="I222" s="443">
        <v>12</v>
      </c>
      <c r="J222" s="529">
        <v>-0.16</v>
      </c>
      <c r="K222" s="536">
        <v>24</v>
      </c>
      <c r="L222" s="443">
        <v>7</v>
      </c>
      <c r="M222" s="529">
        <v>-0.17</v>
      </c>
      <c r="N222" s="536">
        <v>28</v>
      </c>
      <c r="O222" s="443">
        <v>6</v>
      </c>
      <c r="P222" s="529">
        <v>-0.19</v>
      </c>
      <c r="Q222" s="536">
        <v>33</v>
      </c>
    </row>
    <row r="223" spans="2:17" ht="15" customHeight="1" x14ac:dyDescent="0.25">
      <c r="B223" s="434" t="str">
        <f>$B$130</f>
        <v>i = c</v>
      </c>
      <c r="C223" s="443">
        <v>80</v>
      </c>
      <c r="D223" s="529">
        <v>-0.17</v>
      </c>
      <c r="E223" s="536">
        <v>28</v>
      </c>
      <c r="F223" s="443">
        <v>22</v>
      </c>
      <c r="G223" s="529">
        <v>-0.25</v>
      </c>
      <c r="H223" s="536">
        <v>48</v>
      </c>
      <c r="I223" s="443">
        <v>52</v>
      </c>
      <c r="J223" s="529">
        <v>-0.13</v>
      </c>
      <c r="K223" s="536">
        <v>16</v>
      </c>
      <c r="L223" s="443">
        <v>14</v>
      </c>
      <c r="M223" s="529">
        <v>-0.15</v>
      </c>
      <c r="N223" s="536">
        <v>22</v>
      </c>
      <c r="O223" s="443">
        <v>14</v>
      </c>
      <c r="P223" s="529">
        <v>-0.16</v>
      </c>
      <c r="Q223" s="536">
        <v>25</v>
      </c>
    </row>
    <row r="224" spans="2:17" ht="15" customHeight="1" x14ac:dyDescent="0.25">
      <c r="B224" s="434" t="str">
        <f>$B$131</f>
        <v>i = d</v>
      </c>
      <c r="C224" s="443">
        <v>300</v>
      </c>
      <c r="D224" s="529">
        <v>-0.11</v>
      </c>
      <c r="E224" s="536">
        <v>10</v>
      </c>
      <c r="F224" s="443">
        <v>150</v>
      </c>
      <c r="G224" s="529">
        <v>-0.13</v>
      </c>
      <c r="H224" s="536">
        <v>16</v>
      </c>
      <c r="I224" s="443">
        <v>150</v>
      </c>
      <c r="J224" s="529">
        <v>-0.1</v>
      </c>
      <c r="K224" s="536">
        <v>7</v>
      </c>
      <c r="L224" s="443">
        <v>110</v>
      </c>
      <c r="M224" s="529">
        <v>-0.1</v>
      </c>
      <c r="N224" s="536">
        <v>7</v>
      </c>
      <c r="O224" s="443">
        <v>100</v>
      </c>
      <c r="P224" s="529">
        <v>-0.1</v>
      </c>
      <c r="Q224" s="536">
        <v>7</v>
      </c>
    </row>
    <row r="225" spans="2:17" ht="15" customHeight="1" thickBot="1" x14ac:dyDescent="0.3">
      <c r="B225" s="435" t="str">
        <f>$B$132</f>
        <v>i = e</v>
      </c>
      <c r="C225" s="444">
        <v>10000</v>
      </c>
      <c r="D225" s="530">
        <v>-0.11</v>
      </c>
      <c r="E225" s="537">
        <v>10</v>
      </c>
      <c r="F225" s="444">
        <v>10000</v>
      </c>
      <c r="G225" s="530">
        <v>-0.13</v>
      </c>
      <c r="H225" s="537">
        <v>16</v>
      </c>
      <c r="I225" s="444">
        <v>10000</v>
      </c>
      <c r="J225" s="530">
        <v>-0.1</v>
      </c>
      <c r="K225" s="537">
        <v>7</v>
      </c>
      <c r="L225" s="444">
        <v>10000</v>
      </c>
      <c r="M225" s="530">
        <v>-0.1</v>
      </c>
      <c r="N225" s="537">
        <v>7</v>
      </c>
      <c r="O225" s="444">
        <v>10000</v>
      </c>
      <c r="P225" s="530">
        <v>-0.1</v>
      </c>
      <c r="Q225" s="537">
        <v>7</v>
      </c>
    </row>
    <row r="226" spans="2:17" ht="15" customHeight="1" x14ac:dyDescent="0.25">
      <c r="B226" s="429"/>
      <c r="C226" s="1721" t="str">
        <f>$C$168</f>
        <v>South row - 1st-4th module</v>
      </c>
      <c r="D226" s="1722"/>
      <c r="E226" s="1723"/>
      <c r="F226" s="1721" t="str">
        <f>$C$168</f>
        <v>South row - 1st-4th module</v>
      </c>
      <c r="G226" s="1722"/>
      <c r="H226" s="1723"/>
      <c r="I226" s="1721" t="str">
        <f>$C$168</f>
        <v>South row - 1st-4th module</v>
      </c>
      <c r="J226" s="1722"/>
      <c r="K226" s="1723"/>
      <c r="L226" s="1721" t="str">
        <f>$C$168</f>
        <v>South row - 1st-4th module</v>
      </c>
      <c r="M226" s="1722"/>
      <c r="N226" s="1723"/>
      <c r="O226" s="1721" t="str">
        <f>$C$168</f>
        <v>South row - 1st-4th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-0.84</v>
      </c>
      <c r="E228" s="535">
        <v>224</v>
      </c>
      <c r="F228" s="442">
        <v>1</v>
      </c>
      <c r="G228" s="528">
        <v>-0.45</v>
      </c>
      <c r="H228" s="535">
        <v>110</v>
      </c>
      <c r="I228" s="442">
        <v>1</v>
      </c>
      <c r="J228" s="528">
        <v>-0.43</v>
      </c>
      <c r="K228" s="535">
        <v>100</v>
      </c>
      <c r="L228" s="442">
        <v>1</v>
      </c>
      <c r="M228" s="528">
        <v>-0.42</v>
      </c>
      <c r="N228" s="535">
        <v>93</v>
      </c>
      <c r="O228" s="442">
        <v>1</v>
      </c>
      <c r="P228" s="528">
        <v>-0.38</v>
      </c>
      <c r="Q228" s="535">
        <v>82</v>
      </c>
    </row>
    <row r="229" spans="2:17" ht="15" customHeight="1" x14ac:dyDescent="0.25">
      <c r="B229" s="434" t="str">
        <f>$B$129</f>
        <v>i = b</v>
      </c>
      <c r="C229" s="443">
        <v>20</v>
      </c>
      <c r="D229" s="529">
        <v>-0.35</v>
      </c>
      <c r="E229" s="536">
        <v>82</v>
      </c>
      <c r="F229" s="443">
        <v>12</v>
      </c>
      <c r="G229" s="529">
        <v>-0.24</v>
      </c>
      <c r="H229" s="536">
        <v>48</v>
      </c>
      <c r="I229" s="443">
        <v>6</v>
      </c>
      <c r="J229" s="529">
        <v>-0.31</v>
      </c>
      <c r="K229" s="536">
        <v>67</v>
      </c>
      <c r="L229" s="443">
        <v>6</v>
      </c>
      <c r="M229" s="529">
        <v>-0.2</v>
      </c>
      <c r="N229" s="536">
        <v>34</v>
      </c>
      <c r="O229" s="443">
        <v>7</v>
      </c>
      <c r="P229" s="529">
        <v>-0.21</v>
      </c>
      <c r="Q229" s="536">
        <v>40</v>
      </c>
    </row>
    <row r="230" spans="2:17" ht="15" customHeight="1" x14ac:dyDescent="0.25">
      <c r="B230" s="434" t="str">
        <f>$B$130</f>
        <v>i = c</v>
      </c>
      <c r="C230" s="443">
        <v>80</v>
      </c>
      <c r="D230" s="529">
        <v>-0.21</v>
      </c>
      <c r="E230" s="536">
        <v>37</v>
      </c>
      <c r="F230" s="443">
        <v>23</v>
      </c>
      <c r="G230" s="529">
        <v>-0.18</v>
      </c>
      <c r="H230" s="536">
        <v>34</v>
      </c>
      <c r="I230" s="443">
        <v>12</v>
      </c>
      <c r="J230" s="529">
        <v>-0.23</v>
      </c>
      <c r="K230" s="536">
        <v>45</v>
      </c>
      <c r="L230" s="443">
        <v>13</v>
      </c>
      <c r="M230" s="529">
        <v>-0.14000000000000001</v>
      </c>
      <c r="N230" s="536">
        <v>19</v>
      </c>
      <c r="O230" s="443">
        <v>13</v>
      </c>
      <c r="P230" s="529">
        <v>-0.15</v>
      </c>
      <c r="Q230" s="536">
        <v>23</v>
      </c>
    </row>
    <row r="231" spans="2:17" ht="15" customHeight="1" x14ac:dyDescent="0.25">
      <c r="B231" s="434" t="str">
        <f>$B$131</f>
        <v>i = d</v>
      </c>
      <c r="C231" s="443">
        <v>400</v>
      </c>
      <c r="D231" s="529">
        <v>-0.11</v>
      </c>
      <c r="E231" s="536">
        <v>10</v>
      </c>
      <c r="F231" s="443">
        <v>36</v>
      </c>
      <c r="G231" s="529">
        <v>-0.13</v>
      </c>
      <c r="H231" s="536">
        <v>16</v>
      </c>
      <c r="I231" s="443">
        <v>180</v>
      </c>
      <c r="J231" s="529">
        <v>-0.1</v>
      </c>
      <c r="K231" s="536">
        <v>7</v>
      </c>
      <c r="L231" s="443">
        <v>110</v>
      </c>
      <c r="M231" s="529">
        <v>-0.1</v>
      </c>
      <c r="N231" s="536">
        <v>7</v>
      </c>
      <c r="O231" s="443">
        <v>40</v>
      </c>
      <c r="P231" s="529">
        <v>-0.1</v>
      </c>
      <c r="Q231" s="536">
        <v>7</v>
      </c>
    </row>
    <row r="232" spans="2:17" ht="15" customHeight="1" thickBot="1" x14ac:dyDescent="0.3">
      <c r="B232" s="435" t="str">
        <f>$B$132</f>
        <v>i = e</v>
      </c>
      <c r="C232" s="444">
        <v>10000</v>
      </c>
      <c r="D232" s="530">
        <v>-0.11</v>
      </c>
      <c r="E232" s="537">
        <v>10</v>
      </c>
      <c r="F232" s="444">
        <v>10000</v>
      </c>
      <c r="G232" s="530">
        <v>-0.13</v>
      </c>
      <c r="H232" s="537">
        <v>16</v>
      </c>
      <c r="I232" s="444">
        <v>10000</v>
      </c>
      <c r="J232" s="530">
        <v>-0.1</v>
      </c>
      <c r="K232" s="537">
        <v>7</v>
      </c>
      <c r="L232" s="444">
        <v>10000</v>
      </c>
      <c r="M232" s="530">
        <v>-0.1</v>
      </c>
      <c r="N232" s="537">
        <v>7</v>
      </c>
      <c r="O232" s="444">
        <v>10000</v>
      </c>
      <c r="P232" s="530">
        <v>-0.1</v>
      </c>
      <c r="Q232" s="537">
        <v>7</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-0.76</v>
      </c>
      <c r="E235" s="535">
        <v>199</v>
      </c>
      <c r="F235" s="442">
        <v>1</v>
      </c>
      <c r="G235" s="528">
        <v>-0.44</v>
      </c>
      <c r="H235" s="535">
        <v>100</v>
      </c>
      <c r="I235" s="442">
        <v>1</v>
      </c>
      <c r="J235" s="528">
        <v>-0.3</v>
      </c>
      <c r="K235" s="535">
        <v>66</v>
      </c>
      <c r="L235" s="442">
        <v>1</v>
      </c>
      <c r="M235" s="528">
        <v>-0.23</v>
      </c>
      <c r="N235" s="535">
        <v>49</v>
      </c>
      <c r="O235" s="442">
        <v>1</v>
      </c>
      <c r="P235" s="528">
        <v>-0.25</v>
      </c>
      <c r="Q235" s="535">
        <v>47</v>
      </c>
    </row>
    <row r="236" spans="2:17" ht="15" customHeight="1" x14ac:dyDescent="0.25">
      <c r="B236" s="434" t="str">
        <f>$B$129</f>
        <v>i = b</v>
      </c>
      <c r="C236" s="443">
        <v>20</v>
      </c>
      <c r="D236" s="529">
        <v>-0.31</v>
      </c>
      <c r="E236" s="536">
        <v>68</v>
      </c>
      <c r="F236" s="443">
        <v>8</v>
      </c>
      <c r="G236" s="529">
        <v>-0.28000000000000003</v>
      </c>
      <c r="H236" s="536">
        <v>64</v>
      </c>
      <c r="I236" s="443">
        <v>6</v>
      </c>
      <c r="J236" s="529">
        <v>-0.24</v>
      </c>
      <c r="K236" s="536">
        <v>49</v>
      </c>
      <c r="L236" s="443">
        <v>6</v>
      </c>
      <c r="M236" s="529">
        <v>-0.17</v>
      </c>
      <c r="N236" s="536">
        <v>27</v>
      </c>
      <c r="O236" s="443">
        <v>6</v>
      </c>
      <c r="P236" s="529">
        <v>-0.18</v>
      </c>
      <c r="Q236" s="536">
        <v>32</v>
      </c>
    </row>
    <row r="237" spans="2:17" ht="15" customHeight="1" x14ac:dyDescent="0.25">
      <c r="B237" s="434" t="str">
        <f>$B$130</f>
        <v>i = c</v>
      </c>
      <c r="C237" s="443">
        <v>80</v>
      </c>
      <c r="D237" s="529">
        <v>-0.18</v>
      </c>
      <c r="E237" s="536">
        <v>31</v>
      </c>
      <c r="F237" s="443">
        <v>22</v>
      </c>
      <c r="G237" s="529">
        <v>-0.21</v>
      </c>
      <c r="H237" s="536">
        <v>39</v>
      </c>
      <c r="I237" s="443">
        <v>12</v>
      </c>
      <c r="J237" s="529">
        <v>-0.2</v>
      </c>
      <c r="K237" s="536">
        <v>36</v>
      </c>
      <c r="L237" s="443">
        <v>13</v>
      </c>
      <c r="M237" s="529">
        <v>-0.13</v>
      </c>
      <c r="N237" s="536">
        <v>19</v>
      </c>
      <c r="O237" s="443">
        <v>14</v>
      </c>
      <c r="P237" s="529">
        <v>-0.14000000000000001</v>
      </c>
      <c r="Q237" s="536">
        <v>19</v>
      </c>
    </row>
    <row r="238" spans="2:17" ht="15" customHeight="1" x14ac:dyDescent="0.25">
      <c r="B238" s="434" t="str">
        <f>$B$131</f>
        <v>i = d</v>
      </c>
      <c r="C238" s="443">
        <v>400</v>
      </c>
      <c r="D238" s="529">
        <v>-0.11</v>
      </c>
      <c r="E238" s="536">
        <v>10</v>
      </c>
      <c r="F238" s="443">
        <v>150</v>
      </c>
      <c r="G238" s="529">
        <v>-0.13</v>
      </c>
      <c r="H238" s="536">
        <v>16</v>
      </c>
      <c r="I238" s="443">
        <v>100</v>
      </c>
      <c r="J238" s="529">
        <v>-0.1</v>
      </c>
      <c r="K238" s="536">
        <v>7</v>
      </c>
      <c r="L238" s="443">
        <v>40</v>
      </c>
      <c r="M238" s="529">
        <v>-0.1</v>
      </c>
      <c r="N238" s="536">
        <v>7</v>
      </c>
      <c r="O238" s="443">
        <v>50</v>
      </c>
      <c r="P238" s="529">
        <v>-0.1</v>
      </c>
      <c r="Q238" s="536">
        <v>7</v>
      </c>
    </row>
    <row r="239" spans="2:17" ht="15" customHeight="1" thickBot="1" x14ac:dyDescent="0.3">
      <c r="B239" s="435" t="str">
        <f>$B$132</f>
        <v>i = e</v>
      </c>
      <c r="C239" s="444">
        <v>10000</v>
      </c>
      <c r="D239" s="530">
        <v>-0.11</v>
      </c>
      <c r="E239" s="537">
        <v>10</v>
      </c>
      <c r="F239" s="444">
        <v>10000</v>
      </c>
      <c r="G239" s="530">
        <v>-0.13</v>
      </c>
      <c r="H239" s="537">
        <v>16</v>
      </c>
      <c r="I239" s="444">
        <v>10000</v>
      </c>
      <c r="J239" s="530">
        <v>-0.1</v>
      </c>
      <c r="K239" s="537">
        <v>7</v>
      </c>
      <c r="L239" s="444">
        <v>10000</v>
      </c>
      <c r="M239" s="530">
        <v>-0.1</v>
      </c>
      <c r="N239" s="537">
        <v>7</v>
      </c>
      <c r="O239" s="444">
        <v>10000</v>
      </c>
      <c r="P239" s="530">
        <v>-0.1</v>
      </c>
      <c r="Q239" s="537">
        <v>7</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953" t="s">
        <v>46</v>
      </c>
      <c r="D246" s="457">
        <f>IF(AND($G$19&gt;=0,$G$19&lt;=0.1),D247+(D248-D247)/(0.1-0)*($G$19-0),IF(AND($G$19&gt;0.1,$G$19&lt;=0.2),D248+(D249-D248)/(0.2-0.1)*($G$19-0.1),IF($G$19&gt;0.2,D249,"Fehler")))</f>
        <v>0.9800596934372352</v>
      </c>
      <c r="E246" s="458">
        <f>IF(AND($G$19&gt;=0,$G$19&lt;=0.1),E247+(E248-E247)/(0.1-0)*($G$19-0),IF(AND($G$19&gt;0.1,$G$19&lt;=0.2),E248+(E249-E248)/(0.2-0.1)*($G$19-0.1),IF($G$19&gt;0.2,E249,"Fehler")))</f>
        <v>0.99826388888888884</v>
      </c>
      <c r="F246" s="458">
        <f t="shared" ref="F246:H246" si="38">IF(AND($G$19&gt;=0,$G$19&lt;=0.1),F247+(F248-F247)/(0.1-0)*($G$19-0),IF(AND($G$19&gt;0.1,$G$19&lt;=0.2),F248+(F249-F248)/(0.2-0.1)*($G$19-0.1),IF($G$19&gt;0.2,F249,"Fehler")))</f>
        <v>1.0778860813223543</v>
      </c>
      <c r="G246" s="458">
        <f t="shared" si="38"/>
        <v>1.0029816548234822</v>
      </c>
      <c r="H246" s="458">
        <f t="shared" si="38"/>
        <v>0.98072356914283332</v>
      </c>
      <c r="I246" s="457">
        <f>IF(AND($G$19&gt;=0,$G$19&lt;=0.1),I247+(I248-I247)/(0.1-0)*($G$19-0),IF(AND($G$19&gt;0.1,$G$19&lt;=0.2),I248+(I249-I248)/(0.2-0.1)*($G$19-0.1),IF($G$19&gt;0.2,I249,"Fehler")))</f>
        <v>1.0086805555555556</v>
      </c>
      <c r="J246" s="458">
        <f>IF(AND($G$19&gt;=0,$G$19&lt;=0.1),J247+(J248-J247)/(0.1-0)*($G$19-0),IF(AND($G$19&gt;0.1,$G$19&lt;=0.2),J248+(J249-J248)/(0.2-0.1)*($G$19-0.1),IF($G$19&gt;0.2,J249,"Fehler")))</f>
        <v>1</v>
      </c>
      <c r="K246" s="458">
        <f>IF(AND($G$19&gt;=0,$G$19&lt;=0.1),K247+(K248-K247)/(0.1-0)*($G$19-0),IF(AND($G$19&gt;0.1,$G$19&lt;=0.2),K248+(K249-K248)/(0.2-0.1)*($G$19-0.1),IF($G$19&gt;0.2,K249,"Fehler")))</f>
        <v>1.1111111111111112</v>
      </c>
      <c r="L246" s="458">
        <f>IF(AND($G$19&gt;=0,$G$19&lt;=0.1),L247+(L248-L247)/(0.1-0)*($G$19-0),IF(AND($G$19&gt;0.1,$G$19&lt;=0.2),L248+(L249-L248)/(0.2-0.1)*($G$19-0.1),IF($G$19&gt;0.2,L249,"Fehler")))</f>
        <v>1.0243055555555556</v>
      </c>
      <c r="M246" s="459">
        <f>IF(AND($G$19&gt;=0,$G$19&lt;=0.1),M247+(M248-M247)/(0.1-0)*($G$19-0),IF(AND($G$19&gt;0.1,$G$19&lt;=0.2),M248+(M249-M248)/(0.2-0.1)*($G$19-0.1),IF($G$19&gt;0.2,M249,"Fehler")))</f>
        <v>0.98263888888888884</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0.88514383419847498</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1.448623828416761</v>
      </c>
      <c r="G248" s="452">
        <f>IF($D$19&lt;I254,"Fehler",IF(AND($D$19&gt;=I254,$D$19&lt;I255),J254+(J255-J254)/(LOG(I255)-LOG(I254))*(LOG($D$19)-LOG(I254)),IF(AND($D$19&gt;=I255,$D$19&lt;I256),J255+(J256-J255)/(LOG(I256)-LOG(I255))*(LOG($D$19)-LOG(I255)),IF(AND($D$19&gt;=I256,$D$19&lt;I257),J256+(J257-J256)/(LOG(I257)-LOG(I256))*(LOG($D$19)-LOG(I256)),IF($D$19&gt;=I257,J257,"Fehler")))))</f>
        <v>1.0171743317832571</v>
      </c>
      <c r="H248" s="531">
        <f>IF($D$19&lt;K254,"Fehler",IF(AND($D$19&gt;=K254,$D$19&lt;K255),L254+(L255-L254)/(LOG(K255)-LOG(K254))*(LOG($D$19)-LOG(K254)),IF(AND($D$19&gt;=K255,$D$19&lt;K256),L255+(L256-L255)/(LOG(K256)-LOG(K255))*(LOG($D$19)-LOG(K255)),IF(AND($D$19&gt;=K256,$D$19&lt;K257),L256+(L257-L256)/(LOG(K257)-LOG(K256))*(LOG($D$19)-LOG(K256)),IF($D$19&gt;=K257,L257,"Fehler")))))</f>
        <v>0.88896775826271968</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0.73755887443834589</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1.730476632394502</v>
      </c>
      <c r="G249" s="448">
        <f>IF($D$19&lt;I260,"Fehler",IF(AND($D$19&gt;=I260,$D$19&lt;I261),J260+(J261-J260)/(LOG(I261)-LOG(I260))*(LOG($D$19)-LOG(I260)),IF(AND($D$19&gt;=I261,$D$19&lt;I262),J261+(J262-J261)/(LOG(I262)-LOG(I261))*(LOG($D$19)-LOG(I261)),IF(AND($D$19&gt;=I262,$D$19&lt;I263),J262+(J263-J262)/(LOG(I263)-LOG(I262))*(LOG($D$19)-LOG(I262)),IF($D$19&gt;=I263,J263,"Fehler")))))</f>
        <v>1.4946203575723191</v>
      </c>
      <c r="H249" s="532">
        <f>IF($D$19&lt;K260,"Fehler",IF(AND($D$19&gt;=K260,$D$19&lt;K261),L260+(L261-L260)/(LOG(K261)-LOG(K260))*(LOG($D$19)-LOG(K260)),IF(AND($D$19&gt;=K261,$D$19&lt;K262),L261+(L262-L261)/(LOG(K262)-LOG(K261))*(LOG($D$19)-LOG(K261)),IF(AND($D$19&gt;=K262,$D$19&lt;K263),L262+(L263-L262)/(LOG(K263)-LOG(K262))*(LOG($D$19)-LOG(K262)),IF($D$19&gt;=K263,L263,"Fehler")))))</f>
        <v>1.0112260544091389</v>
      </c>
      <c r="I249" s="447">
        <f>IF($D$16&lt;C274,"Fehler",IF(AND($D$16&gt;=C274,$D$16&lt;C275),D274+(D275-D274)/(LOG(C275)-LOG(C274))*(LOG($D$16)-LOG(C274)),IF(AND($D$16&gt;=C275,$D$16&lt;C276),D275+(D276-D275)/(LOG(C276)-LOG(C275))*(LOG($D$16)-LOG(C275)),IF(AND($D$16&gt;=C276,$D$16&lt;C277),D276+(D277-D276)/(LOG(C277)-LOG(C276))*(LOG($D$16)-LOG(C276)),IF($D$16&gt;=C277,D277,"Fehler")))))</f>
        <v>0.79118069672419411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62">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 ref="C253:D253"/>
    <mergeCell ref="E253:F253"/>
    <mergeCell ref="G253:H253"/>
    <mergeCell ref="I253:J253"/>
    <mergeCell ref="K253:L253"/>
    <mergeCell ref="C259:D259"/>
    <mergeCell ref="E259:F259"/>
    <mergeCell ref="G259:H259"/>
    <mergeCell ref="I259:J259"/>
    <mergeCell ref="K259:L259"/>
    <mergeCell ref="B247:B249"/>
    <mergeCell ref="C251:D251"/>
    <mergeCell ref="E251:F251"/>
    <mergeCell ref="G251:H251"/>
    <mergeCell ref="I251:J251"/>
    <mergeCell ref="K251:L251"/>
    <mergeCell ref="C226:E226"/>
    <mergeCell ref="F226:H226"/>
    <mergeCell ref="I226:K226"/>
    <mergeCell ref="L226:N226"/>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C198:E198"/>
    <mergeCell ref="F198:H198"/>
    <mergeCell ref="I198:K198"/>
    <mergeCell ref="L198:N198"/>
    <mergeCell ref="O198:Q198"/>
    <mergeCell ref="C205:E205"/>
    <mergeCell ref="F205:H205"/>
    <mergeCell ref="I205:K205"/>
    <mergeCell ref="L205:N205"/>
    <mergeCell ref="O205:Q205"/>
    <mergeCell ref="C184:E184"/>
    <mergeCell ref="F184:H184"/>
    <mergeCell ref="I184:K184"/>
    <mergeCell ref="L184:N184"/>
    <mergeCell ref="O184:Q184"/>
    <mergeCell ref="C191:E191"/>
    <mergeCell ref="F191:H191"/>
    <mergeCell ref="I191:K191"/>
    <mergeCell ref="L191:N191"/>
    <mergeCell ref="O191:Q191"/>
    <mergeCell ref="C175:E175"/>
    <mergeCell ref="F175:H175"/>
    <mergeCell ref="I175:K175"/>
    <mergeCell ref="L175:N175"/>
    <mergeCell ref="O175:Q175"/>
    <mergeCell ref="C183:E183"/>
    <mergeCell ref="F183:H183"/>
    <mergeCell ref="I183:K183"/>
    <mergeCell ref="L183:N183"/>
    <mergeCell ref="O183:Q183"/>
    <mergeCell ref="C161:E161"/>
    <mergeCell ref="F161:H161"/>
    <mergeCell ref="I161:K161"/>
    <mergeCell ref="L161:N161"/>
    <mergeCell ref="O161:Q161"/>
    <mergeCell ref="C168:E168"/>
    <mergeCell ref="F168:H168"/>
    <mergeCell ref="I168:K168"/>
    <mergeCell ref="L168:N168"/>
    <mergeCell ref="O168:Q168"/>
    <mergeCell ref="C147:E147"/>
    <mergeCell ref="F147:H147"/>
    <mergeCell ref="I147:K147"/>
    <mergeCell ref="L147:N147"/>
    <mergeCell ref="O147:Q147"/>
    <mergeCell ref="C154:E154"/>
    <mergeCell ref="F154:H154"/>
    <mergeCell ref="I154:K154"/>
    <mergeCell ref="L154:N154"/>
    <mergeCell ref="O154:Q154"/>
    <mergeCell ref="C133:E133"/>
    <mergeCell ref="F133:H133"/>
    <mergeCell ref="I133:K133"/>
    <mergeCell ref="L133:N133"/>
    <mergeCell ref="O133:Q133"/>
    <mergeCell ref="C140:E140"/>
    <mergeCell ref="F140:H140"/>
    <mergeCell ref="I140:K140"/>
    <mergeCell ref="L140:N140"/>
    <mergeCell ref="O140:Q14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B91:B92"/>
    <mergeCell ref="B93:B94"/>
    <mergeCell ref="B101:B102"/>
    <mergeCell ref="B103:B104"/>
    <mergeCell ref="B105:B106"/>
    <mergeCell ref="B107:B108"/>
    <mergeCell ref="B73:B74"/>
    <mergeCell ref="B75:B76"/>
    <mergeCell ref="B77:B78"/>
    <mergeCell ref="B79:B80"/>
    <mergeCell ref="B87:B88"/>
    <mergeCell ref="B89:B90"/>
    <mergeCell ref="B54:B55"/>
    <mergeCell ref="B56:B57"/>
    <mergeCell ref="B59:B60"/>
    <mergeCell ref="B61:B62"/>
    <mergeCell ref="B63:B64"/>
    <mergeCell ref="B65:B66"/>
    <mergeCell ref="B35:B36"/>
    <mergeCell ref="B37:B38"/>
    <mergeCell ref="B39:B40"/>
    <mergeCell ref="B41:B42"/>
    <mergeCell ref="B50:B51"/>
    <mergeCell ref="B52:B53"/>
    <mergeCell ref="C12:D12"/>
    <mergeCell ref="F12:G12"/>
    <mergeCell ref="B26:B27"/>
    <mergeCell ref="B28:B29"/>
    <mergeCell ref="B30:B31"/>
    <mergeCell ref="B32:B33"/>
    <mergeCell ref="B5:L5"/>
    <mergeCell ref="C9:D9"/>
    <mergeCell ref="F9:G9"/>
    <mergeCell ref="C10:D10"/>
    <mergeCell ref="F10:G10"/>
    <mergeCell ref="C11:D11"/>
    <mergeCell ref="F11:G11"/>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topLeftCell="A43" zoomScale="70" zoomScaleNormal="70" zoomScaleSheetLayoutView="80" workbookViewId="0">
      <selection activeCell="K94" sqref="K45:K94"/>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315</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316</v>
      </c>
      <c r="C3" s="9"/>
      <c r="D3" s="10"/>
      <c r="E3" s="10"/>
      <c r="F3" s="10"/>
      <c r="G3" s="26"/>
      <c r="H3" s="117" t="s">
        <v>317</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475</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999"/>
      <c r="C5" s="1000"/>
      <c r="D5" s="1000"/>
      <c r="E5" s="1000"/>
      <c r="F5" s="1000"/>
      <c r="G5" s="1000"/>
      <c r="H5" s="1000"/>
      <c r="I5" s="949" t="s">
        <v>308</v>
      </c>
      <c r="J5" s="1000"/>
      <c r="K5" s="1000"/>
      <c r="L5" s="1000"/>
      <c r="M5" s="1000"/>
      <c r="N5" s="1000"/>
      <c r="O5" s="1000"/>
      <c r="P5" s="1000"/>
      <c r="Q5" s="1000"/>
      <c r="R5" s="1000"/>
      <c r="S5" s="1000"/>
      <c r="T5" s="1000"/>
      <c r="U5" s="1000"/>
      <c r="V5" s="1000"/>
      <c r="W5" s="1000"/>
      <c r="X5" s="1000"/>
      <c r="Y5" s="1000"/>
      <c r="Z5" s="1000"/>
      <c r="AA5" s="1000"/>
      <c r="AB5" s="1000"/>
      <c r="AC5" s="1000"/>
      <c r="AD5" s="1000"/>
      <c r="AE5" s="1000"/>
      <c r="AF5" s="1000"/>
      <c r="AG5" s="1000"/>
      <c r="AH5" s="1000"/>
      <c r="AI5" s="1000"/>
      <c r="AJ5" s="1000"/>
      <c r="AK5" s="1000"/>
      <c r="AL5" s="1000"/>
      <c r="AM5" s="1000"/>
      <c r="AN5" s="1000"/>
      <c r="AO5" s="1000"/>
      <c r="AP5" s="1000"/>
      <c r="AQ5" s="1000"/>
      <c r="AR5" s="1000"/>
      <c r="AS5" s="1000"/>
      <c r="AT5" s="1000"/>
      <c r="AU5" s="1000"/>
      <c r="AV5" s="1000"/>
      <c r="AW5" s="1000"/>
      <c r="AX5" s="1000"/>
      <c r="AY5" s="1000"/>
      <c r="AZ5" s="1000"/>
      <c r="BA5" s="1000"/>
      <c r="BB5" s="1000"/>
      <c r="BC5" s="1000"/>
      <c r="BD5" s="1000"/>
      <c r="BE5" s="1000"/>
      <c r="BF5" s="1000"/>
      <c r="BG5" s="1000"/>
      <c r="BH5" s="1000"/>
      <c r="BI5" s="1000"/>
      <c r="BJ5" s="1000"/>
      <c r="BK5" s="1000"/>
      <c r="BL5" s="1000"/>
      <c r="BM5" s="587"/>
      <c r="BN5" s="587"/>
      <c r="BO5" s="587"/>
      <c r="BP5" s="587"/>
      <c r="BQ5" s="587"/>
      <c r="BR5" s="587"/>
      <c r="BS5" s="587"/>
      <c r="BT5" s="587"/>
      <c r="BU5" s="587"/>
      <c r="BV5" s="587"/>
      <c r="BW5" s="587"/>
      <c r="BX5" s="587"/>
      <c r="BY5" s="587"/>
      <c r="BZ5" s="587"/>
      <c r="CA5" s="587"/>
      <c r="CB5" s="58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8"/>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314</v>
      </c>
      <c r="Q8" s="19"/>
      <c r="R8" s="19"/>
      <c r="S8" s="29"/>
      <c r="T8" s="19"/>
      <c r="U8" s="150"/>
      <c r="V8" s="19"/>
      <c r="W8" s="19"/>
      <c r="X8" s="19"/>
    </row>
    <row r="9" spans="2:119" ht="13.5" customHeight="1" x14ac:dyDescent="0.2">
      <c r="B9" s="15" t="s">
        <v>310</v>
      </c>
      <c r="C9" s="1643" t="str">
        <f>'building data'!C9</f>
        <v>807 E Main</v>
      </c>
      <c r="D9" s="1644"/>
      <c r="E9" s="30" t="s">
        <v>319</v>
      </c>
      <c r="F9" s="1622" t="str">
        <f>'building data'!H9</f>
        <v>English</v>
      </c>
      <c r="G9" s="1623"/>
      <c r="H9" s="19"/>
      <c r="I9" s="19"/>
      <c r="J9" s="230"/>
      <c r="K9" s="230"/>
      <c r="P9" s="19"/>
      <c r="Q9" s="19"/>
      <c r="R9" s="29"/>
      <c r="S9" s="19"/>
      <c r="T9" s="150"/>
      <c r="U9" s="19"/>
      <c r="V9" s="19"/>
      <c r="W9" s="19"/>
    </row>
    <row r="10" spans="2:119" ht="13.5" customHeight="1" x14ac:dyDescent="0.2">
      <c r="B10" s="16" t="s">
        <v>311</v>
      </c>
      <c r="C10" s="31">
        <f>'building data'!C10</f>
        <v>27332</v>
      </c>
      <c r="D10" s="32"/>
      <c r="E10" s="33" t="s">
        <v>320</v>
      </c>
      <c r="F10" s="1624" t="str">
        <f>'building data'!H10</f>
        <v>807 E Main St</v>
      </c>
      <c r="G10" s="1625"/>
      <c r="H10" s="19"/>
      <c r="I10" s="19"/>
      <c r="J10" s="230"/>
      <c r="K10" s="230"/>
      <c r="P10" s="19"/>
      <c r="Q10" s="19"/>
      <c r="R10" s="29"/>
      <c r="S10" s="19"/>
      <c r="T10" s="150"/>
      <c r="U10" s="19"/>
      <c r="V10" s="19"/>
      <c r="W10" s="19"/>
    </row>
    <row r="11" spans="2:119" ht="13.5" customHeight="1" x14ac:dyDescent="0.2">
      <c r="B11" s="16" t="s">
        <v>312</v>
      </c>
      <c r="C11" s="31" t="str">
        <f>'building data'!C11</f>
        <v>Ted Bleecker</v>
      </c>
      <c r="D11" s="32"/>
      <c r="E11" s="33" t="s">
        <v>321</v>
      </c>
      <c r="F11" s="1624" t="str">
        <f>'building data'!H11</f>
        <v>USA</v>
      </c>
      <c r="G11" s="1625"/>
      <c r="H11" s="19"/>
      <c r="I11" s="19"/>
      <c r="J11" s="230"/>
      <c r="K11" s="230"/>
      <c r="P11" s="19"/>
      <c r="Q11" s="19"/>
      <c r="R11" s="29"/>
      <c r="S11" s="19"/>
      <c r="T11" s="19"/>
      <c r="U11" s="19"/>
      <c r="V11" s="19"/>
      <c r="W11" s="19"/>
    </row>
    <row r="12" spans="2:119" ht="13.5" customHeight="1" thickBot="1" x14ac:dyDescent="0.25">
      <c r="B12" s="17" t="s">
        <v>313</v>
      </c>
      <c r="C12" s="34">
        <f ca="1">'building data'!C12</f>
        <v>42649</v>
      </c>
      <c r="D12" s="35"/>
      <c r="E12" s="36" t="s">
        <v>322</v>
      </c>
      <c r="F12" s="1626" t="str">
        <f>'building data'!H12</f>
        <v>ASCE/SEI 7-10</v>
      </c>
      <c r="G12" s="1627"/>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399</v>
      </c>
      <c r="C15" s="178"/>
      <c r="D15" s="178"/>
      <c r="E15" s="178"/>
      <c r="F15" s="178"/>
      <c r="G15" s="178"/>
      <c r="H15" s="178"/>
      <c r="I15" s="178"/>
      <c r="J15" s="178"/>
      <c r="K15" s="178"/>
      <c r="L15" s="19"/>
      <c r="M15" s="19"/>
      <c r="N15" s="19"/>
      <c r="V15" s="40" t="s">
        <v>451</v>
      </c>
    </row>
    <row r="16" spans="2:119" ht="13.5" customHeight="1" thickTop="1" thickBot="1" x14ac:dyDescent="0.25">
      <c r="B16" s="1634" t="s">
        <v>400</v>
      </c>
      <c r="C16" s="1635"/>
      <c r="D16" s="1635"/>
      <c r="E16" s="1635"/>
      <c r="F16" s="1635"/>
      <c r="G16" s="1635"/>
      <c r="H16" s="1635"/>
      <c r="I16" s="1635"/>
      <c r="J16" s="1636"/>
      <c r="K16" s="1077"/>
      <c r="L16" s="19"/>
      <c r="M16" s="19"/>
      <c r="N16" s="23"/>
      <c r="O16" s="18"/>
      <c r="P16" s="18"/>
      <c r="Q16" s="18"/>
      <c r="R16" s="18"/>
      <c r="S16" s="18"/>
      <c r="T16" s="18"/>
      <c r="U16" s="18"/>
      <c r="V16" s="1544" t="s">
        <v>452</v>
      </c>
      <c r="W16" s="1544"/>
      <c r="X16" s="1544"/>
      <c r="Y16" s="1544"/>
      <c r="Z16" s="1544"/>
      <c r="AA16" s="1544"/>
      <c r="AB16" s="1544"/>
      <c r="AC16" s="1544"/>
      <c r="AD16" s="1544"/>
      <c r="AE16" s="1544"/>
      <c r="AF16" s="1544"/>
      <c r="AG16" s="1544"/>
      <c r="AH16" s="1544"/>
      <c r="AI16" s="1544"/>
      <c r="AJ16" s="1544"/>
      <c r="AK16" s="1544"/>
      <c r="AL16" s="1544"/>
      <c r="AM16" s="1544"/>
      <c r="AN16" s="1544"/>
      <c r="AO16" s="1544"/>
      <c r="AP16" s="1544"/>
      <c r="AQ16" s="1544"/>
      <c r="AR16" s="1544"/>
      <c r="AS16" s="1544"/>
      <c r="AT16" s="1544"/>
      <c r="AU16" s="1544"/>
      <c r="AV16" s="1544"/>
      <c r="AW16" s="1544"/>
      <c r="AX16" s="1544"/>
      <c r="AY16" s="1544"/>
      <c r="AZ16" s="1544"/>
      <c r="BA16" s="1544"/>
      <c r="BB16" s="1544"/>
      <c r="BC16" s="1544"/>
      <c r="BD16" s="1544"/>
      <c r="BE16" s="1544"/>
      <c r="BF16" s="18"/>
      <c r="BG16" s="18"/>
      <c r="BH16" s="18"/>
      <c r="BI16" s="18"/>
    </row>
    <row r="17" spans="2:119" ht="13.5" customHeight="1" x14ac:dyDescent="0.2">
      <c r="B17" s="959"/>
      <c r="C17" s="327"/>
      <c r="D17" s="327"/>
      <c r="E17" s="327"/>
      <c r="F17" s="327"/>
      <c r="G17" s="327"/>
      <c r="H17" s="327"/>
      <c r="I17" s="327"/>
      <c r="J17" s="960"/>
      <c r="K17" s="1078"/>
      <c r="L17" s="41"/>
      <c r="M17" s="19"/>
      <c r="N17" s="23"/>
      <c r="O17" s="18"/>
      <c r="P17" s="18"/>
      <c r="Q17" s="18"/>
      <c r="R17" s="18"/>
      <c r="S17" s="18"/>
      <c r="T17" s="18"/>
      <c r="U17" s="18"/>
      <c r="V17" s="1544"/>
      <c r="W17" s="1544"/>
      <c r="X17" s="1544"/>
      <c r="Y17" s="1544"/>
      <c r="Z17" s="1544"/>
      <c r="AA17" s="1544"/>
      <c r="AB17" s="1544"/>
      <c r="AC17" s="1544"/>
      <c r="AD17" s="1544"/>
      <c r="AE17" s="1544"/>
      <c r="AF17" s="1544"/>
      <c r="AG17" s="1544"/>
      <c r="AH17" s="1544"/>
      <c r="AI17" s="1544"/>
      <c r="AJ17" s="1544"/>
      <c r="AK17" s="1544"/>
      <c r="AL17" s="1544"/>
      <c r="AM17" s="1544"/>
      <c r="AN17" s="1544"/>
      <c r="AO17" s="1544"/>
      <c r="AP17" s="1544"/>
      <c r="AQ17" s="1544"/>
      <c r="AR17" s="1544"/>
      <c r="AS17" s="1544"/>
      <c r="AT17" s="1544"/>
      <c r="AU17" s="1544"/>
      <c r="AV17" s="1544"/>
      <c r="AW17" s="1544"/>
      <c r="AX17" s="1544"/>
      <c r="AY17" s="1544"/>
      <c r="AZ17" s="1544"/>
      <c r="BA17" s="1544"/>
      <c r="BB17" s="1544"/>
      <c r="BC17" s="1544"/>
      <c r="BD17" s="1544"/>
      <c r="BE17" s="1544"/>
      <c r="BF17" s="18"/>
      <c r="BG17" s="18"/>
      <c r="BH17" s="18"/>
      <c r="BI17" s="18"/>
    </row>
    <row r="18" spans="2:119" ht="13.5" customHeight="1" x14ac:dyDescent="0.2">
      <c r="B18" s="961" t="s">
        <v>401</v>
      </c>
      <c r="C18" s="721">
        <f>C21/F21</f>
        <v>10.827189451773217</v>
      </c>
      <c r="D18" s="43" t="s">
        <v>3</v>
      </c>
      <c r="E18" s="541" t="s">
        <v>403</v>
      </c>
      <c r="F18" s="427">
        <v>5</v>
      </c>
      <c r="G18" s="43" t="s">
        <v>407</v>
      </c>
      <c r="H18" s="541" t="s">
        <v>408</v>
      </c>
      <c r="I18" s="427">
        <v>67.900000000000006</v>
      </c>
      <c r="J18" s="962" t="s">
        <v>407</v>
      </c>
      <c r="K18" s="43"/>
      <c r="L18" s="41"/>
      <c r="M18" s="19"/>
      <c r="N18" s="23"/>
      <c r="O18" s="18"/>
      <c r="P18" s="18"/>
      <c r="Q18" s="18"/>
      <c r="R18" s="18"/>
      <c r="S18" s="18"/>
      <c r="T18" s="18"/>
      <c r="U18" s="18"/>
      <c r="V18" s="1544"/>
      <c r="W18" s="1544"/>
      <c r="X18" s="1544"/>
      <c r="Y18" s="1544"/>
      <c r="Z18" s="1544"/>
      <c r="AA18" s="1544"/>
      <c r="AB18" s="1544"/>
      <c r="AC18" s="1544"/>
      <c r="AD18" s="1544"/>
      <c r="AE18" s="1544"/>
      <c r="AF18" s="1544"/>
      <c r="AG18" s="1544"/>
      <c r="AH18" s="1544"/>
      <c r="AI18" s="1544"/>
      <c r="AJ18" s="1544"/>
      <c r="AK18" s="1544"/>
      <c r="AL18" s="1544"/>
      <c r="AM18" s="1544"/>
      <c r="AN18" s="1544"/>
      <c r="AO18" s="1544"/>
      <c r="AP18" s="1544"/>
      <c r="AQ18" s="1544"/>
      <c r="AR18" s="1544"/>
      <c r="AS18" s="1544"/>
      <c r="AT18" s="1544"/>
      <c r="AU18" s="1544"/>
      <c r="AV18" s="1544"/>
      <c r="AW18" s="1544"/>
      <c r="AX18" s="1544"/>
      <c r="AY18" s="1544"/>
      <c r="AZ18" s="1544"/>
      <c r="BA18" s="1544"/>
      <c r="BB18" s="1544"/>
      <c r="BC18" s="1544"/>
      <c r="BD18" s="1544"/>
      <c r="BE18" s="1544"/>
      <c r="BF18" s="18"/>
      <c r="BG18" s="18"/>
      <c r="BH18" s="18"/>
      <c r="BI18" s="18"/>
    </row>
    <row r="19" spans="2:119" ht="13.5" customHeight="1" x14ac:dyDescent="0.2">
      <c r="B19" s="961" t="s">
        <v>306</v>
      </c>
      <c r="C19" s="721">
        <f>C22/F21</f>
        <v>4.0422265493164256</v>
      </c>
      <c r="D19" s="43" t="s">
        <v>3</v>
      </c>
      <c r="E19" s="44" t="s">
        <v>404</v>
      </c>
      <c r="F19" s="721">
        <f>'1-Eng Inputs'!B16*0.0254</f>
        <v>1.0007599999999999</v>
      </c>
      <c r="G19" s="19" t="s">
        <v>0</v>
      </c>
      <c r="H19" s="44" t="s">
        <v>409</v>
      </c>
      <c r="I19" s="413">
        <v>0.23</v>
      </c>
      <c r="J19" s="963" t="s">
        <v>0</v>
      </c>
      <c r="K19" s="43"/>
      <c r="L19" s="41"/>
      <c r="M19" s="19"/>
      <c r="N19" s="23"/>
      <c r="O19" s="18"/>
      <c r="P19" s="18"/>
      <c r="Q19" s="18"/>
      <c r="R19" s="18"/>
      <c r="S19" s="18"/>
      <c r="T19" s="18"/>
      <c r="U19" s="18"/>
      <c r="V19" s="1544"/>
      <c r="W19" s="1544"/>
      <c r="X19" s="1544"/>
      <c r="Y19" s="1544"/>
      <c r="Z19" s="1544"/>
      <c r="AA19" s="1544"/>
      <c r="AB19" s="1544"/>
      <c r="AC19" s="1544"/>
      <c r="AD19" s="1544"/>
      <c r="AE19" s="1544"/>
      <c r="AF19" s="1544"/>
      <c r="AG19" s="1544"/>
      <c r="AH19" s="1544"/>
      <c r="AI19" s="1544"/>
      <c r="AJ19" s="1544"/>
      <c r="AK19" s="1544"/>
      <c r="AL19" s="1544"/>
      <c r="AM19" s="1544"/>
      <c r="AN19" s="1544"/>
      <c r="AO19" s="1544"/>
      <c r="AP19" s="1544"/>
      <c r="AQ19" s="1544"/>
      <c r="AR19" s="1544"/>
      <c r="AS19" s="1544"/>
      <c r="AT19" s="1544"/>
      <c r="AU19" s="1544"/>
      <c r="AV19" s="1544"/>
      <c r="AW19" s="1544"/>
      <c r="AX19" s="1544"/>
      <c r="AY19" s="1544"/>
      <c r="AZ19" s="1544"/>
      <c r="BA19" s="1544"/>
      <c r="BB19" s="1544"/>
      <c r="BC19" s="1544"/>
      <c r="BD19" s="1544"/>
      <c r="BE19" s="1544"/>
      <c r="BF19" s="18"/>
      <c r="BG19" s="18"/>
      <c r="BH19" s="18"/>
      <c r="BI19" s="18"/>
    </row>
    <row r="20" spans="2:119" ht="13.5" customHeight="1" x14ac:dyDescent="0.2">
      <c r="B20" s="961" t="s">
        <v>402</v>
      </c>
      <c r="C20" s="414">
        <f>C18+C19</f>
        <v>14.869416001089643</v>
      </c>
      <c r="D20" s="43" t="s">
        <v>3</v>
      </c>
      <c r="E20" s="44" t="s">
        <v>405</v>
      </c>
      <c r="F20" s="721">
        <f>'1-Eng Inputs'!B15*0.0254</f>
        <v>1.9926299999999999</v>
      </c>
      <c r="G20" s="19" t="s">
        <v>0</v>
      </c>
      <c r="H20" s="44" t="s">
        <v>410</v>
      </c>
      <c r="I20" s="721">
        <f>F20</f>
        <v>1.9926299999999999</v>
      </c>
      <c r="J20" s="963" t="s">
        <v>0</v>
      </c>
      <c r="K20" s="43"/>
      <c r="L20" s="47"/>
      <c r="M20" s="19"/>
      <c r="N20" s="23"/>
      <c r="O20" s="18"/>
      <c r="P20" s="18"/>
      <c r="Q20" s="18"/>
      <c r="R20" s="18"/>
      <c r="S20" s="18"/>
      <c r="T20" s="18"/>
      <c r="U20" s="18"/>
      <c r="V20" s="1544"/>
      <c r="W20" s="1544"/>
      <c r="X20" s="1544"/>
      <c r="Y20" s="1544"/>
      <c r="Z20" s="1544"/>
      <c r="AA20" s="1544"/>
      <c r="AB20" s="1544"/>
      <c r="AC20" s="1544"/>
      <c r="AD20" s="1544"/>
      <c r="AE20" s="1544"/>
      <c r="AF20" s="1544"/>
      <c r="AG20" s="1544"/>
      <c r="AH20" s="1544"/>
      <c r="AI20" s="1544"/>
      <c r="AJ20" s="1544"/>
      <c r="AK20" s="1544"/>
      <c r="AL20" s="1544"/>
      <c r="AM20" s="1544"/>
      <c r="AN20" s="1544"/>
      <c r="AO20" s="1544"/>
      <c r="AP20" s="1544"/>
      <c r="AQ20" s="1544"/>
      <c r="AR20" s="1544"/>
      <c r="AS20" s="1544"/>
      <c r="AT20" s="1544"/>
      <c r="AU20" s="1544"/>
      <c r="AV20" s="1544"/>
      <c r="AW20" s="1544"/>
      <c r="AX20" s="1544"/>
      <c r="AY20" s="1544"/>
      <c r="AZ20" s="1544"/>
      <c r="BA20" s="1544"/>
      <c r="BB20" s="1544"/>
      <c r="BC20" s="1544"/>
      <c r="BD20" s="1544"/>
      <c r="BE20" s="1544"/>
      <c r="BF20" s="18"/>
      <c r="BG20" s="18"/>
      <c r="BH20" s="18"/>
      <c r="BI20" s="18"/>
    </row>
    <row r="21" spans="2:119" ht="13.5" customHeight="1" x14ac:dyDescent="0.2">
      <c r="B21" s="964" t="s">
        <v>168</v>
      </c>
      <c r="C21" s="721">
        <f>'1-Eng Inputs'!B17*0.453592</f>
        <v>21.5909792</v>
      </c>
      <c r="D21" s="43" t="s">
        <v>169</v>
      </c>
      <c r="E21" s="44" t="s">
        <v>406</v>
      </c>
      <c r="F21" s="414">
        <f>F19*F20</f>
        <v>1.9941443987999996</v>
      </c>
      <c r="G21" s="19" t="s">
        <v>1</v>
      </c>
      <c r="H21" s="44" t="s">
        <v>411</v>
      </c>
      <c r="I21" s="414">
        <f>I20*I19</f>
        <v>0.45830490000000002</v>
      </c>
      <c r="J21" s="963" t="s">
        <v>1</v>
      </c>
      <c r="K21" s="43"/>
      <c r="L21" s="47"/>
      <c r="M21" s="19"/>
      <c r="N21" s="23"/>
      <c r="O21" s="1441" t="str">
        <f>M27</f>
        <v>setback a</v>
      </c>
      <c r="P21" s="1442"/>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441" t="str">
        <f>M27</f>
        <v>setback a</v>
      </c>
      <c r="BK21" s="1442"/>
      <c r="BO21" s="19"/>
      <c r="BP21" s="23"/>
      <c r="BQ21" s="1441" t="str">
        <f>BO27</f>
        <v>setback a</v>
      </c>
      <c r="BR21" s="1442"/>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441" t="str">
        <f>BO27</f>
        <v>setback a</v>
      </c>
      <c r="DM21" s="1442"/>
    </row>
    <row r="22" spans="2:119" ht="13.5" customHeight="1" x14ac:dyDescent="0.2">
      <c r="B22" s="964" t="s">
        <v>307</v>
      </c>
      <c r="C22" s="721">
        <f>((SUM('2-Quote Inputs'!K7:K8)*2)+IF('2-Quote Inputs'!G31="YES",'2-Quote Inputs'!K9,0)+IF('1-Eng Inputs'!B32="YES",'2-Quote Inputs'!K15,0))*0.453592</f>
        <v>8.0607834320000009</v>
      </c>
      <c r="D22" s="43" t="s">
        <v>169</v>
      </c>
      <c r="E22" s="19"/>
      <c r="F22" s="19"/>
      <c r="G22" s="19"/>
      <c r="H22" s="19"/>
      <c r="I22" s="19"/>
      <c r="J22" s="965"/>
      <c r="K22" s="19"/>
      <c r="L22" s="152"/>
      <c r="M22" s="19"/>
      <c r="N22" s="23"/>
      <c r="O22" s="1441"/>
      <c r="P22" s="1442"/>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441"/>
      <c r="BK22" s="1442"/>
      <c r="BO22" s="19"/>
      <c r="BP22" s="23"/>
      <c r="BQ22" s="1441"/>
      <c r="BR22" s="1442"/>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441"/>
      <c r="DM22" s="1442"/>
    </row>
    <row r="23" spans="2:119" ht="13.5" customHeight="1" thickBot="1" x14ac:dyDescent="0.25">
      <c r="B23" s="966"/>
      <c r="C23" s="967"/>
      <c r="D23" s="968"/>
      <c r="E23" s="968"/>
      <c r="F23" s="967"/>
      <c r="G23" s="967"/>
      <c r="H23" s="967"/>
      <c r="I23" s="967"/>
      <c r="J23" s="969"/>
      <c r="K23" s="43"/>
      <c r="L23" s="47"/>
      <c r="M23" s="19"/>
      <c r="N23" s="19"/>
      <c r="O23" s="1441"/>
      <c r="P23" s="1442"/>
      <c r="Q23" s="333"/>
      <c r="R23" s="334"/>
      <c r="S23" s="334"/>
      <c r="T23" s="334"/>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6"/>
      <c r="BJ23" s="1441"/>
      <c r="BK23" s="1442"/>
      <c r="BL23" s="180"/>
      <c r="BO23" s="19"/>
      <c r="BP23" s="19"/>
      <c r="BQ23" s="1441"/>
      <c r="BR23" s="1442"/>
      <c r="BS23" s="333"/>
      <c r="BT23" s="334"/>
      <c r="BU23" s="334"/>
      <c r="BV23" s="334"/>
      <c r="BW23" s="335"/>
      <c r="BX23" s="335"/>
      <c r="BY23" s="335"/>
      <c r="BZ23" s="335"/>
      <c r="CA23" s="335"/>
      <c r="CB23" s="335"/>
      <c r="CC23" s="335"/>
      <c r="CD23" s="335"/>
      <c r="CE23" s="335"/>
      <c r="CF23" s="335"/>
      <c r="CG23" s="335"/>
      <c r="CH23" s="335"/>
      <c r="CI23" s="335"/>
      <c r="CJ23" s="335"/>
      <c r="CK23" s="335"/>
      <c r="CL23" s="335"/>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6"/>
      <c r="DL23" s="1441"/>
      <c r="DM23" s="1442"/>
      <c r="DN23" s="180"/>
    </row>
    <row r="24" spans="2:119" ht="13.5" customHeight="1" thickBot="1" x14ac:dyDescent="0.25">
      <c r="B24" s="1637" t="s">
        <v>412</v>
      </c>
      <c r="C24" s="1638"/>
      <c r="D24" s="1638"/>
      <c r="E24" s="1638"/>
      <c r="F24" s="1638"/>
      <c r="G24" s="1638"/>
      <c r="H24" s="1638"/>
      <c r="I24" s="1638"/>
      <c r="J24" s="1639"/>
      <c r="K24" s="1077"/>
      <c r="L24" s="47"/>
      <c r="M24" s="21"/>
      <c r="N24" s="21"/>
      <c r="O24" s="1441"/>
      <c r="P24" s="1442"/>
      <c r="Q24" s="333"/>
      <c r="R24" s="334"/>
      <c r="S24" s="334"/>
      <c r="T24" s="334"/>
      <c r="U24" s="335"/>
      <c r="V24" s="1443" t="s">
        <v>346</v>
      </c>
      <c r="W24" s="1443"/>
      <c r="X24" s="1443"/>
      <c r="Y24" s="1443"/>
      <c r="Z24" s="1443"/>
      <c r="AA24" s="1443"/>
      <c r="AB24" s="1443"/>
      <c r="AC24" s="1443"/>
      <c r="AD24" s="1443"/>
      <c r="AE24" s="1443"/>
      <c r="AF24" s="1443"/>
      <c r="AG24" s="1443"/>
      <c r="AH24" s="1443"/>
      <c r="AI24" s="1443"/>
      <c r="AJ24" s="1443"/>
      <c r="AK24" s="1443"/>
      <c r="AL24" s="1443"/>
      <c r="AM24" s="1443"/>
      <c r="AN24" s="1443"/>
      <c r="AO24" s="1443"/>
      <c r="AP24" s="1443"/>
      <c r="AQ24" s="1443"/>
      <c r="AR24" s="1443"/>
      <c r="AS24" s="1443"/>
      <c r="AT24" s="1443"/>
      <c r="AU24" s="1443"/>
      <c r="AV24" s="1443"/>
      <c r="AW24" s="1443"/>
      <c r="AX24" s="1443"/>
      <c r="AY24" s="1443"/>
      <c r="AZ24" s="1443"/>
      <c r="BA24" s="1443"/>
      <c r="BB24" s="1443"/>
      <c r="BC24" s="1443"/>
      <c r="BD24" s="1443"/>
      <c r="BE24" s="1443"/>
      <c r="BF24" s="335"/>
      <c r="BG24" s="335"/>
      <c r="BH24" s="335"/>
      <c r="BI24" s="336"/>
      <c r="BJ24" s="1441"/>
      <c r="BK24" s="1442"/>
      <c r="BL24" s="180"/>
      <c r="BO24" s="21"/>
      <c r="BP24" s="21"/>
      <c r="BQ24" s="1441"/>
      <c r="BR24" s="1442"/>
      <c r="BS24" s="333"/>
      <c r="BT24" s="334"/>
      <c r="BU24" s="334"/>
      <c r="BV24" s="334"/>
      <c r="BW24" s="335"/>
      <c r="BX24" s="1443" t="s">
        <v>349</v>
      </c>
      <c r="BY24" s="1443"/>
      <c r="BZ24" s="1443"/>
      <c r="CA24" s="1443"/>
      <c r="CB24" s="1443"/>
      <c r="CC24" s="1443"/>
      <c r="CD24" s="1443"/>
      <c r="CE24" s="1443"/>
      <c r="CF24" s="1443"/>
      <c r="CG24" s="1443"/>
      <c r="CH24" s="1443"/>
      <c r="CI24" s="1443"/>
      <c r="CJ24" s="1443"/>
      <c r="CK24" s="1443"/>
      <c r="CL24" s="1443"/>
      <c r="CM24" s="1443"/>
      <c r="CN24" s="1443"/>
      <c r="CO24" s="1443"/>
      <c r="CP24" s="1443"/>
      <c r="CQ24" s="1443"/>
      <c r="CR24" s="1443"/>
      <c r="CS24" s="1443"/>
      <c r="CT24" s="1443"/>
      <c r="CU24" s="1443"/>
      <c r="CV24" s="1443"/>
      <c r="CW24" s="1443"/>
      <c r="CX24" s="1443"/>
      <c r="CY24" s="1443"/>
      <c r="CZ24" s="1443"/>
      <c r="DA24" s="1443"/>
      <c r="DB24" s="1443"/>
      <c r="DC24" s="1443"/>
      <c r="DD24" s="1443"/>
      <c r="DE24" s="1443"/>
      <c r="DF24" s="1443"/>
      <c r="DG24" s="1443"/>
      <c r="DH24" s="335"/>
      <c r="DI24" s="335"/>
      <c r="DJ24" s="335"/>
      <c r="DK24" s="336"/>
      <c r="DL24" s="1441"/>
      <c r="DM24" s="1442"/>
      <c r="DN24" s="180"/>
    </row>
    <row r="25" spans="2:119" ht="13.5" customHeight="1" x14ac:dyDescent="0.2">
      <c r="B25" s="49" t="s">
        <v>413</v>
      </c>
      <c r="C25" s="415">
        <f>VLOOKUP($F$11,$C$104:$F$119,3,FALSE)</f>
        <v>1.0384922145487721</v>
      </c>
      <c r="D25" s="50" t="s">
        <v>2</v>
      </c>
      <c r="E25" s="50"/>
      <c r="F25" s="50"/>
      <c r="G25" s="50"/>
      <c r="H25" s="50"/>
      <c r="I25" s="50"/>
      <c r="J25" s="51"/>
      <c r="K25" s="43"/>
      <c r="L25" s="47"/>
      <c r="M25" s="19"/>
      <c r="N25" s="19"/>
      <c r="O25" s="1441"/>
      <c r="P25" s="1442"/>
      <c r="Q25" s="333"/>
      <c r="R25" s="334"/>
      <c r="S25" s="334"/>
      <c r="T25" s="334"/>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6"/>
      <c r="BJ25" s="1441"/>
      <c r="BK25" s="1442"/>
      <c r="BL25" s="180"/>
      <c r="BO25" s="19"/>
      <c r="BP25" s="19"/>
      <c r="BQ25" s="1441"/>
      <c r="BR25" s="1442"/>
      <c r="BS25" s="333"/>
      <c r="BT25" s="334"/>
      <c r="BU25" s="334"/>
      <c r="BV25" s="334"/>
      <c r="BW25" s="335"/>
      <c r="BX25" s="335"/>
      <c r="BY25" s="335"/>
      <c r="BZ25" s="335"/>
      <c r="CA25" s="335"/>
      <c r="CB25" s="335"/>
      <c r="CC25" s="335"/>
      <c r="CD25" s="335"/>
      <c r="CE25" s="335"/>
      <c r="CF25" s="335"/>
      <c r="CG25" s="335"/>
      <c r="CH25" s="335"/>
      <c r="CI25" s="335"/>
      <c r="CJ25" s="335"/>
      <c r="CK25" s="335"/>
      <c r="CL25" s="335"/>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6"/>
      <c r="DL25" s="1441"/>
      <c r="DM25" s="1442"/>
      <c r="DN25" s="180"/>
    </row>
    <row r="26" spans="2:119" ht="13.5" customHeight="1" thickBot="1" x14ac:dyDescent="0.25">
      <c r="B26" s="42" t="s">
        <v>379</v>
      </c>
      <c r="C26" s="504" t="str">
        <f>VLOOKUP($F$11,$C$104:$F$119,4,FALSE)</f>
        <v>Exp. B</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6"/>
      <c r="D27" s="46"/>
      <c r="E27" s="46"/>
      <c r="F27" s="46"/>
      <c r="G27" s="46"/>
      <c r="H27" s="46"/>
      <c r="I27" s="46"/>
      <c r="J27" s="329"/>
      <c r="K27" s="46"/>
      <c r="L27" s="19"/>
      <c r="M27" s="1444" t="s">
        <v>445</v>
      </c>
      <c r="N27" s="52"/>
      <c r="O27" s="363"/>
      <c r="P27" s="364"/>
      <c r="Q27" s="1446" t="s">
        <v>447</v>
      </c>
      <c r="R27" s="1447"/>
      <c r="S27" s="1447"/>
      <c r="T27" s="1447"/>
      <c r="U27" s="1447"/>
      <c r="V27" s="1447"/>
      <c r="W27" s="1447"/>
      <c r="X27" s="1447"/>
      <c r="Y27" s="1447"/>
      <c r="Z27" s="1447"/>
      <c r="AA27" s="1447"/>
      <c r="AB27" s="1447"/>
      <c r="AC27" s="1447"/>
      <c r="AD27" s="1447"/>
      <c r="AE27" s="1447"/>
      <c r="AF27" s="1447"/>
      <c r="AG27" s="1447"/>
      <c r="AH27" s="1447"/>
      <c r="AI27" s="1447"/>
      <c r="AJ27" s="1447"/>
      <c r="AK27" s="1447"/>
      <c r="AL27" s="1447"/>
      <c r="AM27" s="1447"/>
      <c r="AN27" s="1447"/>
      <c r="AO27" s="1447"/>
      <c r="AP27" s="1447"/>
      <c r="AQ27" s="1447"/>
      <c r="AR27" s="1447"/>
      <c r="AS27" s="1447"/>
      <c r="AT27" s="1447"/>
      <c r="AU27" s="1447"/>
      <c r="AV27" s="1447"/>
      <c r="AW27" s="1447"/>
      <c r="AX27" s="1447"/>
      <c r="AY27" s="1447"/>
      <c r="AZ27" s="1447"/>
      <c r="BA27" s="1447"/>
      <c r="BB27" s="1447"/>
      <c r="BC27" s="1447"/>
      <c r="BD27" s="1447"/>
      <c r="BE27" s="1447"/>
      <c r="BF27" s="1447"/>
      <c r="BG27" s="1447"/>
      <c r="BH27" s="1447"/>
      <c r="BI27" s="1448"/>
      <c r="BJ27" s="365"/>
      <c r="BK27" s="366"/>
      <c r="BL27" s="359"/>
      <c r="BM27" s="484"/>
      <c r="BO27" s="1444" t="s">
        <v>445</v>
      </c>
      <c r="BP27" s="52"/>
      <c r="BQ27" s="363"/>
      <c r="BR27" s="364"/>
      <c r="BS27" s="1446" t="s">
        <v>447</v>
      </c>
      <c r="BT27" s="1447"/>
      <c r="BU27" s="1447"/>
      <c r="BV27" s="1447"/>
      <c r="BW27" s="1447"/>
      <c r="BX27" s="1447"/>
      <c r="BY27" s="1447"/>
      <c r="BZ27" s="1447"/>
      <c r="CA27" s="1447"/>
      <c r="CB27" s="1447"/>
      <c r="CC27" s="1447"/>
      <c r="CD27" s="1447"/>
      <c r="CE27" s="1447"/>
      <c r="CF27" s="1447"/>
      <c r="CG27" s="1447"/>
      <c r="CH27" s="1447"/>
      <c r="CI27" s="1447"/>
      <c r="CJ27" s="1447"/>
      <c r="CK27" s="1447"/>
      <c r="CL27" s="1447"/>
      <c r="CM27" s="1447"/>
      <c r="CN27" s="1447"/>
      <c r="CO27" s="1447"/>
      <c r="CP27" s="1447"/>
      <c r="CQ27" s="1447"/>
      <c r="CR27" s="1447"/>
      <c r="CS27" s="1447"/>
      <c r="CT27" s="1447"/>
      <c r="CU27" s="1447"/>
      <c r="CV27" s="1447"/>
      <c r="CW27" s="1447"/>
      <c r="CX27" s="1447"/>
      <c r="CY27" s="1447"/>
      <c r="CZ27" s="1447"/>
      <c r="DA27" s="1447"/>
      <c r="DB27" s="1447"/>
      <c r="DC27" s="1447"/>
      <c r="DD27" s="1447"/>
      <c r="DE27" s="1447"/>
      <c r="DF27" s="1447"/>
      <c r="DG27" s="1447"/>
      <c r="DH27" s="1447"/>
      <c r="DI27" s="1447"/>
      <c r="DJ27" s="1447"/>
      <c r="DK27" s="1448"/>
      <c r="DL27" s="365"/>
      <c r="DM27" s="366"/>
      <c r="DN27" s="359"/>
      <c r="DO27" s="484"/>
    </row>
    <row r="28" spans="2:119" ht="13.5" customHeight="1" thickBot="1" x14ac:dyDescent="0.25">
      <c r="B28" s="1637" t="s">
        <v>414</v>
      </c>
      <c r="C28" s="1638"/>
      <c r="D28" s="1638"/>
      <c r="E28" s="1638"/>
      <c r="F28" s="1638"/>
      <c r="G28" s="1638"/>
      <c r="H28" s="1638"/>
      <c r="I28" s="1638"/>
      <c r="J28" s="1639"/>
      <c r="K28" s="1077"/>
      <c r="M28" s="1445"/>
      <c r="N28" s="52"/>
      <c r="O28" s="367"/>
      <c r="P28" s="154"/>
      <c r="Q28" s="1449"/>
      <c r="R28" s="1750"/>
      <c r="S28" s="1750"/>
      <c r="T28" s="1750"/>
      <c r="U28" s="1750"/>
      <c r="V28" s="1750"/>
      <c r="W28" s="1750"/>
      <c r="X28" s="1750"/>
      <c r="Y28" s="1750"/>
      <c r="Z28" s="1750"/>
      <c r="AA28" s="1750"/>
      <c r="AB28" s="1750"/>
      <c r="AC28" s="1750"/>
      <c r="AD28" s="1750"/>
      <c r="AE28" s="1750"/>
      <c r="AF28" s="1750"/>
      <c r="AG28" s="1750"/>
      <c r="AH28" s="1750"/>
      <c r="AI28" s="1750"/>
      <c r="AJ28" s="1750"/>
      <c r="AK28" s="1750"/>
      <c r="AL28" s="1750"/>
      <c r="AM28" s="1750"/>
      <c r="AN28" s="1750"/>
      <c r="AO28" s="1750"/>
      <c r="AP28" s="1750"/>
      <c r="AQ28" s="1750"/>
      <c r="AR28" s="1750"/>
      <c r="AS28" s="1750"/>
      <c r="AT28" s="1750"/>
      <c r="AU28" s="1750"/>
      <c r="AV28" s="1750"/>
      <c r="AW28" s="1750"/>
      <c r="AX28" s="1750"/>
      <c r="AY28" s="1750"/>
      <c r="AZ28" s="1750"/>
      <c r="BA28" s="1750"/>
      <c r="BB28" s="1750"/>
      <c r="BC28" s="1750"/>
      <c r="BD28" s="1750"/>
      <c r="BE28" s="1750"/>
      <c r="BF28" s="1750"/>
      <c r="BG28" s="1750"/>
      <c r="BH28" s="1750"/>
      <c r="BI28" s="1751"/>
      <c r="BJ28" s="48"/>
      <c r="BK28" s="368"/>
      <c r="BL28" s="360"/>
      <c r="BM28" s="485"/>
      <c r="BO28" s="1445"/>
      <c r="BP28" s="52"/>
      <c r="BQ28" s="367"/>
      <c r="BR28" s="154"/>
      <c r="BS28" s="1449"/>
      <c r="BT28" s="1750"/>
      <c r="BU28" s="1750"/>
      <c r="BV28" s="1750"/>
      <c r="BW28" s="1750"/>
      <c r="BX28" s="1750"/>
      <c r="BY28" s="1750"/>
      <c r="BZ28" s="1750"/>
      <c r="CA28" s="1750"/>
      <c r="CB28" s="1750"/>
      <c r="CC28" s="1750"/>
      <c r="CD28" s="1750"/>
      <c r="CE28" s="1750"/>
      <c r="CF28" s="1750"/>
      <c r="CG28" s="1750"/>
      <c r="CH28" s="1750"/>
      <c r="CI28" s="1750"/>
      <c r="CJ28" s="1750"/>
      <c r="CK28" s="1750"/>
      <c r="CL28" s="1750"/>
      <c r="CM28" s="1750"/>
      <c r="CN28" s="1750"/>
      <c r="CO28" s="1750"/>
      <c r="CP28" s="1750"/>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1"/>
      <c r="DL28" s="48"/>
      <c r="DM28" s="368"/>
      <c r="DN28" s="360"/>
      <c r="DO28" s="485"/>
    </row>
    <row r="29" spans="2:119" ht="13.5" customHeight="1" thickTop="1" x14ac:dyDescent="0.2">
      <c r="B29" s="326"/>
      <c r="C29" s="340"/>
      <c r="D29" s="327"/>
      <c r="E29" s="327"/>
      <c r="F29" s="327"/>
      <c r="G29" s="327"/>
      <c r="H29" s="327"/>
      <c r="I29" s="327"/>
      <c r="J29" s="328"/>
      <c r="K29" s="1078"/>
      <c r="M29" s="490"/>
      <c r="N29" s="52"/>
      <c r="O29" s="1480" t="s">
        <v>446</v>
      </c>
      <c r="P29" s="1481"/>
      <c r="Q29" s="1566" t="str">
        <f>V29</f>
        <v>North row
Interior modules</v>
      </c>
      <c r="R29" s="1477"/>
      <c r="S29" s="1477"/>
      <c r="T29" s="1477"/>
      <c r="U29" s="1478"/>
      <c r="V29" s="1476" t="str">
        <f>CONCATENATE(B87,CHAR(10),E88)</f>
        <v>North row
Interior modules</v>
      </c>
      <c r="W29" s="1477"/>
      <c r="X29" s="1477"/>
      <c r="Y29" s="1477"/>
      <c r="Z29" s="1478"/>
      <c r="AA29" s="1473" t="str">
        <f>CONCATENATE(B87,CHAR(10),E87)</f>
        <v>North row
1st-10th module</v>
      </c>
      <c r="AB29" s="1474"/>
      <c r="AC29" s="1474"/>
      <c r="AD29" s="1474"/>
      <c r="AE29" s="1475"/>
      <c r="AF29" s="1470" t="str">
        <f>CONCATENATE(B78,CHAR(10),E79)</f>
        <v>North row
Interior modules</v>
      </c>
      <c r="AG29" s="1471"/>
      <c r="AH29" s="1471"/>
      <c r="AI29" s="1471"/>
      <c r="AJ29" s="1472"/>
      <c r="AK29" s="1467" t="str">
        <f>CONCATENATE(B78,CHAR(10),E78)</f>
        <v>North row
1st-10th module</v>
      </c>
      <c r="AL29" s="1468"/>
      <c r="AM29" s="1468"/>
      <c r="AN29" s="1468"/>
      <c r="AO29" s="1469"/>
      <c r="AP29" s="1464" t="str">
        <f>CONCATENATE(B69,CHAR(10),E70)</f>
        <v>North row
Interior modules</v>
      </c>
      <c r="AQ29" s="1465"/>
      <c r="AR29" s="1465"/>
      <c r="AS29" s="1465"/>
      <c r="AT29" s="1466"/>
      <c r="AU29" s="1563" t="str">
        <f>CONCATENATE(B69,CHAR(10),E69)</f>
        <v>North row
1st-10th module</v>
      </c>
      <c r="AV29" s="1564"/>
      <c r="AW29" s="1564"/>
      <c r="AX29" s="1564"/>
      <c r="AY29" s="1565"/>
      <c r="AZ29" s="1554" t="str">
        <f>CONCATENATE(B51,CHAR(10),E52)</f>
        <v>North row
Interior modules</v>
      </c>
      <c r="BA29" s="1555"/>
      <c r="BB29" s="1555"/>
      <c r="BC29" s="1555"/>
      <c r="BD29" s="1556"/>
      <c r="BE29" s="1545" t="str">
        <f>CONCATENATE(B51,CHAR(10),E51)</f>
        <v>North row
1st-10th module</v>
      </c>
      <c r="BF29" s="1546"/>
      <c r="BG29" s="1546"/>
      <c r="BH29" s="1546"/>
      <c r="BI29" s="1547"/>
      <c r="BJ29" s="1480" t="s">
        <v>448</v>
      </c>
      <c r="BK29" s="1481"/>
      <c r="BL29" s="360"/>
      <c r="BM29" s="485"/>
      <c r="BO29" s="490"/>
      <c r="BP29" s="52"/>
      <c r="BQ29" s="1480" t="s">
        <v>446</v>
      </c>
      <c r="BR29" s="1481"/>
      <c r="BS29" s="1825" t="str">
        <f>BE29</f>
        <v>North row
1st-10th module</v>
      </c>
      <c r="BT29" s="1826"/>
      <c r="BU29" s="1826"/>
      <c r="BV29" s="1826"/>
      <c r="BW29" s="1826"/>
      <c r="BX29" s="1829" t="str">
        <f>AZ29</f>
        <v>North row
Interior modules</v>
      </c>
      <c r="BY29" s="1829"/>
      <c r="BZ29" s="1829"/>
      <c r="CA29" s="1829"/>
      <c r="CB29" s="1829"/>
      <c r="CC29" s="1831" t="str">
        <f>AU29</f>
        <v>North row
1st-10th module</v>
      </c>
      <c r="CD29" s="1831"/>
      <c r="CE29" s="1831"/>
      <c r="CF29" s="1831"/>
      <c r="CG29" s="1831"/>
      <c r="CH29" s="1844" t="str">
        <f>AP29</f>
        <v>North row
Interior modules</v>
      </c>
      <c r="CI29" s="1844"/>
      <c r="CJ29" s="1844"/>
      <c r="CK29" s="1844"/>
      <c r="CL29" s="1844"/>
      <c r="CM29" s="1845" t="str">
        <f>AK29</f>
        <v>North row
1st-10th module</v>
      </c>
      <c r="CN29" s="1845"/>
      <c r="CO29" s="1845"/>
      <c r="CP29" s="1845"/>
      <c r="CQ29" s="1845"/>
      <c r="CR29" s="1846" t="str">
        <f>AF29</f>
        <v>North row
Interior modules</v>
      </c>
      <c r="CS29" s="1846"/>
      <c r="CT29" s="1846"/>
      <c r="CU29" s="1846"/>
      <c r="CV29" s="1846"/>
      <c r="CW29" s="1841" t="str">
        <f>AA29</f>
        <v>North row
1st-10th module</v>
      </c>
      <c r="CX29" s="1841"/>
      <c r="CY29" s="1841"/>
      <c r="CZ29" s="1841"/>
      <c r="DA29" s="1841"/>
      <c r="DB29" s="1842" t="str">
        <f>V29</f>
        <v>North row
Interior modules</v>
      </c>
      <c r="DC29" s="1842"/>
      <c r="DD29" s="1842"/>
      <c r="DE29" s="1842"/>
      <c r="DF29" s="1842"/>
      <c r="DG29" s="1842" t="str">
        <f>Q29</f>
        <v>North row
Interior modules</v>
      </c>
      <c r="DH29" s="1842"/>
      <c r="DI29" s="1842"/>
      <c r="DJ29" s="1842"/>
      <c r="DK29" s="1843"/>
      <c r="DL29" s="1480" t="s">
        <v>448</v>
      </c>
      <c r="DM29" s="1481"/>
      <c r="DN29" s="360"/>
      <c r="DO29" s="485"/>
    </row>
    <row r="30" spans="2:119" ht="13.5" customHeight="1" x14ac:dyDescent="0.2">
      <c r="B30" s="274" t="s">
        <v>415</v>
      </c>
      <c r="C30" s="746">
        <f>'Friction Data'!E16</f>
        <v>0.45</v>
      </c>
      <c r="D30" s="46" t="s">
        <v>4</v>
      </c>
      <c r="E30" s="46"/>
      <c r="F30" s="46"/>
      <c r="G30" s="43"/>
      <c r="H30" s="43"/>
      <c r="I30" s="43"/>
      <c r="J30" s="329"/>
      <c r="K30" s="46"/>
      <c r="M30" s="491"/>
      <c r="N30" s="54"/>
      <c r="O30" s="1482"/>
      <c r="P30" s="1483"/>
      <c r="Q30" s="1567"/>
      <c r="R30" s="1281"/>
      <c r="S30" s="1281"/>
      <c r="T30" s="1281"/>
      <c r="U30" s="1282"/>
      <c r="V30" s="1280"/>
      <c r="W30" s="1281"/>
      <c r="X30" s="1281"/>
      <c r="Y30" s="1281"/>
      <c r="Z30" s="1282"/>
      <c r="AA30" s="1334"/>
      <c r="AB30" s="1335"/>
      <c r="AC30" s="1335"/>
      <c r="AD30" s="1335"/>
      <c r="AE30" s="1336"/>
      <c r="AF30" s="1343"/>
      <c r="AG30" s="1344"/>
      <c r="AH30" s="1344"/>
      <c r="AI30" s="1344"/>
      <c r="AJ30" s="1345"/>
      <c r="AK30" s="1352"/>
      <c r="AL30" s="1353"/>
      <c r="AM30" s="1353"/>
      <c r="AN30" s="1353"/>
      <c r="AO30" s="1354"/>
      <c r="AP30" s="1361"/>
      <c r="AQ30" s="1362"/>
      <c r="AR30" s="1362"/>
      <c r="AS30" s="1362"/>
      <c r="AT30" s="1363"/>
      <c r="AU30" s="1503"/>
      <c r="AV30" s="1504"/>
      <c r="AW30" s="1504"/>
      <c r="AX30" s="1504"/>
      <c r="AY30" s="1505"/>
      <c r="AZ30" s="1557"/>
      <c r="BA30" s="1558"/>
      <c r="BB30" s="1558"/>
      <c r="BC30" s="1558"/>
      <c r="BD30" s="1559"/>
      <c r="BE30" s="1548"/>
      <c r="BF30" s="1549"/>
      <c r="BG30" s="1549"/>
      <c r="BH30" s="1549"/>
      <c r="BI30" s="1550"/>
      <c r="BJ30" s="1482"/>
      <c r="BK30" s="1483"/>
      <c r="BL30" s="360"/>
      <c r="BM30" s="485"/>
      <c r="BO30" s="491"/>
      <c r="BP30" s="54"/>
      <c r="BQ30" s="1482"/>
      <c r="BR30" s="1483"/>
      <c r="BS30" s="1827"/>
      <c r="BT30" s="1828"/>
      <c r="BU30" s="1828"/>
      <c r="BV30" s="1828"/>
      <c r="BW30" s="1828"/>
      <c r="BX30" s="1830"/>
      <c r="BY30" s="1830"/>
      <c r="BZ30" s="1830"/>
      <c r="CA30" s="1830"/>
      <c r="CB30" s="1830"/>
      <c r="CC30" s="1809"/>
      <c r="CD30" s="1809"/>
      <c r="CE30" s="1809"/>
      <c r="CF30" s="1809"/>
      <c r="CG30" s="1809"/>
      <c r="CH30" s="1812"/>
      <c r="CI30" s="1812"/>
      <c r="CJ30" s="1812"/>
      <c r="CK30" s="1812"/>
      <c r="CL30" s="1812"/>
      <c r="CM30" s="1788"/>
      <c r="CN30" s="1788"/>
      <c r="CO30" s="1788"/>
      <c r="CP30" s="1788"/>
      <c r="CQ30" s="1788"/>
      <c r="CR30" s="1790"/>
      <c r="CS30" s="1790"/>
      <c r="CT30" s="1790"/>
      <c r="CU30" s="1790"/>
      <c r="CV30" s="1790"/>
      <c r="CW30" s="1792"/>
      <c r="CX30" s="1792"/>
      <c r="CY30" s="1792"/>
      <c r="CZ30" s="1792"/>
      <c r="DA30" s="1792"/>
      <c r="DB30" s="1794"/>
      <c r="DC30" s="1794"/>
      <c r="DD30" s="1794"/>
      <c r="DE30" s="1794"/>
      <c r="DF30" s="1794"/>
      <c r="DG30" s="1794"/>
      <c r="DH30" s="1794"/>
      <c r="DI30" s="1794"/>
      <c r="DJ30" s="1794"/>
      <c r="DK30" s="1814"/>
      <c r="DL30" s="1482"/>
      <c r="DM30" s="1483"/>
      <c r="DN30" s="360"/>
      <c r="DO30" s="485"/>
    </row>
    <row r="31" spans="2:119" ht="13.5" customHeight="1" x14ac:dyDescent="0.2">
      <c r="B31" s="274" t="s">
        <v>416</v>
      </c>
      <c r="C31" s="414">
        <f>'building data'!C23</f>
        <v>1.1934894239820351</v>
      </c>
      <c r="D31" s="43" t="s">
        <v>5</v>
      </c>
      <c r="E31" s="43"/>
      <c r="F31" s="43"/>
      <c r="G31" s="43"/>
      <c r="H31" s="43"/>
      <c r="I31" s="43"/>
      <c r="J31" s="53"/>
      <c r="K31" s="46"/>
      <c r="L31" s="156"/>
      <c r="M31" s="491"/>
      <c r="N31" s="54"/>
      <c r="O31" s="1482"/>
      <c r="P31" s="1483"/>
      <c r="Q31" s="1568"/>
      <c r="R31" s="1284"/>
      <c r="S31" s="1284"/>
      <c r="T31" s="1284"/>
      <c r="U31" s="1285"/>
      <c r="V31" s="1283"/>
      <c r="W31" s="1284"/>
      <c r="X31" s="1284"/>
      <c r="Y31" s="1284"/>
      <c r="Z31" s="1285"/>
      <c r="AA31" s="1337"/>
      <c r="AB31" s="1338"/>
      <c r="AC31" s="1338"/>
      <c r="AD31" s="1338"/>
      <c r="AE31" s="1339"/>
      <c r="AF31" s="1346"/>
      <c r="AG31" s="1347"/>
      <c r="AH31" s="1347"/>
      <c r="AI31" s="1347"/>
      <c r="AJ31" s="1348"/>
      <c r="AK31" s="1355"/>
      <c r="AL31" s="1356"/>
      <c r="AM31" s="1356"/>
      <c r="AN31" s="1356"/>
      <c r="AO31" s="1357"/>
      <c r="AP31" s="1364"/>
      <c r="AQ31" s="1365"/>
      <c r="AR31" s="1365"/>
      <c r="AS31" s="1365"/>
      <c r="AT31" s="1366"/>
      <c r="AU31" s="1506"/>
      <c r="AV31" s="1507"/>
      <c r="AW31" s="1507"/>
      <c r="AX31" s="1507"/>
      <c r="AY31" s="1508"/>
      <c r="AZ31" s="1560"/>
      <c r="BA31" s="1561"/>
      <c r="BB31" s="1561"/>
      <c r="BC31" s="1561"/>
      <c r="BD31" s="1562"/>
      <c r="BE31" s="1551"/>
      <c r="BF31" s="1552"/>
      <c r="BG31" s="1552"/>
      <c r="BH31" s="1552"/>
      <c r="BI31" s="1553"/>
      <c r="BJ31" s="1482"/>
      <c r="BK31" s="1483"/>
      <c r="BL31" s="360"/>
      <c r="BM31" s="485"/>
      <c r="BO31" s="491"/>
      <c r="BP31" s="54"/>
      <c r="BQ31" s="1482"/>
      <c r="BR31" s="1483"/>
      <c r="BS31" s="1827"/>
      <c r="BT31" s="1828"/>
      <c r="BU31" s="1828"/>
      <c r="BV31" s="1828"/>
      <c r="BW31" s="1828"/>
      <c r="BX31" s="1830"/>
      <c r="BY31" s="1830"/>
      <c r="BZ31" s="1830"/>
      <c r="CA31" s="1830"/>
      <c r="CB31" s="1830"/>
      <c r="CC31" s="1809"/>
      <c r="CD31" s="1809"/>
      <c r="CE31" s="1809"/>
      <c r="CF31" s="1809"/>
      <c r="CG31" s="1809"/>
      <c r="CH31" s="1812"/>
      <c r="CI31" s="1812"/>
      <c r="CJ31" s="1812"/>
      <c r="CK31" s="1812"/>
      <c r="CL31" s="1812"/>
      <c r="CM31" s="1788"/>
      <c r="CN31" s="1788"/>
      <c r="CO31" s="1788"/>
      <c r="CP31" s="1788"/>
      <c r="CQ31" s="1788"/>
      <c r="CR31" s="1790"/>
      <c r="CS31" s="1790"/>
      <c r="CT31" s="1790"/>
      <c r="CU31" s="1790"/>
      <c r="CV31" s="1790"/>
      <c r="CW31" s="1792"/>
      <c r="CX31" s="1792"/>
      <c r="CY31" s="1792"/>
      <c r="CZ31" s="1792"/>
      <c r="DA31" s="1792"/>
      <c r="DB31" s="1794"/>
      <c r="DC31" s="1794"/>
      <c r="DD31" s="1794"/>
      <c r="DE31" s="1794"/>
      <c r="DF31" s="1794"/>
      <c r="DG31" s="1794"/>
      <c r="DH31" s="1794"/>
      <c r="DI31" s="1794"/>
      <c r="DJ31" s="1794"/>
      <c r="DK31" s="1814"/>
      <c r="DL31" s="1482"/>
      <c r="DM31" s="1483"/>
      <c r="DN31" s="360"/>
      <c r="DO31" s="485"/>
    </row>
    <row r="32" spans="2:119" ht="20.25" customHeight="1" x14ac:dyDescent="0.2">
      <c r="B32" s="1832" t="s">
        <v>417</v>
      </c>
      <c r="C32" s="1833"/>
      <c r="D32" s="1833"/>
      <c r="E32" s="1833"/>
      <c r="F32" s="1833"/>
      <c r="G32" s="1833"/>
      <c r="H32" s="1833"/>
      <c r="I32" s="1834"/>
      <c r="J32" s="1838" t="s">
        <v>19</v>
      </c>
      <c r="K32" s="1079"/>
      <c r="L32" s="157"/>
      <c r="M32" s="491"/>
      <c r="N32" s="54"/>
      <c r="O32" s="1482"/>
      <c r="P32" s="1483"/>
      <c r="Q32" s="1569" t="str">
        <f>V32</f>
        <v>Inner row
Interior modules</v>
      </c>
      <c r="R32" s="1278"/>
      <c r="S32" s="1278"/>
      <c r="T32" s="1278"/>
      <c r="U32" s="1279"/>
      <c r="V32" s="1277" t="str">
        <f>CONCATENATE(B108,CHAR(10),E90)</f>
        <v>Inner row
Interior modules</v>
      </c>
      <c r="W32" s="1278"/>
      <c r="X32" s="1278"/>
      <c r="Y32" s="1278"/>
      <c r="Z32" s="1279"/>
      <c r="AA32" s="1331" t="str">
        <f>CONCATENATE(B108,CHAR(10),E89)</f>
        <v>Inner row
1st-10th module</v>
      </c>
      <c r="AB32" s="1332"/>
      <c r="AC32" s="1332"/>
      <c r="AD32" s="1332"/>
      <c r="AE32" s="1333"/>
      <c r="AF32" s="1340" t="str">
        <f>CONCATENATE(B108,CHAR(10),E81)</f>
        <v>Inner row
Interior modules</v>
      </c>
      <c r="AG32" s="1341"/>
      <c r="AH32" s="1341"/>
      <c r="AI32" s="1341"/>
      <c r="AJ32" s="1342"/>
      <c r="AK32" s="1349" t="str">
        <f>CONCATENATE(B108,CHAR(10),E80)</f>
        <v>Inner row
1st-10th module</v>
      </c>
      <c r="AL32" s="1350"/>
      <c r="AM32" s="1350"/>
      <c r="AN32" s="1350"/>
      <c r="AO32" s="1351"/>
      <c r="AP32" s="1358" t="str">
        <f>CONCATENATE(B108,CHAR(10),E72)</f>
        <v>Inner row
Interior modules</v>
      </c>
      <c r="AQ32" s="1359"/>
      <c r="AR32" s="1359"/>
      <c r="AS32" s="1359"/>
      <c r="AT32" s="1360"/>
      <c r="AU32" s="1500" t="str">
        <f>CONCATENATE(B108,CHAR(10),E71)</f>
        <v>Inner row
1st-10th module</v>
      </c>
      <c r="AV32" s="1501"/>
      <c r="AW32" s="1501"/>
      <c r="AX32" s="1501"/>
      <c r="AY32" s="1502"/>
      <c r="AZ32" s="1592" t="str">
        <f>CONCATENATE(B108,CHAR(10),E54)</f>
        <v>Inner row
Interior modules</v>
      </c>
      <c r="BA32" s="1593"/>
      <c r="BB32" s="1593"/>
      <c r="BC32" s="1593"/>
      <c r="BD32" s="1594"/>
      <c r="BE32" s="1589" t="str">
        <f>CONCATENATE(B108,CHAR(10),E53)</f>
        <v>Inner row
1st-10th module</v>
      </c>
      <c r="BF32" s="1590"/>
      <c r="BG32" s="1590"/>
      <c r="BH32" s="1590"/>
      <c r="BI32" s="1591"/>
      <c r="BJ32" s="1482"/>
      <c r="BK32" s="1483"/>
      <c r="BL32" s="360"/>
      <c r="BM32" s="603">
        <f>IF(20&lt;'building data'!$C$21,20,'building data'!$C$21)</f>
        <v>20</v>
      </c>
      <c r="BO32" s="491"/>
      <c r="BP32" s="54"/>
      <c r="BQ32" s="1482"/>
      <c r="BR32" s="1483"/>
      <c r="BS32" s="1827" t="str">
        <f>BE32</f>
        <v>Inner row
1st-10th module</v>
      </c>
      <c r="BT32" s="1828"/>
      <c r="BU32" s="1828"/>
      <c r="BV32" s="1828"/>
      <c r="BW32" s="1828"/>
      <c r="BX32" s="1830" t="str">
        <f>AZ32</f>
        <v>Inner row
Interior modules</v>
      </c>
      <c r="BY32" s="1830"/>
      <c r="BZ32" s="1830"/>
      <c r="CA32" s="1830"/>
      <c r="CB32" s="1830"/>
      <c r="CC32" s="1809" t="str">
        <f>AU32</f>
        <v>Inner row
1st-10th module</v>
      </c>
      <c r="CD32" s="1809"/>
      <c r="CE32" s="1809"/>
      <c r="CF32" s="1809"/>
      <c r="CG32" s="1809"/>
      <c r="CH32" s="1812" t="str">
        <f>AP32</f>
        <v>Inner row
Interior modules</v>
      </c>
      <c r="CI32" s="1812"/>
      <c r="CJ32" s="1812"/>
      <c r="CK32" s="1812"/>
      <c r="CL32" s="1812"/>
      <c r="CM32" s="1788" t="str">
        <f>AK32</f>
        <v>Inner row
1st-10th module</v>
      </c>
      <c r="CN32" s="1788"/>
      <c r="CO32" s="1788"/>
      <c r="CP32" s="1788"/>
      <c r="CQ32" s="1788"/>
      <c r="CR32" s="1790" t="str">
        <f>AF32</f>
        <v>Inner row
Interior modules</v>
      </c>
      <c r="CS32" s="1790"/>
      <c r="CT32" s="1790"/>
      <c r="CU32" s="1790"/>
      <c r="CV32" s="1790"/>
      <c r="CW32" s="1792" t="str">
        <f>AA32</f>
        <v>Inner row
1st-10th module</v>
      </c>
      <c r="CX32" s="1792"/>
      <c r="CY32" s="1792"/>
      <c r="CZ32" s="1792"/>
      <c r="DA32" s="1792"/>
      <c r="DB32" s="1794" t="str">
        <f>V32</f>
        <v>Inner row
Interior modules</v>
      </c>
      <c r="DC32" s="1794"/>
      <c r="DD32" s="1794"/>
      <c r="DE32" s="1794"/>
      <c r="DF32" s="1794"/>
      <c r="DG32" s="1794" t="str">
        <f>Q32</f>
        <v>Inner row
Interior modules</v>
      </c>
      <c r="DH32" s="1794"/>
      <c r="DI32" s="1794"/>
      <c r="DJ32" s="1794"/>
      <c r="DK32" s="1814"/>
      <c r="DL32" s="1482"/>
      <c r="DM32" s="1483"/>
      <c r="DN32" s="360"/>
      <c r="DO32" s="603">
        <f>IF(20&lt;'building data'!$C$21,20,'building data'!$C$21)</f>
        <v>20</v>
      </c>
    </row>
    <row r="33" spans="1:119" ht="20.25" customHeight="1" x14ac:dyDescent="0.2">
      <c r="B33" s="1832"/>
      <c r="C33" s="1833"/>
      <c r="D33" s="1833"/>
      <c r="E33" s="1833"/>
      <c r="F33" s="1833"/>
      <c r="G33" s="1833"/>
      <c r="H33" s="1833"/>
      <c r="I33" s="1834"/>
      <c r="J33" s="1839"/>
      <c r="K33" s="1079"/>
      <c r="L33" s="606"/>
      <c r="M33" s="491"/>
      <c r="N33" s="54"/>
      <c r="O33" s="1482"/>
      <c r="P33" s="1483"/>
      <c r="Q33" s="1568"/>
      <c r="R33" s="1284"/>
      <c r="S33" s="1284"/>
      <c r="T33" s="1284"/>
      <c r="U33" s="1285"/>
      <c r="V33" s="1283"/>
      <c r="W33" s="1284"/>
      <c r="X33" s="1284"/>
      <c r="Y33" s="1284"/>
      <c r="Z33" s="1285"/>
      <c r="AA33" s="1337"/>
      <c r="AB33" s="1338"/>
      <c r="AC33" s="1338"/>
      <c r="AD33" s="1338"/>
      <c r="AE33" s="1339"/>
      <c r="AF33" s="1346"/>
      <c r="AG33" s="1347"/>
      <c r="AH33" s="1347"/>
      <c r="AI33" s="1347"/>
      <c r="AJ33" s="1348"/>
      <c r="AK33" s="1355"/>
      <c r="AL33" s="1356"/>
      <c r="AM33" s="1356"/>
      <c r="AN33" s="1356"/>
      <c r="AO33" s="1357"/>
      <c r="AP33" s="1364"/>
      <c r="AQ33" s="1365"/>
      <c r="AR33" s="1365"/>
      <c r="AS33" s="1365"/>
      <c r="AT33" s="1366"/>
      <c r="AU33" s="1506"/>
      <c r="AV33" s="1507"/>
      <c r="AW33" s="1507"/>
      <c r="AX33" s="1507"/>
      <c r="AY33" s="1508"/>
      <c r="AZ33" s="1560"/>
      <c r="BA33" s="1561"/>
      <c r="BB33" s="1561"/>
      <c r="BC33" s="1561"/>
      <c r="BD33" s="1562"/>
      <c r="BE33" s="1551"/>
      <c r="BF33" s="1552"/>
      <c r="BG33" s="1552"/>
      <c r="BH33" s="1552"/>
      <c r="BI33" s="1553"/>
      <c r="BJ33" s="1482"/>
      <c r="BK33" s="1483"/>
      <c r="BL33" s="360"/>
      <c r="BM33" s="602" t="s">
        <v>0</v>
      </c>
      <c r="BO33" s="491"/>
      <c r="BP33" s="54"/>
      <c r="BQ33" s="1482"/>
      <c r="BR33" s="1483"/>
      <c r="BS33" s="1827"/>
      <c r="BT33" s="1828"/>
      <c r="BU33" s="1828"/>
      <c r="BV33" s="1828"/>
      <c r="BW33" s="1828"/>
      <c r="BX33" s="1830"/>
      <c r="BY33" s="1830"/>
      <c r="BZ33" s="1830"/>
      <c r="CA33" s="1830"/>
      <c r="CB33" s="1830"/>
      <c r="CC33" s="1809"/>
      <c r="CD33" s="1809"/>
      <c r="CE33" s="1809"/>
      <c r="CF33" s="1809"/>
      <c r="CG33" s="1809"/>
      <c r="CH33" s="1812"/>
      <c r="CI33" s="1812"/>
      <c r="CJ33" s="1812"/>
      <c r="CK33" s="1812"/>
      <c r="CL33" s="1812"/>
      <c r="CM33" s="1788"/>
      <c r="CN33" s="1788"/>
      <c r="CO33" s="1788"/>
      <c r="CP33" s="1788"/>
      <c r="CQ33" s="1788"/>
      <c r="CR33" s="1790"/>
      <c r="CS33" s="1790"/>
      <c r="CT33" s="1790"/>
      <c r="CU33" s="1790"/>
      <c r="CV33" s="1790"/>
      <c r="CW33" s="1792"/>
      <c r="CX33" s="1792"/>
      <c r="CY33" s="1792"/>
      <c r="CZ33" s="1792"/>
      <c r="DA33" s="1792"/>
      <c r="DB33" s="1794"/>
      <c r="DC33" s="1794"/>
      <c r="DD33" s="1794"/>
      <c r="DE33" s="1794"/>
      <c r="DF33" s="1794"/>
      <c r="DG33" s="1794"/>
      <c r="DH33" s="1794"/>
      <c r="DI33" s="1794"/>
      <c r="DJ33" s="1794"/>
      <c r="DK33" s="1814"/>
      <c r="DL33" s="1482"/>
      <c r="DM33" s="1483"/>
      <c r="DN33" s="360"/>
      <c r="DO33" s="602" t="s">
        <v>0</v>
      </c>
    </row>
    <row r="34" spans="1:119" ht="13.5" customHeight="1" thickBot="1" x14ac:dyDescent="0.25">
      <c r="B34" s="1835"/>
      <c r="C34" s="1836"/>
      <c r="D34" s="1836"/>
      <c r="E34" s="1836"/>
      <c r="F34" s="1836"/>
      <c r="G34" s="1836"/>
      <c r="H34" s="1836"/>
      <c r="I34" s="1837"/>
      <c r="J34" s="1840"/>
      <c r="K34" s="1079"/>
      <c r="L34" s="158"/>
      <c r="M34" s="491"/>
      <c r="N34" s="54"/>
      <c r="O34" s="1482"/>
      <c r="P34" s="1483"/>
      <c r="Q34" s="1569" t="str">
        <f>V34</f>
        <v>Inner row
Interior modules</v>
      </c>
      <c r="R34" s="1278"/>
      <c r="S34" s="1278"/>
      <c r="T34" s="1278"/>
      <c r="U34" s="1279"/>
      <c r="V34" s="1277" t="str">
        <f>V32</f>
        <v>Inner row
Interior modules</v>
      </c>
      <c r="W34" s="1278"/>
      <c r="X34" s="1278"/>
      <c r="Y34" s="1278"/>
      <c r="Z34" s="1279"/>
      <c r="AA34" s="1331" t="str">
        <f>AA32</f>
        <v>Inner row
1st-10th module</v>
      </c>
      <c r="AB34" s="1332"/>
      <c r="AC34" s="1332"/>
      <c r="AD34" s="1332"/>
      <c r="AE34" s="1333"/>
      <c r="AF34" s="1340" t="str">
        <f>AF32</f>
        <v>Inner row
Interior modules</v>
      </c>
      <c r="AG34" s="1341"/>
      <c r="AH34" s="1341"/>
      <c r="AI34" s="1341"/>
      <c r="AJ34" s="1342"/>
      <c r="AK34" s="1349" t="str">
        <f>AK32</f>
        <v>Inner row
1st-10th module</v>
      </c>
      <c r="AL34" s="1350"/>
      <c r="AM34" s="1350"/>
      <c r="AN34" s="1350"/>
      <c r="AO34" s="1351"/>
      <c r="AP34" s="1358" t="str">
        <f>AP32</f>
        <v>Inner row
Interior modules</v>
      </c>
      <c r="AQ34" s="1359"/>
      <c r="AR34" s="1359"/>
      <c r="AS34" s="1359"/>
      <c r="AT34" s="1360"/>
      <c r="AU34" s="1500" t="str">
        <f>AU32</f>
        <v>Inner row
1st-10th module</v>
      </c>
      <c r="AV34" s="1501"/>
      <c r="AW34" s="1501"/>
      <c r="AX34" s="1501"/>
      <c r="AY34" s="1502"/>
      <c r="AZ34" s="1592" t="str">
        <f>AZ32</f>
        <v>Inner row
Interior modules</v>
      </c>
      <c r="BA34" s="1593"/>
      <c r="BB34" s="1593"/>
      <c r="BC34" s="1593"/>
      <c r="BD34" s="1594"/>
      <c r="BE34" s="1589" t="str">
        <f>BE32</f>
        <v>Inner row
1st-10th module</v>
      </c>
      <c r="BF34" s="1590"/>
      <c r="BG34" s="1590"/>
      <c r="BH34" s="1590"/>
      <c r="BI34" s="1591"/>
      <c r="BJ34" s="1482"/>
      <c r="BK34" s="1483"/>
      <c r="BL34" s="360"/>
      <c r="BM34" s="1276" t="s">
        <v>78</v>
      </c>
      <c r="BO34" s="491"/>
      <c r="BP34" s="54"/>
      <c r="BQ34" s="1482"/>
      <c r="BR34" s="1483"/>
      <c r="BS34" s="1382" t="str">
        <f>BE34</f>
        <v>Inner row
1st-10th module</v>
      </c>
      <c r="BT34" s="1383"/>
      <c r="BU34" s="1383"/>
      <c r="BV34" s="1383"/>
      <c r="BW34" s="1384"/>
      <c r="BX34" s="1431" t="str">
        <f>AZ34</f>
        <v>Inner row
Interior modules</v>
      </c>
      <c r="BY34" s="1432"/>
      <c r="BZ34" s="1432"/>
      <c r="CA34" s="1432"/>
      <c r="CB34" s="1433"/>
      <c r="CC34" s="1295" t="str">
        <f>AP34</f>
        <v>Inner row
Interior modules</v>
      </c>
      <c r="CD34" s="1296"/>
      <c r="CE34" s="1296"/>
      <c r="CF34" s="1296"/>
      <c r="CG34" s="1297"/>
      <c r="CH34" s="1358" t="str">
        <f>AP34</f>
        <v>Inner row
Interior modules</v>
      </c>
      <c r="CI34" s="1359"/>
      <c r="CJ34" s="1359"/>
      <c r="CK34" s="1359"/>
      <c r="CL34" s="1360"/>
      <c r="CM34" s="1349" t="str">
        <f>AK34</f>
        <v>Inner row
1st-10th module</v>
      </c>
      <c r="CN34" s="1350"/>
      <c r="CO34" s="1350"/>
      <c r="CP34" s="1350"/>
      <c r="CQ34" s="1351"/>
      <c r="CR34" s="1340" t="str">
        <f>AF34</f>
        <v>Inner row
Interior modules</v>
      </c>
      <c r="CS34" s="1341"/>
      <c r="CT34" s="1341"/>
      <c r="CU34" s="1341"/>
      <c r="CV34" s="1342"/>
      <c r="CW34" s="1331" t="str">
        <f>AA34</f>
        <v>Inner row
1st-10th module</v>
      </c>
      <c r="CX34" s="1332"/>
      <c r="CY34" s="1332"/>
      <c r="CZ34" s="1332"/>
      <c r="DA34" s="1333"/>
      <c r="DB34" s="1277" t="str">
        <f>V34</f>
        <v>Inner row
Interior modules</v>
      </c>
      <c r="DC34" s="1278"/>
      <c r="DD34" s="1278"/>
      <c r="DE34" s="1278"/>
      <c r="DF34" s="1279"/>
      <c r="DG34" s="1277" t="str">
        <f>Q34</f>
        <v>Inner row
Interior modules</v>
      </c>
      <c r="DH34" s="1278"/>
      <c r="DI34" s="1278"/>
      <c r="DJ34" s="1278"/>
      <c r="DK34" s="1286"/>
      <c r="DL34" s="1482"/>
      <c r="DM34" s="1483"/>
      <c r="DN34" s="360"/>
      <c r="DO34" s="1276" t="s">
        <v>78</v>
      </c>
    </row>
    <row r="35" spans="1:119" ht="13.5" customHeight="1" thickBot="1" x14ac:dyDescent="0.25">
      <c r="B35" s="417"/>
      <c r="C35" s="43"/>
      <c r="D35" s="46"/>
      <c r="E35" s="46"/>
      <c r="F35" s="606"/>
      <c r="G35" s="46"/>
      <c r="H35" s="46"/>
      <c r="I35" s="46"/>
      <c r="J35" s="418"/>
      <c r="K35" s="46"/>
      <c r="L35" s="158"/>
      <c r="M35" s="491"/>
      <c r="N35" s="54"/>
      <c r="O35" s="1482"/>
      <c r="P35" s="1483"/>
      <c r="Q35" s="1567"/>
      <c r="R35" s="1281"/>
      <c r="S35" s="1281"/>
      <c r="T35" s="1281"/>
      <c r="U35" s="1282"/>
      <c r="V35" s="1280"/>
      <c r="W35" s="1281"/>
      <c r="X35" s="1281"/>
      <c r="Y35" s="1281"/>
      <c r="Z35" s="1282"/>
      <c r="AA35" s="1334"/>
      <c r="AB35" s="1335"/>
      <c r="AC35" s="1335"/>
      <c r="AD35" s="1335"/>
      <c r="AE35" s="1336"/>
      <c r="AF35" s="1343"/>
      <c r="AG35" s="1344"/>
      <c r="AH35" s="1344"/>
      <c r="AI35" s="1344"/>
      <c r="AJ35" s="1345"/>
      <c r="AK35" s="1352"/>
      <c r="AL35" s="1353"/>
      <c r="AM35" s="1353"/>
      <c r="AN35" s="1353"/>
      <c r="AO35" s="1354"/>
      <c r="AP35" s="1361"/>
      <c r="AQ35" s="1362"/>
      <c r="AR35" s="1362"/>
      <c r="AS35" s="1362"/>
      <c r="AT35" s="1363"/>
      <c r="AU35" s="1503"/>
      <c r="AV35" s="1504"/>
      <c r="AW35" s="1504"/>
      <c r="AX35" s="1504"/>
      <c r="AY35" s="1505"/>
      <c r="AZ35" s="1557"/>
      <c r="BA35" s="1558"/>
      <c r="BB35" s="1558"/>
      <c r="BC35" s="1558"/>
      <c r="BD35" s="1559"/>
      <c r="BE35" s="1548"/>
      <c r="BF35" s="1549"/>
      <c r="BG35" s="1549"/>
      <c r="BH35" s="1549"/>
      <c r="BI35" s="1550"/>
      <c r="BJ35" s="1482"/>
      <c r="BK35" s="1483"/>
      <c r="BL35" s="360"/>
      <c r="BM35" s="1276"/>
      <c r="BO35" s="491"/>
      <c r="BP35" s="54"/>
      <c r="BQ35" s="1482"/>
      <c r="BR35" s="1483"/>
      <c r="BS35" s="1385"/>
      <c r="BT35" s="1386"/>
      <c r="BU35" s="1386"/>
      <c r="BV35" s="1386"/>
      <c r="BW35" s="1387"/>
      <c r="BX35" s="1458"/>
      <c r="BY35" s="1459"/>
      <c r="BZ35" s="1459"/>
      <c r="CA35" s="1459"/>
      <c r="CB35" s="1460"/>
      <c r="CC35" s="1298"/>
      <c r="CD35" s="1299"/>
      <c r="CE35" s="1299"/>
      <c r="CF35" s="1299"/>
      <c r="CG35" s="1300"/>
      <c r="CH35" s="1361"/>
      <c r="CI35" s="1362"/>
      <c r="CJ35" s="1362"/>
      <c r="CK35" s="1362"/>
      <c r="CL35" s="1363"/>
      <c r="CM35" s="1352"/>
      <c r="CN35" s="1353"/>
      <c r="CO35" s="1353"/>
      <c r="CP35" s="1353"/>
      <c r="CQ35" s="1354"/>
      <c r="CR35" s="1343"/>
      <c r="CS35" s="1344"/>
      <c r="CT35" s="1344"/>
      <c r="CU35" s="1344"/>
      <c r="CV35" s="1345"/>
      <c r="CW35" s="1334"/>
      <c r="CX35" s="1335"/>
      <c r="CY35" s="1335"/>
      <c r="CZ35" s="1335"/>
      <c r="DA35" s="1336"/>
      <c r="DB35" s="1280"/>
      <c r="DC35" s="1281"/>
      <c r="DD35" s="1281"/>
      <c r="DE35" s="1281"/>
      <c r="DF35" s="1282"/>
      <c r="DG35" s="1280"/>
      <c r="DH35" s="1281"/>
      <c r="DI35" s="1281"/>
      <c r="DJ35" s="1281"/>
      <c r="DK35" s="1287"/>
      <c r="DL35" s="1482"/>
      <c r="DM35" s="1483"/>
      <c r="DN35" s="360"/>
      <c r="DO35" s="1276"/>
    </row>
    <row r="36" spans="1:119" ht="13.5" customHeight="1" thickBot="1" x14ac:dyDescent="0.25">
      <c r="B36" s="1637" t="s">
        <v>418</v>
      </c>
      <c r="C36" s="1638"/>
      <c r="D36" s="1638"/>
      <c r="E36" s="1638"/>
      <c r="F36" s="1638"/>
      <c r="G36" s="1638"/>
      <c r="H36" s="1638"/>
      <c r="I36" s="1638"/>
      <c r="J36" s="1639"/>
      <c r="K36" s="1077"/>
      <c r="L36" s="158"/>
      <c r="M36" s="491"/>
      <c r="N36" s="54"/>
      <c r="O36" s="1482"/>
      <c r="P36" s="1483"/>
      <c r="Q36" s="1568"/>
      <c r="R36" s="1284"/>
      <c r="S36" s="1284"/>
      <c r="T36" s="1284"/>
      <c r="U36" s="1285"/>
      <c r="V36" s="1283"/>
      <c r="W36" s="1284"/>
      <c r="X36" s="1284"/>
      <c r="Y36" s="1284"/>
      <c r="Z36" s="1285"/>
      <c r="AA36" s="1337"/>
      <c r="AB36" s="1338"/>
      <c r="AC36" s="1338"/>
      <c r="AD36" s="1338"/>
      <c r="AE36" s="1339"/>
      <c r="AF36" s="1346"/>
      <c r="AG36" s="1347"/>
      <c r="AH36" s="1347"/>
      <c r="AI36" s="1347"/>
      <c r="AJ36" s="1348"/>
      <c r="AK36" s="1355"/>
      <c r="AL36" s="1356"/>
      <c r="AM36" s="1356"/>
      <c r="AN36" s="1356"/>
      <c r="AO36" s="1357"/>
      <c r="AP36" s="1364"/>
      <c r="AQ36" s="1365"/>
      <c r="AR36" s="1365"/>
      <c r="AS36" s="1365"/>
      <c r="AT36" s="1366"/>
      <c r="AU36" s="1506"/>
      <c r="AV36" s="1507"/>
      <c r="AW36" s="1507"/>
      <c r="AX36" s="1507"/>
      <c r="AY36" s="1508"/>
      <c r="AZ36" s="1560"/>
      <c r="BA36" s="1561"/>
      <c r="BB36" s="1561"/>
      <c r="BC36" s="1561"/>
      <c r="BD36" s="1562"/>
      <c r="BE36" s="1551"/>
      <c r="BF36" s="1552"/>
      <c r="BG36" s="1552"/>
      <c r="BH36" s="1552"/>
      <c r="BI36" s="1553"/>
      <c r="BJ36" s="1482"/>
      <c r="BK36" s="1483"/>
      <c r="BL36" s="360"/>
      <c r="BM36" s="485"/>
      <c r="BO36" s="491"/>
      <c r="BP36" s="54"/>
      <c r="BQ36" s="1482"/>
      <c r="BR36" s="1483"/>
      <c r="BS36" s="1388"/>
      <c r="BT36" s="1389"/>
      <c r="BU36" s="1389"/>
      <c r="BV36" s="1389"/>
      <c r="BW36" s="1390"/>
      <c r="BX36" s="1434"/>
      <c r="BY36" s="1435"/>
      <c r="BZ36" s="1435"/>
      <c r="CA36" s="1435"/>
      <c r="CB36" s="1436"/>
      <c r="CC36" s="1301"/>
      <c r="CD36" s="1302"/>
      <c r="CE36" s="1302"/>
      <c r="CF36" s="1302"/>
      <c r="CG36" s="1303"/>
      <c r="CH36" s="1364"/>
      <c r="CI36" s="1365"/>
      <c r="CJ36" s="1365"/>
      <c r="CK36" s="1365"/>
      <c r="CL36" s="1366"/>
      <c r="CM36" s="1355"/>
      <c r="CN36" s="1356"/>
      <c r="CO36" s="1356"/>
      <c r="CP36" s="1356"/>
      <c r="CQ36" s="1357"/>
      <c r="CR36" s="1346"/>
      <c r="CS36" s="1347"/>
      <c r="CT36" s="1347"/>
      <c r="CU36" s="1347"/>
      <c r="CV36" s="1348"/>
      <c r="CW36" s="1337"/>
      <c r="CX36" s="1338"/>
      <c r="CY36" s="1338"/>
      <c r="CZ36" s="1338"/>
      <c r="DA36" s="1339"/>
      <c r="DB36" s="1283"/>
      <c r="DC36" s="1284"/>
      <c r="DD36" s="1284"/>
      <c r="DE36" s="1284"/>
      <c r="DF36" s="1285"/>
      <c r="DG36" s="1283"/>
      <c r="DH36" s="1284"/>
      <c r="DI36" s="1284"/>
      <c r="DJ36" s="1284"/>
      <c r="DK36" s="1288"/>
      <c r="DL36" s="1482"/>
      <c r="DM36" s="1483"/>
      <c r="DN36" s="360"/>
      <c r="DO36" s="485"/>
    </row>
    <row r="37" spans="1:119" ht="13.5" customHeight="1" x14ac:dyDescent="0.2">
      <c r="B37" s="1645" t="s">
        <v>419</v>
      </c>
      <c r="C37" s="1646"/>
      <c r="D37" s="1646"/>
      <c r="E37" s="1646"/>
      <c r="F37" s="1646"/>
      <c r="G37" s="1646"/>
      <c r="H37" s="1646"/>
      <c r="I37" s="1646"/>
      <c r="J37" s="1647"/>
      <c r="K37" s="1080"/>
      <c r="L37" s="436"/>
      <c r="M37" s="493"/>
      <c r="N37" s="54"/>
      <c r="O37" s="1482"/>
      <c r="P37" s="1483"/>
      <c r="Q37" s="1569" t="str">
        <f>V37</f>
        <v>Inner row
Interior modules</v>
      </c>
      <c r="R37" s="1278"/>
      <c r="S37" s="1278"/>
      <c r="T37" s="1278"/>
      <c r="U37" s="1279"/>
      <c r="V37" s="1277" t="str">
        <f>V32</f>
        <v>Inner row
Interior modules</v>
      </c>
      <c r="W37" s="1278"/>
      <c r="X37" s="1278"/>
      <c r="Y37" s="1278"/>
      <c r="Z37" s="1279"/>
      <c r="AA37" s="1331" t="str">
        <f>AA32</f>
        <v>Inner row
1st-10th module</v>
      </c>
      <c r="AB37" s="1332"/>
      <c r="AC37" s="1332"/>
      <c r="AD37" s="1332"/>
      <c r="AE37" s="1333"/>
      <c r="AF37" s="1340" t="str">
        <f>AF32</f>
        <v>Inner row
Interior modules</v>
      </c>
      <c r="AG37" s="1341"/>
      <c r="AH37" s="1341"/>
      <c r="AI37" s="1341"/>
      <c r="AJ37" s="1342"/>
      <c r="AK37" s="1349" t="str">
        <f>AK32</f>
        <v>Inner row
1st-10th module</v>
      </c>
      <c r="AL37" s="1350"/>
      <c r="AM37" s="1350"/>
      <c r="AN37" s="1350"/>
      <c r="AO37" s="1351"/>
      <c r="AP37" s="1358" t="str">
        <f>AP32</f>
        <v>Inner row
Interior modules</v>
      </c>
      <c r="AQ37" s="1359"/>
      <c r="AR37" s="1359"/>
      <c r="AS37" s="1359"/>
      <c r="AT37" s="1360"/>
      <c r="AU37" s="1500" t="str">
        <f>AU32</f>
        <v>Inner row
1st-10th module</v>
      </c>
      <c r="AV37" s="1501"/>
      <c r="AW37" s="1501"/>
      <c r="AX37" s="1501"/>
      <c r="AY37" s="1502"/>
      <c r="AZ37" s="1595" t="s">
        <v>454</v>
      </c>
      <c r="BA37" s="1596"/>
      <c r="BB37" s="1596"/>
      <c r="BC37" s="1596"/>
      <c r="BD37" s="1597"/>
      <c r="BE37" s="1613" t="s">
        <v>480</v>
      </c>
      <c r="BF37" s="1614"/>
      <c r="BG37" s="1614"/>
      <c r="BH37" s="1614"/>
      <c r="BI37" s="1615"/>
      <c r="BJ37" s="1482"/>
      <c r="BK37" s="1483"/>
      <c r="BL37" s="360"/>
      <c r="BM37" s="485"/>
      <c r="BO37" s="493"/>
      <c r="BP37" s="54"/>
      <c r="BQ37" s="1482"/>
      <c r="BR37" s="1483"/>
      <c r="BS37" s="1523" t="str">
        <f>BE37</f>
        <v>South row (only if array interrupted)
1st-10th module</v>
      </c>
      <c r="BT37" s="1524"/>
      <c r="BU37" s="1524"/>
      <c r="BV37" s="1524"/>
      <c r="BW37" s="1525"/>
      <c r="BX37" s="1532" t="str">
        <f>AZ37</f>
        <v>South row (only if array interrupted)
Interior modules</v>
      </c>
      <c r="BY37" s="1533"/>
      <c r="BZ37" s="1533"/>
      <c r="CA37" s="1533"/>
      <c r="CB37" s="1534"/>
      <c r="CC37" s="1815" t="str">
        <f>AP37</f>
        <v>Inner row
Interior modules</v>
      </c>
      <c r="CD37" s="1815"/>
      <c r="CE37" s="1815"/>
      <c r="CF37" s="1815"/>
      <c r="CG37" s="1815"/>
      <c r="CH37" s="1818" t="str">
        <f>AP37</f>
        <v>Inner row
Interior modules</v>
      </c>
      <c r="CI37" s="1818"/>
      <c r="CJ37" s="1818"/>
      <c r="CK37" s="1818"/>
      <c r="CL37" s="1818"/>
      <c r="CM37" s="1819" t="str">
        <f>AK37</f>
        <v>Inner row
1st-10th module</v>
      </c>
      <c r="CN37" s="1819"/>
      <c r="CO37" s="1819"/>
      <c r="CP37" s="1819"/>
      <c r="CQ37" s="1819"/>
      <c r="CR37" s="1820" t="str">
        <f>AF37</f>
        <v>Inner row
Interior modules</v>
      </c>
      <c r="CS37" s="1820"/>
      <c r="CT37" s="1820"/>
      <c r="CU37" s="1820"/>
      <c r="CV37" s="1820"/>
      <c r="CW37" s="1821" t="str">
        <f>AA37</f>
        <v>Inner row
1st-10th module</v>
      </c>
      <c r="CX37" s="1821"/>
      <c r="CY37" s="1821"/>
      <c r="CZ37" s="1821"/>
      <c r="DA37" s="1821"/>
      <c r="DB37" s="1816" t="str">
        <f>V37</f>
        <v>Inner row
Interior modules</v>
      </c>
      <c r="DC37" s="1816"/>
      <c r="DD37" s="1816"/>
      <c r="DE37" s="1816"/>
      <c r="DF37" s="1816"/>
      <c r="DG37" s="1816" t="str">
        <f>Q37</f>
        <v>Inner row
Interior modules</v>
      </c>
      <c r="DH37" s="1816"/>
      <c r="DI37" s="1816"/>
      <c r="DJ37" s="1816"/>
      <c r="DK37" s="1817"/>
      <c r="DL37" s="1482"/>
      <c r="DM37" s="1483"/>
      <c r="DN37" s="360"/>
      <c r="DO37" s="485"/>
    </row>
    <row r="38" spans="1:119" ht="13.5" customHeight="1" x14ac:dyDescent="0.2">
      <c r="B38" s="412" t="s">
        <v>420</v>
      </c>
      <c r="C38" s="43"/>
      <c r="D38" s="43"/>
      <c r="F38" s="57" t="s">
        <v>421</v>
      </c>
      <c r="G38" s="43"/>
      <c r="H38" s="43"/>
      <c r="J38" s="352"/>
      <c r="L38" s="436"/>
      <c r="M38" s="153"/>
      <c r="N38" s="54"/>
      <c r="O38" s="1482"/>
      <c r="P38" s="1483"/>
      <c r="Q38" s="1567"/>
      <c r="R38" s="1281"/>
      <c r="S38" s="1281"/>
      <c r="T38" s="1281"/>
      <c r="U38" s="1282"/>
      <c r="V38" s="1280"/>
      <c r="W38" s="1281"/>
      <c r="X38" s="1281"/>
      <c r="Y38" s="1281"/>
      <c r="Z38" s="1282"/>
      <c r="AA38" s="1334"/>
      <c r="AB38" s="1335"/>
      <c r="AC38" s="1335"/>
      <c r="AD38" s="1335"/>
      <c r="AE38" s="1336"/>
      <c r="AF38" s="1343"/>
      <c r="AG38" s="1344"/>
      <c r="AH38" s="1344"/>
      <c r="AI38" s="1344"/>
      <c r="AJ38" s="1345"/>
      <c r="AK38" s="1352"/>
      <c r="AL38" s="1353"/>
      <c r="AM38" s="1353"/>
      <c r="AN38" s="1353"/>
      <c r="AO38" s="1354"/>
      <c r="AP38" s="1361"/>
      <c r="AQ38" s="1362"/>
      <c r="AR38" s="1362"/>
      <c r="AS38" s="1362"/>
      <c r="AT38" s="1363"/>
      <c r="AU38" s="1503"/>
      <c r="AV38" s="1504"/>
      <c r="AW38" s="1504"/>
      <c r="AX38" s="1504"/>
      <c r="AY38" s="1505"/>
      <c r="AZ38" s="1598"/>
      <c r="BA38" s="1599"/>
      <c r="BB38" s="1599"/>
      <c r="BC38" s="1599"/>
      <c r="BD38" s="1600"/>
      <c r="BE38" s="1616"/>
      <c r="BF38" s="1617"/>
      <c r="BG38" s="1617"/>
      <c r="BH38" s="1617"/>
      <c r="BI38" s="1618"/>
      <c r="BJ38" s="1482"/>
      <c r="BK38" s="1483"/>
      <c r="BL38" s="360"/>
      <c r="BM38" s="485"/>
      <c r="BO38" s="153"/>
      <c r="BP38" s="54"/>
      <c r="BQ38" s="1482"/>
      <c r="BR38" s="1483"/>
      <c r="BS38" s="1526"/>
      <c r="BT38" s="1527"/>
      <c r="BU38" s="1527"/>
      <c r="BV38" s="1527"/>
      <c r="BW38" s="1528"/>
      <c r="BX38" s="1535"/>
      <c r="BY38" s="1536"/>
      <c r="BZ38" s="1536"/>
      <c r="CA38" s="1536"/>
      <c r="CB38" s="1537"/>
      <c r="CC38" s="1809"/>
      <c r="CD38" s="1809"/>
      <c r="CE38" s="1809"/>
      <c r="CF38" s="1809"/>
      <c r="CG38" s="1809"/>
      <c r="CH38" s="1812"/>
      <c r="CI38" s="1812"/>
      <c r="CJ38" s="1812"/>
      <c r="CK38" s="1812"/>
      <c r="CL38" s="1812"/>
      <c r="CM38" s="1788"/>
      <c r="CN38" s="1788"/>
      <c r="CO38" s="1788"/>
      <c r="CP38" s="1788"/>
      <c r="CQ38" s="1788"/>
      <c r="CR38" s="1790"/>
      <c r="CS38" s="1790"/>
      <c r="CT38" s="1790"/>
      <c r="CU38" s="1790"/>
      <c r="CV38" s="1790"/>
      <c r="CW38" s="1792"/>
      <c r="CX38" s="1792"/>
      <c r="CY38" s="1792"/>
      <c r="CZ38" s="1792"/>
      <c r="DA38" s="1792"/>
      <c r="DB38" s="1794"/>
      <c r="DC38" s="1794"/>
      <c r="DD38" s="1794"/>
      <c r="DE38" s="1794"/>
      <c r="DF38" s="1794"/>
      <c r="DG38" s="1794"/>
      <c r="DH38" s="1794"/>
      <c r="DI38" s="1794"/>
      <c r="DJ38" s="1794"/>
      <c r="DK38" s="1814"/>
      <c r="DL38" s="1482"/>
      <c r="DM38" s="1483"/>
      <c r="DN38" s="360"/>
      <c r="DO38" s="485"/>
    </row>
    <row r="39" spans="1:119" ht="13.5" customHeight="1" x14ac:dyDescent="0.2">
      <c r="B39" s="42" t="s">
        <v>422</v>
      </c>
      <c r="C39" s="200">
        <v>9</v>
      </c>
      <c r="D39" s="43"/>
      <c r="E39" s="43"/>
      <c r="F39" s="42" t="s">
        <v>422</v>
      </c>
      <c r="G39" s="200">
        <v>48</v>
      </c>
      <c r="H39" s="616"/>
      <c r="J39" s="370"/>
      <c r="L39" s="436"/>
      <c r="M39" s="153"/>
      <c r="N39" s="54"/>
      <c r="O39" s="1482"/>
      <c r="P39" s="1483"/>
      <c r="Q39" s="1568"/>
      <c r="R39" s="1284"/>
      <c r="S39" s="1284"/>
      <c r="T39" s="1284"/>
      <c r="U39" s="1285"/>
      <c r="V39" s="1283"/>
      <c r="W39" s="1284"/>
      <c r="X39" s="1284"/>
      <c r="Y39" s="1284"/>
      <c r="Z39" s="1285"/>
      <c r="AA39" s="1337"/>
      <c r="AB39" s="1338"/>
      <c r="AC39" s="1338"/>
      <c r="AD39" s="1338"/>
      <c r="AE39" s="1339"/>
      <c r="AF39" s="1346"/>
      <c r="AG39" s="1347"/>
      <c r="AH39" s="1347"/>
      <c r="AI39" s="1347"/>
      <c r="AJ39" s="1348"/>
      <c r="AK39" s="1355"/>
      <c r="AL39" s="1356"/>
      <c r="AM39" s="1356"/>
      <c r="AN39" s="1356"/>
      <c r="AO39" s="1357"/>
      <c r="AP39" s="1364"/>
      <c r="AQ39" s="1365"/>
      <c r="AR39" s="1365"/>
      <c r="AS39" s="1365"/>
      <c r="AT39" s="1366"/>
      <c r="AU39" s="1506"/>
      <c r="AV39" s="1507"/>
      <c r="AW39" s="1507"/>
      <c r="AX39" s="1507"/>
      <c r="AY39" s="1508"/>
      <c r="AZ39" s="1601"/>
      <c r="BA39" s="1602"/>
      <c r="BB39" s="1602"/>
      <c r="BC39" s="1602"/>
      <c r="BD39" s="1603"/>
      <c r="BE39" s="1619"/>
      <c r="BF39" s="1620"/>
      <c r="BG39" s="1620"/>
      <c r="BH39" s="1620"/>
      <c r="BI39" s="1621"/>
      <c r="BJ39" s="1482"/>
      <c r="BK39" s="1483"/>
      <c r="BL39" s="488"/>
      <c r="BM39" s="555"/>
      <c r="BO39" s="153"/>
      <c r="BP39" s="54"/>
      <c r="BQ39" s="1482"/>
      <c r="BR39" s="1483"/>
      <c r="BS39" s="1529"/>
      <c r="BT39" s="1530"/>
      <c r="BU39" s="1530"/>
      <c r="BV39" s="1530"/>
      <c r="BW39" s="1531"/>
      <c r="BX39" s="1538"/>
      <c r="BY39" s="1539"/>
      <c r="BZ39" s="1539"/>
      <c r="CA39" s="1539"/>
      <c r="CB39" s="1540"/>
      <c r="CC39" s="1809"/>
      <c r="CD39" s="1809"/>
      <c r="CE39" s="1809"/>
      <c r="CF39" s="1809"/>
      <c r="CG39" s="1809"/>
      <c r="CH39" s="1812"/>
      <c r="CI39" s="1812"/>
      <c r="CJ39" s="1812"/>
      <c r="CK39" s="1812"/>
      <c r="CL39" s="1812"/>
      <c r="CM39" s="1788"/>
      <c r="CN39" s="1788"/>
      <c r="CO39" s="1788"/>
      <c r="CP39" s="1788"/>
      <c r="CQ39" s="1788"/>
      <c r="CR39" s="1790"/>
      <c r="CS39" s="1790"/>
      <c r="CT39" s="1790"/>
      <c r="CU39" s="1790"/>
      <c r="CV39" s="1790"/>
      <c r="CW39" s="1792"/>
      <c r="CX39" s="1792"/>
      <c r="CY39" s="1792"/>
      <c r="CZ39" s="1792"/>
      <c r="DA39" s="1792"/>
      <c r="DB39" s="1794"/>
      <c r="DC39" s="1794"/>
      <c r="DD39" s="1794"/>
      <c r="DE39" s="1794"/>
      <c r="DF39" s="1794"/>
      <c r="DG39" s="1794"/>
      <c r="DH39" s="1794"/>
      <c r="DI39" s="1794"/>
      <c r="DJ39" s="1794"/>
      <c r="DK39" s="1814"/>
      <c r="DL39" s="1482"/>
      <c r="DM39" s="1483"/>
      <c r="DN39" s="488"/>
      <c r="DO39" s="555"/>
    </row>
    <row r="40" spans="1:119" ht="13.5" customHeight="1" x14ac:dyDescent="0.2">
      <c r="B40" s="617" t="s">
        <v>423</v>
      </c>
      <c r="C40" s="411">
        <f>C39</f>
        <v>9</v>
      </c>
      <c r="D40" s="46"/>
      <c r="E40" s="43"/>
      <c r="F40" s="42" t="s">
        <v>423</v>
      </c>
      <c r="G40" s="411">
        <f>G39</f>
        <v>48</v>
      </c>
      <c r="H40" s="338"/>
      <c r="J40" s="370"/>
      <c r="L40" s="299"/>
      <c r="M40" s="491"/>
      <c r="N40" s="54"/>
      <c r="O40" s="1482"/>
      <c r="P40" s="1483"/>
      <c r="Q40" s="1569" t="str">
        <f>V40</f>
        <v>Inner row
Interior modules</v>
      </c>
      <c r="R40" s="1278"/>
      <c r="S40" s="1278"/>
      <c r="T40" s="1278"/>
      <c r="U40" s="1279"/>
      <c r="V40" s="1277" t="str">
        <f>V32</f>
        <v>Inner row
Interior modules</v>
      </c>
      <c r="W40" s="1278"/>
      <c r="X40" s="1278"/>
      <c r="Y40" s="1278"/>
      <c r="Z40" s="1279"/>
      <c r="AA40" s="1331" t="str">
        <f>AA32</f>
        <v>Inner row
1st-10th module</v>
      </c>
      <c r="AB40" s="1332"/>
      <c r="AC40" s="1332"/>
      <c r="AD40" s="1332"/>
      <c r="AE40" s="1333"/>
      <c r="AF40" s="1340" t="str">
        <f>AF32</f>
        <v>Inner row
Interior modules</v>
      </c>
      <c r="AG40" s="1341"/>
      <c r="AH40" s="1341"/>
      <c r="AI40" s="1341"/>
      <c r="AJ40" s="1342"/>
      <c r="AK40" s="1349" t="str">
        <f>AK32</f>
        <v>Inner row
1st-10th module</v>
      </c>
      <c r="AL40" s="1350"/>
      <c r="AM40" s="1350"/>
      <c r="AN40" s="1350"/>
      <c r="AO40" s="1351"/>
      <c r="AP40" s="1358" t="str">
        <f>AP32</f>
        <v>Inner row
Interior modules</v>
      </c>
      <c r="AQ40" s="1359"/>
      <c r="AR40" s="1359"/>
      <c r="AS40" s="1359"/>
      <c r="AT40" s="1360"/>
      <c r="AU40" s="1500" t="str">
        <f>AU32</f>
        <v>Inner row
1st-10th module</v>
      </c>
      <c r="AV40" s="1501"/>
      <c r="AW40" s="1501"/>
      <c r="AX40" s="1501"/>
      <c r="AY40" s="1502"/>
      <c r="AZ40" s="1604" t="s">
        <v>456</v>
      </c>
      <c r="BA40" s="1605"/>
      <c r="BB40" s="1605"/>
      <c r="BC40" s="1605"/>
      <c r="BD40" s="1606"/>
      <c r="BE40" s="1486" t="s">
        <v>481</v>
      </c>
      <c r="BF40" s="1487"/>
      <c r="BG40" s="1487"/>
      <c r="BH40" s="1487"/>
      <c r="BI40" s="1488"/>
      <c r="BJ40" s="1482"/>
      <c r="BK40" s="1483"/>
      <c r="BL40" s="360"/>
      <c r="BM40" s="484"/>
      <c r="BO40" s="491"/>
      <c r="BP40" s="54"/>
      <c r="BQ40" s="1482"/>
      <c r="BR40" s="1483"/>
      <c r="BS40" s="1391" t="str">
        <f>BE40</f>
        <v>North row (only if array interrupted)
1st-10th module</v>
      </c>
      <c r="BT40" s="1392"/>
      <c r="BU40" s="1392"/>
      <c r="BV40" s="1392"/>
      <c r="BW40" s="1393"/>
      <c r="BX40" s="1400" t="str">
        <f t="shared" ref="BX40" si="0">AZ40</f>
        <v>North row (only if array interrupted)
Interior modules</v>
      </c>
      <c r="BY40" s="1401"/>
      <c r="BZ40" s="1401"/>
      <c r="CA40" s="1401"/>
      <c r="CB40" s="1402"/>
      <c r="CC40" s="1809" t="str">
        <f t="shared" ref="CC40" si="1">AU40</f>
        <v>Inner row
1st-10th module</v>
      </c>
      <c r="CD40" s="1809"/>
      <c r="CE40" s="1809"/>
      <c r="CF40" s="1809"/>
      <c r="CG40" s="1809"/>
      <c r="CH40" s="1812" t="str">
        <f t="shared" ref="CH40" si="2">AP40</f>
        <v>Inner row
Interior modules</v>
      </c>
      <c r="CI40" s="1812"/>
      <c r="CJ40" s="1812"/>
      <c r="CK40" s="1812"/>
      <c r="CL40" s="1812"/>
      <c r="CM40" s="1788" t="str">
        <f t="shared" ref="CM40" si="3">AK40</f>
        <v>Inner row
1st-10th module</v>
      </c>
      <c r="CN40" s="1788"/>
      <c r="CO40" s="1788"/>
      <c r="CP40" s="1788"/>
      <c r="CQ40" s="1788"/>
      <c r="CR40" s="1790" t="str">
        <f t="shared" ref="CR40" si="4">AF40</f>
        <v>Inner row
Interior modules</v>
      </c>
      <c r="CS40" s="1790"/>
      <c r="CT40" s="1790"/>
      <c r="CU40" s="1790"/>
      <c r="CV40" s="1790"/>
      <c r="CW40" s="1792" t="str">
        <f t="shared" ref="CW40" si="5">AA40</f>
        <v>Inner row
1st-10th module</v>
      </c>
      <c r="CX40" s="1792"/>
      <c r="CY40" s="1792"/>
      <c r="CZ40" s="1792"/>
      <c r="DA40" s="1792"/>
      <c r="DB40" s="1794" t="str">
        <f t="shared" ref="DB40" si="6">V40</f>
        <v>Inner row
Interior modules</v>
      </c>
      <c r="DC40" s="1794"/>
      <c r="DD40" s="1794"/>
      <c r="DE40" s="1794"/>
      <c r="DF40" s="1794"/>
      <c r="DG40" s="1794" t="str">
        <f t="shared" ref="DG40" si="7">Q40</f>
        <v>Inner row
Interior modules</v>
      </c>
      <c r="DH40" s="1794"/>
      <c r="DI40" s="1794"/>
      <c r="DJ40" s="1794"/>
      <c r="DK40" s="1814"/>
      <c r="DL40" s="1482"/>
      <c r="DM40" s="1483"/>
      <c r="DN40" s="360"/>
      <c r="DO40" s="484"/>
    </row>
    <row r="41" spans="1:119" ht="13.5" customHeight="1" thickBot="1" x14ac:dyDescent="0.25">
      <c r="B41" s="614"/>
      <c r="C41" s="615"/>
      <c r="D41" s="420"/>
      <c r="E41" s="421"/>
      <c r="F41" s="422"/>
      <c r="G41" s="422"/>
      <c r="H41" s="422"/>
      <c r="I41" s="422"/>
      <c r="J41" s="423"/>
      <c r="K41" s="1074"/>
      <c r="L41" s="299"/>
      <c r="M41" s="491"/>
      <c r="N41" s="54"/>
      <c r="O41" s="1482"/>
      <c r="P41" s="1483"/>
      <c r="Q41" s="1567"/>
      <c r="R41" s="1281"/>
      <c r="S41" s="1281"/>
      <c r="T41" s="1281"/>
      <c r="U41" s="1282"/>
      <c r="V41" s="1280"/>
      <c r="W41" s="1281"/>
      <c r="X41" s="1281"/>
      <c r="Y41" s="1281"/>
      <c r="Z41" s="1282"/>
      <c r="AA41" s="1334"/>
      <c r="AB41" s="1335"/>
      <c r="AC41" s="1335"/>
      <c r="AD41" s="1335"/>
      <c r="AE41" s="1336"/>
      <c r="AF41" s="1343"/>
      <c r="AG41" s="1344"/>
      <c r="AH41" s="1344"/>
      <c r="AI41" s="1344"/>
      <c r="AJ41" s="1345"/>
      <c r="AK41" s="1352"/>
      <c r="AL41" s="1353"/>
      <c r="AM41" s="1353"/>
      <c r="AN41" s="1353"/>
      <c r="AO41" s="1354"/>
      <c r="AP41" s="1361"/>
      <c r="AQ41" s="1362"/>
      <c r="AR41" s="1362"/>
      <c r="AS41" s="1362"/>
      <c r="AT41" s="1363"/>
      <c r="AU41" s="1503"/>
      <c r="AV41" s="1504"/>
      <c r="AW41" s="1504"/>
      <c r="AX41" s="1504"/>
      <c r="AY41" s="1505"/>
      <c r="AZ41" s="1607"/>
      <c r="BA41" s="1608"/>
      <c r="BB41" s="1608"/>
      <c r="BC41" s="1608"/>
      <c r="BD41" s="1609"/>
      <c r="BE41" s="1489"/>
      <c r="BF41" s="1490"/>
      <c r="BG41" s="1490"/>
      <c r="BH41" s="1490"/>
      <c r="BI41" s="1491"/>
      <c r="BJ41" s="1482"/>
      <c r="BK41" s="1483"/>
      <c r="BL41" s="360"/>
      <c r="BM41" s="485"/>
      <c r="BO41" s="491"/>
      <c r="BP41" s="54"/>
      <c r="BQ41" s="1482"/>
      <c r="BR41" s="1483"/>
      <c r="BS41" s="1394"/>
      <c r="BT41" s="1395"/>
      <c r="BU41" s="1395"/>
      <c r="BV41" s="1395"/>
      <c r="BW41" s="1396"/>
      <c r="BX41" s="1403"/>
      <c r="BY41" s="1404"/>
      <c r="BZ41" s="1404"/>
      <c r="CA41" s="1404"/>
      <c r="CB41" s="1405"/>
      <c r="CC41" s="1809"/>
      <c r="CD41" s="1809"/>
      <c r="CE41" s="1809"/>
      <c r="CF41" s="1809"/>
      <c r="CG41" s="1809"/>
      <c r="CH41" s="1812"/>
      <c r="CI41" s="1812"/>
      <c r="CJ41" s="1812"/>
      <c r="CK41" s="1812"/>
      <c r="CL41" s="1812"/>
      <c r="CM41" s="1788"/>
      <c r="CN41" s="1788"/>
      <c r="CO41" s="1788"/>
      <c r="CP41" s="1788"/>
      <c r="CQ41" s="1788"/>
      <c r="CR41" s="1790"/>
      <c r="CS41" s="1790"/>
      <c r="CT41" s="1790"/>
      <c r="CU41" s="1790"/>
      <c r="CV41" s="1790"/>
      <c r="CW41" s="1792"/>
      <c r="CX41" s="1792"/>
      <c r="CY41" s="1792"/>
      <c r="CZ41" s="1792"/>
      <c r="DA41" s="1792"/>
      <c r="DB41" s="1794"/>
      <c r="DC41" s="1794"/>
      <c r="DD41" s="1794"/>
      <c r="DE41" s="1794"/>
      <c r="DF41" s="1794"/>
      <c r="DG41" s="1794"/>
      <c r="DH41" s="1794"/>
      <c r="DI41" s="1794"/>
      <c r="DJ41" s="1794"/>
      <c r="DK41" s="1814"/>
      <c r="DL41" s="1482"/>
      <c r="DM41" s="1483"/>
      <c r="DN41" s="360"/>
      <c r="DO41" s="485"/>
    </row>
    <row r="42" spans="1:119" ht="13.5" customHeight="1" thickTop="1" x14ac:dyDescent="0.2">
      <c r="D42" s="18"/>
      <c r="E42" s="18"/>
      <c r="F42" s="159"/>
      <c r="G42" s="22"/>
      <c r="H42" s="22"/>
      <c r="I42" s="22"/>
      <c r="J42" s="22"/>
      <c r="K42" s="1075" t="s">
        <v>521</v>
      </c>
      <c r="L42" s="299"/>
      <c r="M42" s="491"/>
      <c r="N42" s="54"/>
      <c r="O42" s="1482"/>
      <c r="P42" s="1483"/>
      <c r="Q42" s="1568"/>
      <c r="R42" s="1284"/>
      <c r="S42" s="1284"/>
      <c r="T42" s="1284"/>
      <c r="U42" s="1285"/>
      <c r="V42" s="1283"/>
      <c r="W42" s="1284"/>
      <c r="X42" s="1284"/>
      <c r="Y42" s="1284"/>
      <c r="Z42" s="1285"/>
      <c r="AA42" s="1337"/>
      <c r="AB42" s="1338"/>
      <c r="AC42" s="1338"/>
      <c r="AD42" s="1338"/>
      <c r="AE42" s="1339"/>
      <c r="AF42" s="1346"/>
      <c r="AG42" s="1347"/>
      <c r="AH42" s="1347"/>
      <c r="AI42" s="1347"/>
      <c r="AJ42" s="1348"/>
      <c r="AK42" s="1355"/>
      <c r="AL42" s="1356"/>
      <c r="AM42" s="1356"/>
      <c r="AN42" s="1356"/>
      <c r="AO42" s="1357"/>
      <c r="AP42" s="1364"/>
      <c r="AQ42" s="1365"/>
      <c r="AR42" s="1365"/>
      <c r="AS42" s="1365"/>
      <c r="AT42" s="1366"/>
      <c r="AU42" s="1506"/>
      <c r="AV42" s="1507"/>
      <c r="AW42" s="1507"/>
      <c r="AX42" s="1507"/>
      <c r="AY42" s="1508"/>
      <c r="AZ42" s="1610"/>
      <c r="BA42" s="1611"/>
      <c r="BB42" s="1611"/>
      <c r="BC42" s="1611"/>
      <c r="BD42" s="1612"/>
      <c r="BE42" s="1492"/>
      <c r="BF42" s="1493"/>
      <c r="BG42" s="1493"/>
      <c r="BH42" s="1493"/>
      <c r="BI42" s="1494"/>
      <c r="BJ42" s="1482"/>
      <c r="BK42" s="1483"/>
      <c r="BL42" s="360"/>
      <c r="BM42" s="485"/>
      <c r="BO42" s="491"/>
      <c r="BP42" s="54"/>
      <c r="BQ42" s="1482"/>
      <c r="BR42" s="1483"/>
      <c r="BS42" s="1397"/>
      <c r="BT42" s="1398"/>
      <c r="BU42" s="1398"/>
      <c r="BV42" s="1398"/>
      <c r="BW42" s="1399"/>
      <c r="BX42" s="1406"/>
      <c r="BY42" s="1407"/>
      <c r="BZ42" s="1407"/>
      <c r="CA42" s="1407"/>
      <c r="CB42" s="1408"/>
      <c r="CC42" s="1809"/>
      <c r="CD42" s="1809"/>
      <c r="CE42" s="1809"/>
      <c r="CF42" s="1809"/>
      <c r="CG42" s="1809"/>
      <c r="CH42" s="1812"/>
      <c r="CI42" s="1812"/>
      <c r="CJ42" s="1812"/>
      <c r="CK42" s="1812"/>
      <c r="CL42" s="1812"/>
      <c r="CM42" s="1788"/>
      <c r="CN42" s="1788"/>
      <c r="CO42" s="1788"/>
      <c r="CP42" s="1788"/>
      <c r="CQ42" s="1788"/>
      <c r="CR42" s="1790"/>
      <c r="CS42" s="1790"/>
      <c r="CT42" s="1790"/>
      <c r="CU42" s="1790"/>
      <c r="CV42" s="1790"/>
      <c r="CW42" s="1792"/>
      <c r="CX42" s="1792"/>
      <c r="CY42" s="1792"/>
      <c r="CZ42" s="1792"/>
      <c r="DA42" s="1792"/>
      <c r="DB42" s="1794"/>
      <c r="DC42" s="1794"/>
      <c r="DD42" s="1794"/>
      <c r="DE42" s="1794"/>
      <c r="DF42" s="1794"/>
      <c r="DG42" s="1794"/>
      <c r="DH42" s="1794"/>
      <c r="DI42" s="1794"/>
      <c r="DJ42" s="1794"/>
      <c r="DK42" s="1814"/>
      <c r="DL42" s="1482"/>
      <c r="DM42" s="1483"/>
      <c r="DN42" s="360"/>
      <c r="DO42" s="485"/>
    </row>
    <row r="43" spans="1:119" ht="13.5" customHeight="1" thickBot="1" x14ac:dyDescent="0.25">
      <c r="D43" s="18"/>
      <c r="E43" s="18"/>
      <c r="F43" s="159"/>
      <c r="G43" s="22"/>
      <c r="H43" s="22"/>
      <c r="I43" s="22"/>
      <c r="J43" s="22"/>
      <c r="K43" s="1076" t="s">
        <v>522</v>
      </c>
      <c r="L43" s="299"/>
      <c r="M43" s="491"/>
      <c r="N43" s="54"/>
      <c r="O43" s="1482"/>
      <c r="P43" s="1483"/>
      <c r="Q43" s="1569" t="str">
        <f>V43</f>
        <v>Inner row
Interior modules</v>
      </c>
      <c r="R43" s="1278"/>
      <c r="S43" s="1278"/>
      <c r="T43" s="1278"/>
      <c r="U43" s="1279"/>
      <c r="V43" s="1277" t="str">
        <f>V32</f>
        <v>Inner row
Interior modules</v>
      </c>
      <c r="W43" s="1278"/>
      <c r="X43" s="1278"/>
      <c r="Y43" s="1278"/>
      <c r="Z43" s="1279"/>
      <c r="AA43" s="1331" t="str">
        <f>AA32</f>
        <v>Inner row
1st-10th module</v>
      </c>
      <c r="AB43" s="1332"/>
      <c r="AC43" s="1332"/>
      <c r="AD43" s="1332"/>
      <c r="AE43" s="1333"/>
      <c r="AF43" s="1340" t="str">
        <f>AF32</f>
        <v>Inner row
Interior modules</v>
      </c>
      <c r="AG43" s="1341"/>
      <c r="AH43" s="1341"/>
      <c r="AI43" s="1341"/>
      <c r="AJ43" s="1342"/>
      <c r="AK43" s="1349" t="str">
        <f>AK32</f>
        <v>Inner row
1st-10th module</v>
      </c>
      <c r="AL43" s="1350"/>
      <c r="AM43" s="1350"/>
      <c r="AN43" s="1350"/>
      <c r="AO43" s="1351"/>
      <c r="AP43" s="1358" t="str">
        <f>AP32</f>
        <v>Inner row
Interior modules</v>
      </c>
      <c r="AQ43" s="1359"/>
      <c r="AR43" s="1359"/>
      <c r="AS43" s="1359"/>
      <c r="AT43" s="1360"/>
      <c r="AU43" s="1367" t="str">
        <f>AU32</f>
        <v>Inner row
1st-10th module</v>
      </c>
      <c r="AV43" s="1368"/>
      <c r="AW43" s="1368"/>
      <c r="AX43" s="1368"/>
      <c r="AY43" s="1369"/>
      <c r="AZ43" s="1409" t="str">
        <f>CONCATENATE(B108,CHAR(10),E63)</f>
        <v>Inner row
Interior modules</v>
      </c>
      <c r="BA43" s="1410"/>
      <c r="BB43" s="1410"/>
      <c r="BC43" s="1410"/>
      <c r="BD43" s="1411"/>
      <c r="BE43" s="1418" t="str">
        <f>CONCATENATE(B108,CHAR(10),E62)</f>
        <v>Inner row
1st-10th module</v>
      </c>
      <c r="BF43" s="1419"/>
      <c r="BG43" s="1419"/>
      <c r="BH43" s="1419"/>
      <c r="BI43" s="1420"/>
      <c r="BJ43" s="1482"/>
      <c r="BK43" s="1483"/>
      <c r="BL43" s="360"/>
      <c r="BM43" s="556"/>
      <c r="BO43" s="491"/>
      <c r="BP43" s="54"/>
      <c r="BQ43" s="1482"/>
      <c r="BR43" s="1483"/>
      <c r="BS43" s="1304" t="str">
        <f>BE43</f>
        <v>Inner row
1st-10th module</v>
      </c>
      <c r="BT43" s="1305"/>
      <c r="BU43" s="1305"/>
      <c r="BV43" s="1305"/>
      <c r="BW43" s="1306"/>
      <c r="BX43" s="1313" t="str">
        <f>AZ43</f>
        <v>Inner row
Interior modules</v>
      </c>
      <c r="BY43" s="1314"/>
      <c r="BZ43" s="1314"/>
      <c r="CA43" s="1314"/>
      <c r="CB43" s="1315"/>
      <c r="CC43" s="1824" t="str">
        <f t="shared" ref="CC43" si="8">AU43</f>
        <v>Inner row
1st-10th module</v>
      </c>
      <c r="CD43" s="1824"/>
      <c r="CE43" s="1824"/>
      <c r="CF43" s="1824"/>
      <c r="CG43" s="1824"/>
      <c r="CH43" s="1812" t="str">
        <f t="shared" ref="CH43" si="9">AP43</f>
        <v>Inner row
Interior modules</v>
      </c>
      <c r="CI43" s="1812"/>
      <c r="CJ43" s="1812"/>
      <c r="CK43" s="1812"/>
      <c r="CL43" s="1812"/>
      <c r="CM43" s="1788" t="str">
        <f t="shared" ref="CM43" si="10">AK43</f>
        <v>Inner row
1st-10th module</v>
      </c>
      <c r="CN43" s="1788"/>
      <c r="CO43" s="1788"/>
      <c r="CP43" s="1788"/>
      <c r="CQ43" s="1788"/>
      <c r="CR43" s="1790" t="str">
        <f t="shared" ref="CR43" si="11">AF43</f>
        <v>Inner row
Interior modules</v>
      </c>
      <c r="CS43" s="1790"/>
      <c r="CT43" s="1790"/>
      <c r="CU43" s="1790"/>
      <c r="CV43" s="1790"/>
      <c r="CW43" s="1792" t="str">
        <f t="shared" ref="CW43" si="12">AA43</f>
        <v>Inner row
1st-10th module</v>
      </c>
      <c r="CX43" s="1792"/>
      <c r="CY43" s="1792"/>
      <c r="CZ43" s="1792"/>
      <c r="DA43" s="1792"/>
      <c r="DB43" s="1794" t="str">
        <f t="shared" ref="DB43" si="13">V43</f>
        <v>Inner row
Interior modules</v>
      </c>
      <c r="DC43" s="1794"/>
      <c r="DD43" s="1794"/>
      <c r="DE43" s="1794"/>
      <c r="DF43" s="1794"/>
      <c r="DG43" s="1794" t="str">
        <f t="shared" ref="DG43" si="14">Q43</f>
        <v>Inner row
Interior modules</v>
      </c>
      <c r="DH43" s="1794"/>
      <c r="DI43" s="1794"/>
      <c r="DJ43" s="1794"/>
      <c r="DK43" s="1814"/>
      <c r="DL43" s="1482"/>
      <c r="DM43" s="1483"/>
      <c r="DN43" s="360"/>
      <c r="DO43" s="556"/>
    </row>
    <row r="44" spans="1:119" ht="13.5" customHeight="1" thickTop="1" thickBot="1" x14ac:dyDescent="0.3">
      <c r="A44" s="24"/>
      <c r="B44" s="1671" t="s">
        <v>425</v>
      </c>
      <c r="C44" s="1672"/>
      <c r="D44" s="1673"/>
      <c r="E44" s="1655" t="s">
        <v>354</v>
      </c>
      <c r="F44" s="1656"/>
      <c r="G44" s="1656"/>
      <c r="H44" s="1656"/>
      <c r="I44" s="1657"/>
      <c r="J44" s="656"/>
      <c r="K44" s="20" t="s">
        <v>523</v>
      </c>
      <c r="L44" s="118"/>
      <c r="M44" s="491"/>
      <c r="N44" s="54"/>
      <c r="O44" s="1482"/>
      <c r="P44" s="1483"/>
      <c r="Q44" s="1567"/>
      <c r="R44" s="1281"/>
      <c r="S44" s="1281"/>
      <c r="T44" s="1281"/>
      <c r="U44" s="1282"/>
      <c r="V44" s="1280"/>
      <c r="W44" s="1281"/>
      <c r="X44" s="1281"/>
      <c r="Y44" s="1281"/>
      <c r="Z44" s="1282"/>
      <c r="AA44" s="1334"/>
      <c r="AB44" s="1335"/>
      <c r="AC44" s="1335"/>
      <c r="AD44" s="1335"/>
      <c r="AE44" s="1336"/>
      <c r="AF44" s="1343"/>
      <c r="AG44" s="1344"/>
      <c r="AH44" s="1344"/>
      <c r="AI44" s="1344"/>
      <c r="AJ44" s="1345"/>
      <c r="AK44" s="1352"/>
      <c r="AL44" s="1353"/>
      <c r="AM44" s="1353"/>
      <c r="AN44" s="1353"/>
      <c r="AO44" s="1354"/>
      <c r="AP44" s="1361"/>
      <c r="AQ44" s="1362"/>
      <c r="AR44" s="1362"/>
      <c r="AS44" s="1362"/>
      <c r="AT44" s="1363"/>
      <c r="AU44" s="1370"/>
      <c r="AV44" s="1371"/>
      <c r="AW44" s="1371"/>
      <c r="AX44" s="1371"/>
      <c r="AY44" s="1372"/>
      <c r="AZ44" s="1412"/>
      <c r="BA44" s="1413"/>
      <c r="BB44" s="1413"/>
      <c r="BC44" s="1413"/>
      <c r="BD44" s="1414"/>
      <c r="BE44" s="1421"/>
      <c r="BF44" s="1422"/>
      <c r="BG44" s="1422"/>
      <c r="BH44" s="1422"/>
      <c r="BI44" s="1423"/>
      <c r="BJ44" s="1482"/>
      <c r="BK44" s="1483"/>
      <c r="BL44" s="360"/>
      <c r="BM44" s="375"/>
      <c r="BO44" s="491"/>
      <c r="BP44" s="54"/>
      <c r="BQ44" s="1482"/>
      <c r="BR44" s="1483"/>
      <c r="BS44" s="1307"/>
      <c r="BT44" s="1308"/>
      <c r="BU44" s="1308"/>
      <c r="BV44" s="1308"/>
      <c r="BW44" s="1309"/>
      <c r="BX44" s="1316"/>
      <c r="BY44" s="1317"/>
      <c r="BZ44" s="1317"/>
      <c r="CA44" s="1317"/>
      <c r="CB44" s="1318"/>
      <c r="CC44" s="1824"/>
      <c r="CD44" s="1824"/>
      <c r="CE44" s="1824"/>
      <c r="CF44" s="1824"/>
      <c r="CG44" s="1824"/>
      <c r="CH44" s="1812"/>
      <c r="CI44" s="1812"/>
      <c r="CJ44" s="1812"/>
      <c r="CK44" s="1812"/>
      <c r="CL44" s="1812"/>
      <c r="CM44" s="1788"/>
      <c r="CN44" s="1788"/>
      <c r="CO44" s="1788"/>
      <c r="CP44" s="1788"/>
      <c r="CQ44" s="1788"/>
      <c r="CR44" s="1790"/>
      <c r="CS44" s="1790"/>
      <c r="CT44" s="1790"/>
      <c r="CU44" s="1790"/>
      <c r="CV44" s="1790"/>
      <c r="CW44" s="1792"/>
      <c r="CX44" s="1792"/>
      <c r="CY44" s="1792"/>
      <c r="CZ44" s="1792"/>
      <c r="DA44" s="1792"/>
      <c r="DB44" s="1794"/>
      <c r="DC44" s="1794"/>
      <c r="DD44" s="1794"/>
      <c r="DE44" s="1794"/>
      <c r="DF44" s="1794"/>
      <c r="DG44" s="1794"/>
      <c r="DH44" s="1794"/>
      <c r="DI44" s="1794"/>
      <c r="DJ44" s="1794"/>
      <c r="DK44" s="1814"/>
      <c r="DL44" s="1482"/>
      <c r="DM44" s="1483"/>
      <c r="DN44" s="360"/>
      <c r="DO44" s="375"/>
    </row>
    <row r="45" spans="1:119" ht="13.5" customHeight="1" x14ac:dyDescent="0.25">
      <c r="A45" s="24"/>
      <c r="B45" s="1674"/>
      <c r="C45" s="1675"/>
      <c r="D45" s="1676"/>
      <c r="E45" s="1181" t="s">
        <v>424</v>
      </c>
      <c r="F45" s="1689" t="s">
        <v>355</v>
      </c>
      <c r="G45" s="1691" t="s">
        <v>356</v>
      </c>
      <c r="H45" s="1196" t="s">
        <v>357</v>
      </c>
      <c r="I45" s="1700" t="s">
        <v>358</v>
      </c>
      <c r="J45" s="656"/>
      <c r="K45" s="1046" t="s">
        <v>518</v>
      </c>
      <c r="L45" s="118"/>
      <c r="M45" s="491"/>
      <c r="N45" s="54"/>
      <c r="O45" s="1482"/>
      <c r="P45" s="1483"/>
      <c r="Q45" s="1568"/>
      <c r="R45" s="1284"/>
      <c r="S45" s="1284"/>
      <c r="T45" s="1284"/>
      <c r="U45" s="1285"/>
      <c r="V45" s="1283"/>
      <c r="W45" s="1284"/>
      <c r="X45" s="1284"/>
      <c r="Y45" s="1284"/>
      <c r="Z45" s="1285"/>
      <c r="AA45" s="1337"/>
      <c r="AB45" s="1338"/>
      <c r="AC45" s="1338"/>
      <c r="AD45" s="1338"/>
      <c r="AE45" s="1339"/>
      <c r="AF45" s="1346"/>
      <c r="AG45" s="1347"/>
      <c r="AH45" s="1347"/>
      <c r="AI45" s="1347"/>
      <c r="AJ45" s="1348"/>
      <c r="AK45" s="1355"/>
      <c r="AL45" s="1356"/>
      <c r="AM45" s="1356"/>
      <c r="AN45" s="1356"/>
      <c r="AO45" s="1357"/>
      <c r="AP45" s="1364"/>
      <c r="AQ45" s="1365"/>
      <c r="AR45" s="1365"/>
      <c r="AS45" s="1365"/>
      <c r="AT45" s="1366"/>
      <c r="AU45" s="1373"/>
      <c r="AV45" s="1374"/>
      <c r="AW45" s="1374"/>
      <c r="AX45" s="1374"/>
      <c r="AY45" s="1375"/>
      <c r="AZ45" s="1415"/>
      <c r="BA45" s="1416"/>
      <c r="BB45" s="1416"/>
      <c r="BC45" s="1416"/>
      <c r="BD45" s="1417"/>
      <c r="BE45" s="1424"/>
      <c r="BF45" s="1425"/>
      <c r="BG45" s="1425"/>
      <c r="BH45" s="1425"/>
      <c r="BI45" s="1426"/>
      <c r="BJ45" s="1482"/>
      <c r="BK45" s="1483"/>
      <c r="BL45" s="360"/>
      <c r="BM45" s="1276"/>
      <c r="BO45" s="491"/>
      <c r="BP45" s="54"/>
      <c r="BQ45" s="1482"/>
      <c r="BR45" s="1483"/>
      <c r="BS45" s="1310"/>
      <c r="BT45" s="1311"/>
      <c r="BU45" s="1311"/>
      <c r="BV45" s="1311"/>
      <c r="BW45" s="1312"/>
      <c r="BX45" s="1319"/>
      <c r="BY45" s="1320"/>
      <c r="BZ45" s="1320"/>
      <c r="CA45" s="1320"/>
      <c r="CB45" s="1321"/>
      <c r="CC45" s="1824"/>
      <c r="CD45" s="1824"/>
      <c r="CE45" s="1824"/>
      <c r="CF45" s="1824"/>
      <c r="CG45" s="1824"/>
      <c r="CH45" s="1812"/>
      <c r="CI45" s="1812"/>
      <c r="CJ45" s="1812"/>
      <c r="CK45" s="1812"/>
      <c r="CL45" s="1812"/>
      <c r="CM45" s="1788"/>
      <c r="CN45" s="1788"/>
      <c r="CO45" s="1788"/>
      <c r="CP45" s="1788"/>
      <c r="CQ45" s="1788"/>
      <c r="CR45" s="1790"/>
      <c r="CS45" s="1790"/>
      <c r="CT45" s="1790"/>
      <c r="CU45" s="1790"/>
      <c r="CV45" s="1790"/>
      <c r="CW45" s="1792"/>
      <c r="CX45" s="1792"/>
      <c r="CY45" s="1792"/>
      <c r="CZ45" s="1792"/>
      <c r="DA45" s="1792"/>
      <c r="DB45" s="1794"/>
      <c r="DC45" s="1794"/>
      <c r="DD45" s="1794"/>
      <c r="DE45" s="1794"/>
      <c r="DF45" s="1794"/>
      <c r="DG45" s="1794"/>
      <c r="DH45" s="1794"/>
      <c r="DI45" s="1794"/>
      <c r="DJ45" s="1794"/>
      <c r="DK45" s="1814"/>
      <c r="DL45" s="1482"/>
      <c r="DM45" s="1483"/>
      <c r="DN45" s="360"/>
      <c r="DO45" s="1276"/>
    </row>
    <row r="46" spans="1:119" ht="13.5" customHeight="1" thickBot="1" x14ac:dyDescent="0.3">
      <c r="A46" s="24"/>
      <c r="B46" s="1674"/>
      <c r="C46" s="1675"/>
      <c r="D46" s="1676"/>
      <c r="E46" s="1182"/>
      <c r="F46" s="1690"/>
      <c r="G46" s="1692"/>
      <c r="H46" s="1197"/>
      <c r="I46" s="1701"/>
      <c r="J46" s="656"/>
      <c r="K46" s="1050" t="s">
        <v>520</v>
      </c>
      <c r="L46" s="118"/>
      <c r="M46" s="491"/>
      <c r="N46" s="54"/>
      <c r="O46" s="1482"/>
      <c r="P46" s="1483"/>
      <c r="Q46" s="1569" t="str">
        <f>V46</f>
        <v>Inner row
Interior modules</v>
      </c>
      <c r="R46" s="1278"/>
      <c r="S46" s="1278"/>
      <c r="T46" s="1278"/>
      <c r="U46" s="1279"/>
      <c r="V46" s="1277" t="str">
        <f>V32</f>
        <v>Inner row
Interior modules</v>
      </c>
      <c r="W46" s="1278"/>
      <c r="X46" s="1278"/>
      <c r="Y46" s="1278"/>
      <c r="Z46" s="1279"/>
      <c r="AA46" s="1331" t="str">
        <f>AA32</f>
        <v>Inner row
1st-10th module</v>
      </c>
      <c r="AB46" s="1332"/>
      <c r="AC46" s="1332"/>
      <c r="AD46" s="1332"/>
      <c r="AE46" s="1333"/>
      <c r="AF46" s="1340" t="str">
        <f>AF32</f>
        <v>Inner row
Interior modules</v>
      </c>
      <c r="AG46" s="1341"/>
      <c r="AH46" s="1341"/>
      <c r="AI46" s="1341"/>
      <c r="AJ46" s="1342"/>
      <c r="AK46" s="1349" t="str">
        <f>AK32</f>
        <v>Inner row
1st-10th module</v>
      </c>
      <c r="AL46" s="1350"/>
      <c r="AM46" s="1350"/>
      <c r="AN46" s="1350"/>
      <c r="AO46" s="1351"/>
      <c r="AP46" s="1358" t="str">
        <f>AP32</f>
        <v>Inner row
Interior modules</v>
      </c>
      <c r="AQ46" s="1359"/>
      <c r="AR46" s="1359"/>
      <c r="AS46" s="1359"/>
      <c r="AT46" s="1360"/>
      <c r="AU46" s="1367" t="str">
        <f>AU32</f>
        <v>Inner row
1st-10th module</v>
      </c>
      <c r="AV46" s="1368"/>
      <c r="AW46" s="1368"/>
      <c r="AX46" s="1368"/>
      <c r="AY46" s="1369"/>
      <c r="AZ46" s="1409" t="str">
        <f>AZ43</f>
        <v>Inner row
Interior modules</v>
      </c>
      <c r="BA46" s="1410"/>
      <c r="BB46" s="1410"/>
      <c r="BC46" s="1410"/>
      <c r="BD46" s="1411"/>
      <c r="BE46" s="1418" t="str">
        <f>BE43</f>
        <v>Inner row
1st-10th module</v>
      </c>
      <c r="BF46" s="1419"/>
      <c r="BG46" s="1419"/>
      <c r="BH46" s="1419"/>
      <c r="BI46" s="1420"/>
      <c r="BJ46" s="1482"/>
      <c r="BK46" s="1483"/>
      <c r="BL46" s="360"/>
      <c r="BM46" s="1276"/>
      <c r="BO46" s="491"/>
      <c r="BP46" s="54"/>
      <c r="BQ46" s="1482"/>
      <c r="BR46" s="1483"/>
      <c r="BS46" s="1304" t="str">
        <f>BE46</f>
        <v>Inner row
1st-10th module</v>
      </c>
      <c r="BT46" s="1305"/>
      <c r="BU46" s="1305"/>
      <c r="BV46" s="1305"/>
      <c r="BW46" s="1306"/>
      <c r="BX46" s="1313" t="str">
        <f>AZ46</f>
        <v>Inner row
Interior modules</v>
      </c>
      <c r="BY46" s="1314"/>
      <c r="BZ46" s="1314"/>
      <c r="CA46" s="1314"/>
      <c r="CB46" s="1315"/>
      <c r="CC46" s="1367" t="str">
        <f>AP46</f>
        <v>Inner row
Interior modules</v>
      </c>
      <c r="CD46" s="1368"/>
      <c r="CE46" s="1368"/>
      <c r="CF46" s="1368"/>
      <c r="CG46" s="1369"/>
      <c r="CH46" s="1358" t="str">
        <f>AP46</f>
        <v>Inner row
Interior modules</v>
      </c>
      <c r="CI46" s="1359"/>
      <c r="CJ46" s="1359"/>
      <c r="CK46" s="1359"/>
      <c r="CL46" s="1360"/>
      <c r="CM46" s="1349" t="str">
        <f>AK46</f>
        <v>Inner row
1st-10th module</v>
      </c>
      <c r="CN46" s="1350"/>
      <c r="CO46" s="1350"/>
      <c r="CP46" s="1350"/>
      <c r="CQ46" s="1351"/>
      <c r="CR46" s="1340" t="str">
        <f>AF46</f>
        <v>Inner row
Interior modules</v>
      </c>
      <c r="CS46" s="1341"/>
      <c r="CT46" s="1341"/>
      <c r="CU46" s="1341"/>
      <c r="CV46" s="1342"/>
      <c r="CW46" s="1331" t="str">
        <f>AA46</f>
        <v>Inner row
1st-10th module</v>
      </c>
      <c r="CX46" s="1332"/>
      <c r="CY46" s="1332"/>
      <c r="CZ46" s="1332"/>
      <c r="DA46" s="1333"/>
      <c r="DB46" s="1277" t="str">
        <f>V46</f>
        <v>Inner row
Interior modules</v>
      </c>
      <c r="DC46" s="1278"/>
      <c r="DD46" s="1278"/>
      <c r="DE46" s="1278"/>
      <c r="DF46" s="1279"/>
      <c r="DG46" s="1277" t="str">
        <f>Q46</f>
        <v>Inner row
Interior modules</v>
      </c>
      <c r="DH46" s="1278"/>
      <c r="DI46" s="1278"/>
      <c r="DJ46" s="1278"/>
      <c r="DK46" s="1286"/>
      <c r="DL46" s="1482"/>
      <c r="DM46" s="1483"/>
      <c r="DN46" s="360"/>
      <c r="DO46" s="1276"/>
    </row>
    <row r="47" spans="1:119" ht="13.5" customHeight="1" thickBot="1" x14ac:dyDescent="0.3">
      <c r="A47" s="24"/>
      <c r="B47" s="1677"/>
      <c r="C47" s="1822"/>
      <c r="D47" s="1679"/>
      <c r="E47" s="1698"/>
      <c r="F47" s="589">
        <f>VLOOKUP(F11,C104:J119,5,FALSE)</f>
        <v>1</v>
      </c>
      <c r="G47" s="590">
        <f>VLOOKUP(F11,C104:J119,6,FALSE)</f>
        <v>1</v>
      </c>
      <c r="H47" s="590">
        <f>VLOOKUP(F11,C104:J119,7,FALSE)</f>
        <v>0.9</v>
      </c>
      <c r="I47" s="404">
        <f>VLOOKUP(F11,C104:J119,8,FALSE)</f>
        <v>0.9</v>
      </c>
      <c r="J47" s="656"/>
      <c r="K47" s="1047" t="s">
        <v>519</v>
      </c>
      <c r="L47" s="118"/>
      <c r="M47" s="491"/>
      <c r="N47" s="54"/>
      <c r="O47" s="1482"/>
      <c r="P47" s="1483"/>
      <c r="Q47" s="1567"/>
      <c r="R47" s="1281"/>
      <c r="S47" s="1281"/>
      <c r="T47" s="1281"/>
      <c r="U47" s="1282"/>
      <c r="V47" s="1280"/>
      <c r="W47" s="1281"/>
      <c r="X47" s="1281"/>
      <c r="Y47" s="1281"/>
      <c r="Z47" s="1282"/>
      <c r="AA47" s="1334"/>
      <c r="AB47" s="1335"/>
      <c r="AC47" s="1335"/>
      <c r="AD47" s="1335"/>
      <c r="AE47" s="1336"/>
      <c r="AF47" s="1343"/>
      <c r="AG47" s="1344"/>
      <c r="AH47" s="1344"/>
      <c r="AI47" s="1344"/>
      <c r="AJ47" s="1345"/>
      <c r="AK47" s="1352"/>
      <c r="AL47" s="1353"/>
      <c r="AM47" s="1353"/>
      <c r="AN47" s="1353"/>
      <c r="AO47" s="1354"/>
      <c r="AP47" s="1361"/>
      <c r="AQ47" s="1362"/>
      <c r="AR47" s="1362"/>
      <c r="AS47" s="1362"/>
      <c r="AT47" s="1363"/>
      <c r="AU47" s="1370"/>
      <c r="AV47" s="1371"/>
      <c r="AW47" s="1371"/>
      <c r="AX47" s="1371"/>
      <c r="AY47" s="1372"/>
      <c r="AZ47" s="1412"/>
      <c r="BA47" s="1413"/>
      <c r="BB47" s="1413"/>
      <c r="BC47" s="1413"/>
      <c r="BD47" s="1414"/>
      <c r="BE47" s="1421"/>
      <c r="BF47" s="1422"/>
      <c r="BG47" s="1422"/>
      <c r="BH47" s="1422"/>
      <c r="BI47" s="1423"/>
      <c r="BJ47" s="1482"/>
      <c r="BK47" s="1483"/>
      <c r="BL47" s="360"/>
      <c r="BM47" s="485"/>
      <c r="BO47" s="491"/>
      <c r="BP47" s="54"/>
      <c r="BQ47" s="1482"/>
      <c r="BR47" s="1483"/>
      <c r="BS47" s="1307"/>
      <c r="BT47" s="1308"/>
      <c r="BU47" s="1308"/>
      <c r="BV47" s="1308"/>
      <c r="BW47" s="1309"/>
      <c r="BX47" s="1316"/>
      <c r="BY47" s="1317"/>
      <c r="BZ47" s="1317"/>
      <c r="CA47" s="1317"/>
      <c r="CB47" s="1318"/>
      <c r="CC47" s="1370"/>
      <c r="CD47" s="1371"/>
      <c r="CE47" s="1371"/>
      <c r="CF47" s="1371"/>
      <c r="CG47" s="1372"/>
      <c r="CH47" s="1361"/>
      <c r="CI47" s="1362"/>
      <c r="CJ47" s="1362"/>
      <c r="CK47" s="1362"/>
      <c r="CL47" s="1363"/>
      <c r="CM47" s="1352"/>
      <c r="CN47" s="1353"/>
      <c r="CO47" s="1353"/>
      <c r="CP47" s="1353"/>
      <c r="CQ47" s="1354"/>
      <c r="CR47" s="1343"/>
      <c r="CS47" s="1344"/>
      <c r="CT47" s="1344"/>
      <c r="CU47" s="1344"/>
      <c r="CV47" s="1345"/>
      <c r="CW47" s="1334"/>
      <c r="CX47" s="1335"/>
      <c r="CY47" s="1335"/>
      <c r="CZ47" s="1335"/>
      <c r="DA47" s="1336"/>
      <c r="DB47" s="1280"/>
      <c r="DC47" s="1281"/>
      <c r="DD47" s="1281"/>
      <c r="DE47" s="1281"/>
      <c r="DF47" s="1282"/>
      <c r="DG47" s="1280"/>
      <c r="DH47" s="1281"/>
      <c r="DI47" s="1281"/>
      <c r="DJ47" s="1281"/>
      <c r="DK47" s="1287"/>
      <c r="DL47" s="1482"/>
      <c r="DM47" s="1483"/>
      <c r="DN47" s="360"/>
      <c r="DO47" s="485"/>
    </row>
    <row r="48" spans="1:119" ht="13.5" customHeight="1" thickTop="1" thickBot="1" x14ac:dyDescent="0.25">
      <c r="A48" s="24"/>
      <c r="B48" s="1683" t="s">
        <v>426</v>
      </c>
      <c r="C48" s="1684"/>
      <c r="D48" s="1684"/>
      <c r="E48" s="1685"/>
      <c r="F48" s="1693"/>
      <c r="G48" s="1694"/>
      <c r="H48" s="1693" t="s">
        <v>479</v>
      </c>
      <c r="I48" s="1707"/>
      <c r="J48" s="1648" t="s">
        <v>305</v>
      </c>
      <c r="K48" s="1823" t="s">
        <v>304</v>
      </c>
      <c r="L48" s="118"/>
      <c r="M48" s="491"/>
      <c r="N48" s="54"/>
      <c r="O48" s="1482"/>
      <c r="P48" s="1483"/>
      <c r="Q48" s="1568"/>
      <c r="R48" s="1284"/>
      <c r="S48" s="1284"/>
      <c r="T48" s="1284"/>
      <c r="U48" s="1285"/>
      <c r="V48" s="1283"/>
      <c r="W48" s="1284"/>
      <c r="X48" s="1284"/>
      <c r="Y48" s="1284"/>
      <c r="Z48" s="1285"/>
      <c r="AA48" s="1337"/>
      <c r="AB48" s="1338"/>
      <c r="AC48" s="1338"/>
      <c r="AD48" s="1338"/>
      <c r="AE48" s="1339"/>
      <c r="AF48" s="1346"/>
      <c r="AG48" s="1347"/>
      <c r="AH48" s="1347"/>
      <c r="AI48" s="1347"/>
      <c r="AJ48" s="1348"/>
      <c r="AK48" s="1355"/>
      <c r="AL48" s="1356"/>
      <c r="AM48" s="1356"/>
      <c r="AN48" s="1356"/>
      <c r="AO48" s="1357"/>
      <c r="AP48" s="1364"/>
      <c r="AQ48" s="1365"/>
      <c r="AR48" s="1365"/>
      <c r="AS48" s="1365"/>
      <c r="AT48" s="1366"/>
      <c r="AU48" s="1373"/>
      <c r="AV48" s="1374"/>
      <c r="AW48" s="1374"/>
      <c r="AX48" s="1374"/>
      <c r="AY48" s="1375"/>
      <c r="AZ48" s="1415"/>
      <c r="BA48" s="1416"/>
      <c r="BB48" s="1416"/>
      <c r="BC48" s="1416"/>
      <c r="BD48" s="1417"/>
      <c r="BE48" s="1424"/>
      <c r="BF48" s="1425"/>
      <c r="BG48" s="1425"/>
      <c r="BH48" s="1425"/>
      <c r="BI48" s="1426"/>
      <c r="BJ48" s="1482"/>
      <c r="BK48" s="1483"/>
      <c r="BL48" s="360"/>
      <c r="BM48" s="485"/>
      <c r="BO48" s="491"/>
      <c r="BP48" s="54"/>
      <c r="BQ48" s="1482"/>
      <c r="BR48" s="1483"/>
      <c r="BS48" s="1310"/>
      <c r="BT48" s="1311"/>
      <c r="BU48" s="1311"/>
      <c r="BV48" s="1311"/>
      <c r="BW48" s="1312"/>
      <c r="BX48" s="1319"/>
      <c r="BY48" s="1320"/>
      <c r="BZ48" s="1320"/>
      <c r="CA48" s="1320"/>
      <c r="CB48" s="1321"/>
      <c r="CC48" s="1373"/>
      <c r="CD48" s="1374"/>
      <c r="CE48" s="1374"/>
      <c r="CF48" s="1374"/>
      <c r="CG48" s="1375"/>
      <c r="CH48" s="1364"/>
      <c r="CI48" s="1365"/>
      <c r="CJ48" s="1365"/>
      <c r="CK48" s="1365"/>
      <c r="CL48" s="1366"/>
      <c r="CM48" s="1355"/>
      <c r="CN48" s="1356"/>
      <c r="CO48" s="1356"/>
      <c r="CP48" s="1356"/>
      <c r="CQ48" s="1357"/>
      <c r="CR48" s="1346"/>
      <c r="CS48" s="1347"/>
      <c r="CT48" s="1347"/>
      <c r="CU48" s="1347"/>
      <c r="CV48" s="1348"/>
      <c r="CW48" s="1337"/>
      <c r="CX48" s="1338"/>
      <c r="CY48" s="1338"/>
      <c r="CZ48" s="1338"/>
      <c r="DA48" s="1339"/>
      <c r="DB48" s="1283"/>
      <c r="DC48" s="1284"/>
      <c r="DD48" s="1284"/>
      <c r="DE48" s="1284"/>
      <c r="DF48" s="1285"/>
      <c r="DG48" s="1283"/>
      <c r="DH48" s="1284"/>
      <c r="DI48" s="1284"/>
      <c r="DJ48" s="1284"/>
      <c r="DK48" s="1288"/>
      <c r="DL48" s="1482"/>
      <c r="DM48" s="1483"/>
      <c r="DN48" s="360"/>
      <c r="DO48" s="485"/>
    </row>
    <row r="49" spans="1:120" ht="27" customHeight="1" thickBot="1" x14ac:dyDescent="0.25">
      <c r="A49" s="24"/>
      <c r="B49" s="1680" t="s">
        <v>429</v>
      </c>
      <c r="C49" s="1681"/>
      <c r="D49" s="1682"/>
      <c r="E49" s="349" t="s">
        <v>430</v>
      </c>
      <c r="F49" s="599" t="s">
        <v>431</v>
      </c>
      <c r="G49" s="600" t="s">
        <v>432</v>
      </c>
      <c r="H49" s="599" t="s">
        <v>431</v>
      </c>
      <c r="I49" s="601" t="s">
        <v>432</v>
      </c>
      <c r="J49" s="1649"/>
      <c r="K49" s="1706"/>
      <c r="L49" s="118"/>
      <c r="M49" s="491"/>
      <c r="N49" s="54"/>
      <c r="O49" s="1482"/>
      <c r="P49" s="1483"/>
      <c r="Q49" s="1567" t="str">
        <f>V49</f>
        <v>Inner row
Interior modules</v>
      </c>
      <c r="R49" s="1281"/>
      <c r="S49" s="1281"/>
      <c r="T49" s="1281"/>
      <c r="U49" s="1282"/>
      <c r="V49" s="1277" t="str">
        <f>V32</f>
        <v>Inner row
Interior modules</v>
      </c>
      <c r="W49" s="1278"/>
      <c r="X49" s="1278"/>
      <c r="Y49" s="1278"/>
      <c r="Z49" s="1279"/>
      <c r="AA49" s="1331" t="str">
        <f>AA32</f>
        <v>Inner row
1st-10th module</v>
      </c>
      <c r="AB49" s="1332"/>
      <c r="AC49" s="1332"/>
      <c r="AD49" s="1332"/>
      <c r="AE49" s="1333"/>
      <c r="AF49" s="1340" t="str">
        <f>AF32</f>
        <v>Inner row
Interior modules</v>
      </c>
      <c r="AG49" s="1341"/>
      <c r="AH49" s="1341"/>
      <c r="AI49" s="1341"/>
      <c r="AJ49" s="1342"/>
      <c r="AK49" s="1349" t="str">
        <f>AK32</f>
        <v>Inner row
1st-10th module</v>
      </c>
      <c r="AL49" s="1350"/>
      <c r="AM49" s="1350"/>
      <c r="AN49" s="1350"/>
      <c r="AO49" s="1351"/>
      <c r="AP49" s="1358" t="str">
        <f>AP32</f>
        <v>Inner row
Interior modules</v>
      </c>
      <c r="AQ49" s="1359"/>
      <c r="AR49" s="1359"/>
      <c r="AS49" s="1359"/>
      <c r="AT49" s="1360"/>
      <c r="AU49" s="1367" t="str">
        <f>AU32</f>
        <v>Inner row
1st-10th module</v>
      </c>
      <c r="AV49" s="1368"/>
      <c r="AW49" s="1368"/>
      <c r="AX49" s="1368"/>
      <c r="AY49" s="1369"/>
      <c r="AZ49" s="1322" t="str">
        <f>AZ43</f>
        <v>Inner row
Interior modules</v>
      </c>
      <c r="BA49" s="1323"/>
      <c r="BB49" s="1323"/>
      <c r="BC49" s="1323"/>
      <c r="BD49" s="1324"/>
      <c r="BE49" s="1427" t="str">
        <f>BE43</f>
        <v>Inner row
1st-10th module</v>
      </c>
      <c r="BF49" s="1290"/>
      <c r="BG49" s="1290"/>
      <c r="BH49" s="1290"/>
      <c r="BI49" s="1428"/>
      <c r="BJ49" s="1482"/>
      <c r="BK49" s="1483"/>
      <c r="BL49" s="360"/>
      <c r="BM49" s="485"/>
      <c r="BO49" s="491"/>
      <c r="BP49" s="54"/>
      <c r="BQ49" s="1482"/>
      <c r="BR49" s="1483"/>
      <c r="BS49" s="1289" t="str">
        <f>BE49</f>
        <v>Inner row
1st-10th module</v>
      </c>
      <c r="BT49" s="1290"/>
      <c r="BU49" s="1290"/>
      <c r="BV49" s="1290"/>
      <c r="BW49" s="1291"/>
      <c r="BX49" s="1322" t="str">
        <f t="shared" ref="BX49" si="15">AZ49</f>
        <v>Inner row
Interior modules</v>
      </c>
      <c r="BY49" s="1323"/>
      <c r="BZ49" s="1323"/>
      <c r="CA49" s="1323"/>
      <c r="CB49" s="1324"/>
      <c r="CC49" s="1370" t="str">
        <f t="shared" ref="CC49" si="16">AU49</f>
        <v>Inner row
1st-10th module</v>
      </c>
      <c r="CD49" s="1371"/>
      <c r="CE49" s="1371"/>
      <c r="CF49" s="1371"/>
      <c r="CG49" s="1372"/>
      <c r="CH49" s="1361" t="str">
        <f t="shared" ref="CH49" si="17">AP49</f>
        <v>Inner row
Interior modules</v>
      </c>
      <c r="CI49" s="1362"/>
      <c r="CJ49" s="1362"/>
      <c r="CK49" s="1362"/>
      <c r="CL49" s="1363"/>
      <c r="CM49" s="1352" t="str">
        <f t="shared" ref="CM49" si="18">AK49</f>
        <v>Inner row
1st-10th module</v>
      </c>
      <c r="CN49" s="1353"/>
      <c r="CO49" s="1353"/>
      <c r="CP49" s="1353"/>
      <c r="CQ49" s="1354"/>
      <c r="CR49" s="1343" t="str">
        <f t="shared" ref="CR49" si="19">AF49</f>
        <v>Inner row
Interior modules</v>
      </c>
      <c r="CS49" s="1344"/>
      <c r="CT49" s="1344"/>
      <c r="CU49" s="1344"/>
      <c r="CV49" s="1345"/>
      <c r="CW49" s="1334" t="str">
        <f t="shared" ref="CW49" si="20">AA49</f>
        <v>Inner row
1st-10th module</v>
      </c>
      <c r="CX49" s="1335"/>
      <c r="CY49" s="1335"/>
      <c r="CZ49" s="1335"/>
      <c r="DA49" s="1336"/>
      <c r="DB49" s="1280" t="str">
        <f t="shared" ref="DB49" si="21">V49</f>
        <v>Inner row
Interior modules</v>
      </c>
      <c r="DC49" s="1281"/>
      <c r="DD49" s="1281"/>
      <c r="DE49" s="1281"/>
      <c r="DF49" s="1282"/>
      <c r="DG49" s="1280" t="str">
        <f t="shared" ref="DG49" si="22">Q49</f>
        <v>Inner row
Interior modules</v>
      </c>
      <c r="DH49" s="1281"/>
      <c r="DI49" s="1281"/>
      <c r="DJ49" s="1281"/>
      <c r="DK49" s="1287"/>
      <c r="DL49" s="1482"/>
      <c r="DM49" s="1483"/>
      <c r="DN49" s="360"/>
      <c r="DO49" s="485"/>
    </row>
    <row r="50" spans="1:120" ht="13.5" customHeight="1" thickTop="1" thickBot="1" x14ac:dyDescent="0.25">
      <c r="A50" s="24"/>
      <c r="B50" s="1663" t="s">
        <v>339</v>
      </c>
      <c r="C50" s="1664"/>
      <c r="D50" s="1664"/>
      <c r="E50" s="1664"/>
      <c r="F50" s="1664"/>
      <c r="G50" s="1664"/>
      <c r="H50" s="1664"/>
      <c r="I50" s="1664"/>
      <c r="J50" s="1665"/>
      <c r="K50" s="1049"/>
      <c r="L50" s="118"/>
      <c r="M50" s="491"/>
      <c r="N50" s="54"/>
      <c r="O50" s="1482"/>
      <c r="P50" s="1483"/>
      <c r="Q50" s="1568"/>
      <c r="R50" s="1284"/>
      <c r="S50" s="1284"/>
      <c r="T50" s="1284"/>
      <c r="U50" s="1285"/>
      <c r="V50" s="1283"/>
      <c r="W50" s="1284"/>
      <c r="X50" s="1284"/>
      <c r="Y50" s="1284"/>
      <c r="Z50" s="1285"/>
      <c r="AA50" s="1337"/>
      <c r="AB50" s="1338"/>
      <c r="AC50" s="1338"/>
      <c r="AD50" s="1338"/>
      <c r="AE50" s="1339"/>
      <c r="AF50" s="1346"/>
      <c r="AG50" s="1347"/>
      <c r="AH50" s="1347"/>
      <c r="AI50" s="1347"/>
      <c r="AJ50" s="1348"/>
      <c r="AK50" s="1355"/>
      <c r="AL50" s="1356"/>
      <c r="AM50" s="1356"/>
      <c r="AN50" s="1356"/>
      <c r="AO50" s="1357"/>
      <c r="AP50" s="1364"/>
      <c r="AQ50" s="1365"/>
      <c r="AR50" s="1365"/>
      <c r="AS50" s="1365"/>
      <c r="AT50" s="1366"/>
      <c r="AU50" s="1373"/>
      <c r="AV50" s="1374"/>
      <c r="AW50" s="1374"/>
      <c r="AX50" s="1374"/>
      <c r="AY50" s="1375"/>
      <c r="AZ50" s="1328"/>
      <c r="BA50" s="1329"/>
      <c r="BB50" s="1329"/>
      <c r="BC50" s="1329"/>
      <c r="BD50" s="1330"/>
      <c r="BE50" s="1495"/>
      <c r="BF50" s="1377"/>
      <c r="BG50" s="1377"/>
      <c r="BH50" s="1377"/>
      <c r="BI50" s="1496"/>
      <c r="BJ50" s="1482"/>
      <c r="BK50" s="1483"/>
      <c r="BL50" s="360"/>
      <c r="BM50" s="485"/>
      <c r="BO50" s="491"/>
      <c r="BP50" s="54"/>
      <c r="BQ50" s="1482"/>
      <c r="BR50" s="1483"/>
      <c r="BS50" s="1376"/>
      <c r="BT50" s="1377"/>
      <c r="BU50" s="1377"/>
      <c r="BV50" s="1377"/>
      <c r="BW50" s="1378"/>
      <c r="BX50" s="1328"/>
      <c r="BY50" s="1329"/>
      <c r="BZ50" s="1329"/>
      <c r="CA50" s="1329"/>
      <c r="CB50" s="1330"/>
      <c r="CC50" s="1373"/>
      <c r="CD50" s="1374"/>
      <c r="CE50" s="1374"/>
      <c r="CF50" s="1374"/>
      <c r="CG50" s="1375"/>
      <c r="CH50" s="1364"/>
      <c r="CI50" s="1365"/>
      <c r="CJ50" s="1365"/>
      <c r="CK50" s="1365"/>
      <c r="CL50" s="1366"/>
      <c r="CM50" s="1355"/>
      <c r="CN50" s="1356"/>
      <c r="CO50" s="1356"/>
      <c r="CP50" s="1356"/>
      <c r="CQ50" s="1357"/>
      <c r="CR50" s="1346"/>
      <c r="CS50" s="1347"/>
      <c r="CT50" s="1347"/>
      <c r="CU50" s="1347"/>
      <c r="CV50" s="1348"/>
      <c r="CW50" s="1337"/>
      <c r="CX50" s="1338"/>
      <c r="CY50" s="1338"/>
      <c r="CZ50" s="1338"/>
      <c r="DA50" s="1339"/>
      <c r="DB50" s="1283"/>
      <c r="DC50" s="1284"/>
      <c r="DD50" s="1284"/>
      <c r="DE50" s="1284"/>
      <c r="DF50" s="1285"/>
      <c r="DG50" s="1283"/>
      <c r="DH50" s="1284"/>
      <c r="DI50" s="1284"/>
      <c r="DJ50" s="1284"/>
      <c r="DK50" s="1288"/>
      <c r="DL50" s="1482"/>
      <c r="DM50" s="1483"/>
      <c r="DN50" s="360"/>
      <c r="DO50" s="485"/>
    </row>
    <row r="51" spans="1:120" ht="13.5" customHeight="1" x14ac:dyDescent="0.2">
      <c r="A51" s="24"/>
      <c r="B51" s="1580" t="str">
        <f>'int. presets cp_5d+wd'!B26</f>
        <v>North row</v>
      </c>
      <c r="C51" s="1581"/>
      <c r="D51" s="1582"/>
      <c r="E51" s="342" t="str">
        <f>'int. presets cp_5d+wd'!C26</f>
        <v>1st-10th module</v>
      </c>
      <c r="F51" s="539"/>
      <c r="G51" s="657"/>
      <c r="H51" s="539">
        <f ca="1">(-'int. presets cp_5d+wd'!I26*COS($F$18*PI()/180)*$F$21-'int. presets cp_5d+wd'!I35*COS($I$18*PI()/180)*$I$21)*$F$47*$C$25*1000/9.81/$I$47*$D$101*'int. presets cp_5d+wd'!$I$246-$H$47/$I$47*$C$20*$F$21</f>
        <v>55.305360130694723</v>
      </c>
      <c r="I51" s="934">
        <f ca="1">(SQRT(((-'int. presets cp_5d+wd'!D26*SIN($F$18*PI()/180)*$F$21+'int. presets cp_5d+wd'!D35*SIN($I$18*PI()/180)*$I$21)*$C$25*1000)^2+(0.001*$C$25*1000*$F$21)^2)/$C$30+(-'int. presets cp_5d+wd'!D26*COS($F$18*PI()/180)*$F$21-'int. presets cp_5d+wd'!D35*COS($I$18*PI()/180)*$I$21)*$C$25*1000)/9.81*$G$47/$I$47*$F$101*'int. presets cp_5d+wd'!$D$246-$H$47/$I$47*$C$20*$F$21</f>
        <v>27.440377590529074</v>
      </c>
      <c r="J51" s="994">
        <f t="shared" ref="J51:J58" ca="1" si="23">MAX(H51,I51)</f>
        <v>55.305360130694723</v>
      </c>
      <c r="K51" s="943">
        <f ca="1">J51*2.20462</f>
        <v>121.92730305133219</v>
      </c>
      <c r="L51" s="118"/>
      <c r="M51" s="491"/>
      <c r="N51" s="54"/>
      <c r="O51" s="1482"/>
      <c r="P51" s="1483"/>
      <c r="Q51" s="1567" t="str">
        <f>V51</f>
        <v>Inner row
Interior modules</v>
      </c>
      <c r="R51" s="1281"/>
      <c r="S51" s="1281"/>
      <c r="T51" s="1281"/>
      <c r="U51" s="1282"/>
      <c r="V51" s="1280" t="str">
        <f>V32</f>
        <v>Inner row
Interior modules</v>
      </c>
      <c r="W51" s="1281"/>
      <c r="X51" s="1281"/>
      <c r="Y51" s="1281"/>
      <c r="Z51" s="1282"/>
      <c r="AA51" s="1334" t="str">
        <f>AA32</f>
        <v>Inner row
1st-10th module</v>
      </c>
      <c r="AB51" s="1335"/>
      <c r="AC51" s="1335"/>
      <c r="AD51" s="1335"/>
      <c r="AE51" s="1336"/>
      <c r="AF51" s="1343" t="str">
        <f>AF32</f>
        <v>Inner row
Interior modules</v>
      </c>
      <c r="AG51" s="1344"/>
      <c r="AH51" s="1344"/>
      <c r="AI51" s="1344"/>
      <c r="AJ51" s="1345"/>
      <c r="AK51" s="1352" t="str">
        <f>AK32</f>
        <v>Inner row
1st-10th module</v>
      </c>
      <c r="AL51" s="1353"/>
      <c r="AM51" s="1353"/>
      <c r="AN51" s="1353"/>
      <c r="AO51" s="1354"/>
      <c r="AP51" s="1361" t="str">
        <f>AP32</f>
        <v>Inner row
Interior modules</v>
      </c>
      <c r="AQ51" s="1362"/>
      <c r="AR51" s="1362"/>
      <c r="AS51" s="1362"/>
      <c r="AT51" s="1363"/>
      <c r="AU51" s="1370" t="str">
        <f>AU32</f>
        <v>Inner row
1st-10th module</v>
      </c>
      <c r="AV51" s="1371"/>
      <c r="AW51" s="1371"/>
      <c r="AX51" s="1371"/>
      <c r="AY51" s="1372"/>
      <c r="AZ51" s="1322" t="str">
        <f>AZ43</f>
        <v>Inner row
Interior modules</v>
      </c>
      <c r="BA51" s="1323"/>
      <c r="BB51" s="1323"/>
      <c r="BC51" s="1323"/>
      <c r="BD51" s="1324"/>
      <c r="BE51" s="1427" t="str">
        <f>BE43</f>
        <v>Inner row
1st-10th module</v>
      </c>
      <c r="BF51" s="1290"/>
      <c r="BG51" s="1290"/>
      <c r="BH51" s="1290"/>
      <c r="BI51" s="1428"/>
      <c r="BJ51" s="1482"/>
      <c r="BK51" s="1483"/>
      <c r="BL51" s="488"/>
      <c r="BM51" s="485"/>
      <c r="BO51" s="491"/>
      <c r="BP51" s="54"/>
      <c r="BQ51" s="1482"/>
      <c r="BR51" s="1483"/>
      <c r="BS51" s="1803" t="str">
        <f>BE51</f>
        <v>Inner row
1st-10th module</v>
      </c>
      <c r="BT51" s="1804"/>
      <c r="BU51" s="1804"/>
      <c r="BV51" s="1804"/>
      <c r="BW51" s="1804"/>
      <c r="BX51" s="1807" t="str">
        <f>AZ51</f>
        <v>Inner row
Interior modules</v>
      </c>
      <c r="BY51" s="1807"/>
      <c r="BZ51" s="1807"/>
      <c r="CA51" s="1807"/>
      <c r="CB51" s="1807"/>
      <c r="CC51" s="1370" t="str">
        <f>AU51</f>
        <v>Inner row
1st-10th module</v>
      </c>
      <c r="CD51" s="1371"/>
      <c r="CE51" s="1371"/>
      <c r="CF51" s="1371"/>
      <c r="CG51" s="1372"/>
      <c r="CH51" s="1361" t="str">
        <f>AP51</f>
        <v>Inner row
Interior modules</v>
      </c>
      <c r="CI51" s="1362"/>
      <c r="CJ51" s="1362"/>
      <c r="CK51" s="1362"/>
      <c r="CL51" s="1363"/>
      <c r="CM51" s="1352" t="str">
        <f>AK51</f>
        <v>Inner row
1st-10th module</v>
      </c>
      <c r="CN51" s="1353"/>
      <c r="CO51" s="1353"/>
      <c r="CP51" s="1353"/>
      <c r="CQ51" s="1354"/>
      <c r="CR51" s="1343" t="str">
        <f>AF51</f>
        <v>Inner row
Interior modules</v>
      </c>
      <c r="CS51" s="1344"/>
      <c r="CT51" s="1344"/>
      <c r="CU51" s="1344"/>
      <c r="CV51" s="1345"/>
      <c r="CW51" s="1334" t="str">
        <f>AA51</f>
        <v>Inner row
1st-10th module</v>
      </c>
      <c r="CX51" s="1335"/>
      <c r="CY51" s="1335"/>
      <c r="CZ51" s="1335"/>
      <c r="DA51" s="1336"/>
      <c r="DB51" s="1280" t="str">
        <f>V51</f>
        <v>Inner row
Interior modules</v>
      </c>
      <c r="DC51" s="1281"/>
      <c r="DD51" s="1281"/>
      <c r="DE51" s="1281"/>
      <c r="DF51" s="1282"/>
      <c r="DG51" s="1280" t="str">
        <f>Q51</f>
        <v>Inner row
Interior modules</v>
      </c>
      <c r="DH51" s="1281"/>
      <c r="DI51" s="1281"/>
      <c r="DJ51" s="1281"/>
      <c r="DK51" s="1287"/>
      <c r="DL51" s="1482"/>
      <c r="DM51" s="1483"/>
      <c r="DN51" s="488"/>
      <c r="DO51" s="485"/>
    </row>
    <row r="52" spans="1:120" ht="13.5" customHeight="1" thickBot="1" x14ac:dyDescent="0.25">
      <c r="A52" s="24"/>
      <c r="B52" s="1586"/>
      <c r="C52" s="1587"/>
      <c r="D52" s="1588"/>
      <c r="E52" s="343" t="str">
        <f>'int. presets cp_5d+wd'!C27</f>
        <v>Interior modules</v>
      </c>
      <c r="F52" s="405"/>
      <c r="G52" s="406"/>
      <c r="H52" s="407">
        <f ca="1">(-'int. presets cp_5d+wd'!I27*COS($F$18*PI()/180)*$F$21-'int. presets cp_5d+wd'!I36*COS($I$18*PI()/180)*$I$21)*$F$47*$C$25*1000/9.81/$I$47*$D$101*'int. presets cp_5d+wd'!$I$246-$H$47/$I$47*$C$20*$F$21</f>
        <v>35.837143821463513</v>
      </c>
      <c r="I52" s="935">
        <f ca="1">(SQRT(((-'int. presets cp_5d+wd'!D27*SIN($F$18*PI()/180)*$F$21+'int. presets cp_5d+wd'!D36*SIN($I$18*PI()/180)*$I$21)*$C$25*1000)^2+(0.001*$C$25*1000*$F$21)^2)/$C$30+(-'int. presets cp_5d+wd'!D27*COS($F$18*PI()/180)*$F$21-'int. presets cp_5d+wd'!D36*COS($I$18*PI()/180)*$I$21)*$C$25*1000)/9.81*$G$47/$I$47*$F$101*'int. presets cp_5d+wd'!$D$246-$H$47/$I$47*$C$20*$F$21</f>
        <v>15.834433074399122</v>
      </c>
      <c r="J52" s="995">
        <f t="shared" ca="1" si="23"/>
        <v>35.837143821463513</v>
      </c>
      <c r="K52" s="944">
        <f t="shared" ref="K52:K94" ca="1" si="24">J52*2.20462</f>
        <v>79.007284011674884</v>
      </c>
      <c r="L52" s="118"/>
      <c r="M52" s="491"/>
      <c r="N52" s="54"/>
      <c r="O52" s="1482"/>
      <c r="P52" s="1483"/>
      <c r="Q52" s="1567"/>
      <c r="R52" s="1281"/>
      <c r="S52" s="1281"/>
      <c r="T52" s="1281"/>
      <c r="U52" s="1282"/>
      <c r="V52" s="1280"/>
      <c r="W52" s="1281"/>
      <c r="X52" s="1281"/>
      <c r="Y52" s="1281"/>
      <c r="Z52" s="1282"/>
      <c r="AA52" s="1334"/>
      <c r="AB52" s="1335"/>
      <c r="AC52" s="1335"/>
      <c r="AD52" s="1335"/>
      <c r="AE52" s="1336"/>
      <c r="AF52" s="1343"/>
      <c r="AG52" s="1344"/>
      <c r="AH52" s="1344"/>
      <c r="AI52" s="1344"/>
      <c r="AJ52" s="1345"/>
      <c r="AK52" s="1352"/>
      <c r="AL52" s="1353"/>
      <c r="AM52" s="1353"/>
      <c r="AN52" s="1353"/>
      <c r="AO52" s="1354"/>
      <c r="AP52" s="1361"/>
      <c r="AQ52" s="1362"/>
      <c r="AR52" s="1362"/>
      <c r="AS52" s="1362"/>
      <c r="AT52" s="1363"/>
      <c r="AU52" s="1370"/>
      <c r="AV52" s="1371"/>
      <c r="AW52" s="1371"/>
      <c r="AX52" s="1371"/>
      <c r="AY52" s="1372"/>
      <c r="AZ52" s="1328"/>
      <c r="BA52" s="1329"/>
      <c r="BB52" s="1329"/>
      <c r="BC52" s="1329"/>
      <c r="BD52" s="1330"/>
      <c r="BE52" s="1495"/>
      <c r="BF52" s="1377"/>
      <c r="BG52" s="1377"/>
      <c r="BH52" s="1377"/>
      <c r="BI52" s="1496"/>
      <c r="BJ52" s="1482"/>
      <c r="BK52" s="1483"/>
      <c r="BL52" s="360"/>
      <c r="BM52" s="604">
        <f>IF(20&lt;'building data'!$C$21,MAX(0,'building data'!$C$21-20),0)</f>
        <v>71.44</v>
      </c>
      <c r="BO52" s="491"/>
      <c r="BP52" s="54"/>
      <c r="BQ52" s="1482"/>
      <c r="BR52" s="1483"/>
      <c r="BS52" s="1803"/>
      <c r="BT52" s="1804"/>
      <c r="BU52" s="1804"/>
      <c r="BV52" s="1804"/>
      <c r="BW52" s="1804"/>
      <c r="BX52" s="1807"/>
      <c r="BY52" s="1807"/>
      <c r="BZ52" s="1807"/>
      <c r="CA52" s="1807"/>
      <c r="CB52" s="1807"/>
      <c r="CC52" s="1370"/>
      <c r="CD52" s="1371"/>
      <c r="CE52" s="1371"/>
      <c r="CF52" s="1371"/>
      <c r="CG52" s="1372"/>
      <c r="CH52" s="1361"/>
      <c r="CI52" s="1362"/>
      <c r="CJ52" s="1362"/>
      <c r="CK52" s="1362"/>
      <c r="CL52" s="1363"/>
      <c r="CM52" s="1352"/>
      <c r="CN52" s="1353"/>
      <c r="CO52" s="1353"/>
      <c r="CP52" s="1353"/>
      <c r="CQ52" s="1354"/>
      <c r="CR52" s="1343"/>
      <c r="CS52" s="1344"/>
      <c r="CT52" s="1344"/>
      <c r="CU52" s="1344"/>
      <c r="CV52" s="1345"/>
      <c r="CW52" s="1334"/>
      <c r="CX52" s="1335"/>
      <c r="CY52" s="1335"/>
      <c r="CZ52" s="1335"/>
      <c r="DA52" s="1336"/>
      <c r="DB52" s="1280"/>
      <c r="DC52" s="1281"/>
      <c r="DD52" s="1281"/>
      <c r="DE52" s="1281"/>
      <c r="DF52" s="1282"/>
      <c r="DG52" s="1280"/>
      <c r="DH52" s="1281"/>
      <c r="DI52" s="1281"/>
      <c r="DJ52" s="1281"/>
      <c r="DK52" s="1287"/>
      <c r="DL52" s="1482"/>
      <c r="DM52" s="1483"/>
      <c r="DN52" s="360"/>
      <c r="DO52" s="604">
        <f>IF(20&lt;'building data'!$C$21,MAX(0,'building data'!$C$21-20),0)</f>
        <v>71.44</v>
      </c>
    </row>
    <row r="53" spans="1:120" ht="13.5" customHeight="1" x14ac:dyDescent="0.2">
      <c r="A53" s="24"/>
      <c r="B53" s="1580" t="str">
        <f>'int. presets cp_5d+wd'!B28</f>
        <v>Inner rows, 2nd to 4th row from north</v>
      </c>
      <c r="C53" s="1581" t="e">
        <f>#REF!</f>
        <v>#REF!</v>
      </c>
      <c r="D53" s="1582" t="e">
        <f>#REF!</f>
        <v>#REF!</v>
      </c>
      <c r="E53" s="342" t="str">
        <f>'int. presets cp_5d+wd'!C28</f>
        <v>1st-10th module</v>
      </c>
      <c r="F53" s="405"/>
      <c r="G53" s="406"/>
      <c r="H53" s="405">
        <f ca="1">(-'int. presets cp_5d+wd'!I28*COS($F$18*PI()/180)*$F$21-'int. presets cp_5d+wd'!I37*COS($I$18*PI()/180)*$I$21)*$F$47*$C$25*1000/9.81/$I$47*$D$101*'int. presets cp_5d+wd'!$I$246-$H$47/$I$47*$C$20*$F$21</f>
        <v>31.432131348531243</v>
      </c>
      <c r="I53" s="934">
        <f ca="1">(SQRT(((-'int. presets cp_5d+wd'!D28*SIN($F$18*PI()/180)*$F$21+'int. presets cp_5d+wd'!D37*SIN($I$18*PI()/180)*$I$21)*$C$25*1000)^2+(0.001*$C$25*1000*$F$21)^2)/$C$30+(-'int. presets cp_5d+wd'!D28*COS($F$18*PI()/180)*$F$21-'int. presets cp_5d+wd'!D37*COS($I$18*PI()/180)*$I$21)*$C$25*1000)/9.81*$G$47/$I$47*$F$101*'int. presets cp_5d+wd'!$D$246-$H$47/$I$47*$C$20*$F$21</f>
        <v>29.447476241791996</v>
      </c>
      <c r="J53" s="996">
        <f t="shared" ca="1" si="23"/>
        <v>31.432131348531243</v>
      </c>
      <c r="K53" s="945">
        <f t="shared" ca="1" si="24"/>
        <v>69.295905413598945</v>
      </c>
      <c r="L53" s="118"/>
      <c r="M53" s="491"/>
      <c r="N53" s="54"/>
      <c r="O53" s="1482"/>
      <c r="P53" s="1483"/>
      <c r="Q53" s="1568"/>
      <c r="R53" s="1284"/>
      <c r="S53" s="1284"/>
      <c r="T53" s="1284"/>
      <c r="U53" s="1285"/>
      <c r="V53" s="1283"/>
      <c r="W53" s="1284"/>
      <c r="X53" s="1284"/>
      <c r="Y53" s="1284"/>
      <c r="Z53" s="1285"/>
      <c r="AA53" s="1337"/>
      <c r="AB53" s="1338"/>
      <c r="AC53" s="1338"/>
      <c r="AD53" s="1338"/>
      <c r="AE53" s="1339"/>
      <c r="AF53" s="1346"/>
      <c r="AG53" s="1347"/>
      <c r="AH53" s="1347"/>
      <c r="AI53" s="1347"/>
      <c r="AJ53" s="1348"/>
      <c r="AK53" s="1355"/>
      <c r="AL53" s="1356"/>
      <c r="AM53" s="1356"/>
      <c r="AN53" s="1356"/>
      <c r="AO53" s="1357"/>
      <c r="AP53" s="1364"/>
      <c r="AQ53" s="1365"/>
      <c r="AR53" s="1365"/>
      <c r="AS53" s="1365"/>
      <c r="AT53" s="1366"/>
      <c r="AU53" s="1373"/>
      <c r="AV53" s="1374"/>
      <c r="AW53" s="1374"/>
      <c r="AX53" s="1374"/>
      <c r="AY53" s="1375"/>
      <c r="AZ53" s="1325"/>
      <c r="BA53" s="1326"/>
      <c r="BB53" s="1326"/>
      <c r="BC53" s="1326"/>
      <c r="BD53" s="1327"/>
      <c r="BE53" s="1429"/>
      <c r="BF53" s="1293"/>
      <c r="BG53" s="1293"/>
      <c r="BH53" s="1293"/>
      <c r="BI53" s="1430"/>
      <c r="BJ53" s="1482"/>
      <c r="BK53" s="1483"/>
      <c r="BL53" s="360"/>
      <c r="BM53" s="602" t="s">
        <v>0</v>
      </c>
      <c r="BO53" s="491"/>
      <c r="BP53" s="54"/>
      <c r="BQ53" s="1482"/>
      <c r="BR53" s="1483"/>
      <c r="BS53" s="1803"/>
      <c r="BT53" s="1804"/>
      <c r="BU53" s="1804"/>
      <c r="BV53" s="1804"/>
      <c r="BW53" s="1804"/>
      <c r="BX53" s="1807"/>
      <c r="BY53" s="1807"/>
      <c r="BZ53" s="1807"/>
      <c r="CA53" s="1807"/>
      <c r="CB53" s="1807"/>
      <c r="CC53" s="1373"/>
      <c r="CD53" s="1374"/>
      <c r="CE53" s="1374"/>
      <c r="CF53" s="1374"/>
      <c r="CG53" s="1375"/>
      <c r="CH53" s="1364"/>
      <c r="CI53" s="1365"/>
      <c r="CJ53" s="1365"/>
      <c r="CK53" s="1365"/>
      <c r="CL53" s="1366"/>
      <c r="CM53" s="1355"/>
      <c r="CN53" s="1356"/>
      <c r="CO53" s="1356"/>
      <c r="CP53" s="1356"/>
      <c r="CQ53" s="1357"/>
      <c r="CR53" s="1346"/>
      <c r="CS53" s="1347"/>
      <c r="CT53" s="1347"/>
      <c r="CU53" s="1347"/>
      <c r="CV53" s="1348"/>
      <c r="CW53" s="1337"/>
      <c r="CX53" s="1338"/>
      <c r="CY53" s="1338"/>
      <c r="CZ53" s="1338"/>
      <c r="DA53" s="1339"/>
      <c r="DB53" s="1283"/>
      <c r="DC53" s="1284"/>
      <c r="DD53" s="1284"/>
      <c r="DE53" s="1284"/>
      <c r="DF53" s="1285"/>
      <c r="DG53" s="1283"/>
      <c r="DH53" s="1284"/>
      <c r="DI53" s="1284"/>
      <c r="DJ53" s="1284"/>
      <c r="DK53" s="1288"/>
      <c r="DL53" s="1482"/>
      <c r="DM53" s="1483"/>
      <c r="DN53" s="360"/>
      <c r="DO53" s="602" t="s">
        <v>0</v>
      </c>
    </row>
    <row r="54" spans="1:120" ht="13.5" customHeight="1" thickBot="1" x14ac:dyDescent="0.25">
      <c r="A54" s="24"/>
      <c r="B54" s="1586" t="e">
        <f>#REF!</f>
        <v>#REF!</v>
      </c>
      <c r="C54" s="1587" t="e">
        <f>#REF!</f>
        <v>#REF!</v>
      </c>
      <c r="D54" s="1588" t="e">
        <f>#REF!</f>
        <v>#REF!</v>
      </c>
      <c r="E54" s="343" t="str">
        <f>'int. presets cp_5d+wd'!C29</f>
        <v>Interior modules</v>
      </c>
      <c r="F54" s="405"/>
      <c r="G54" s="406"/>
      <c r="H54" s="407">
        <f ca="1">(-'int. presets cp_5d+wd'!I29*COS($F$18*PI()/180)*$F$21-'int. presets cp_5d+wd'!I38*COS($I$18*PI()/180)*$I$21)*$F$47*$C$25*1000/9.81/$I$47*$D$101*'int. presets cp_5d+wd'!$I$246-$H$47/$I$47*$C$20*$F$21</f>
        <v>24.206511988078262</v>
      </c>
      <c r="I54" s="935">
        <f ca="1">(SQRT(((-'int. presets cp_5d+wd'!D29*SIN($F$18*PI()/180)*$F$21+'int. presets cp_5d+wd'!D38*SIN($I$18*PI()/180)*$I$21)*$C$25*1000)^2+(0.001*$C$25*1000*$F$21)^2)/$C$30+(-'int. presets cp_5d+wd'!D29*COS($F$18*PI()/180)*$F$21-'int. presets cp_5d+wd'!D38*COS($I$18*PI()/180)*$I$21)*$C$25*1000)/9.81*$G$47/$I$47*$F$101*'int. presets cp_5d+wd'!$D$246-$H$47/$I$47*$C$20*$F$21</f>
        <v>15.834433074399122</v>
      </c>
      <c r="J54" s="995">
        <f t="shared" ca="1" si="23"/>
        <v>24.206511988078262</v>
      </c>
      <c r="K54" s="944">
        <f t="shared" ca="1" si="24"/>
        <v>53.366160459157093</v>
      </c>
      <c r="L54" s="118"/>
      <c r="M54" s="491"/>
      <c r="N54" s="54"/>
      <c r="O54" s="1482"/>
      <c r="P54" s="1483"/>
      <c r="Q54" s="1567" t="str">
        <f>V51</f>
        <v>Inner row
Interior modules</v>
      </c>
      <c r="R54" s="1281"/>
      <c r="S54" s="1281"/>
      <c r="T54" s="1281"/>
      <c r="U54" s="1282"/>
      <c r="V54" s="1280" t="str">
        <f>V32</f>
        <v>Inner row
Interior modules</v>
      </c>
      <c r="W54" s="1281"/>
      <c r="X54" s="1281"/>
      <c r="Y54" s="1281"/>
      <c r="Z54" s="1282"/>
      <c r="AA54" s="1334" t="str">
        <f>AA32</f>
        <v>Inner row
1st-10th module</v>
      </c>
      <c r="AB54" s="1335"/>
      <c r="AC54" s="1335"/>
      <c r="AD54" s="1335"/>
      <c r="AE54" s="1336"/>
      <c r="AF54" s="1343" t="str">
        <f>AF32</f>
        <v>Inner row
Interior modules</v>
      </c>
      <c r="AG54" s="1344"/>
      <c r="AH54" s="1344"/>
      <c r="AI54" s="1344"/>
      <c r="AJ54" s="1345"/>
      <c r="AK54" s="1352" t="str">
        <f>AK32</f>
        <v>Inner row
1st-10th module</v>
      </c>
      <c r="AL54" s="1353"/>
      <c r="AM54" s="1353"/>
      <c r="AN54" s="1353"/>
      <c r="AO54" s="1354"/>
      <c r="AP54" s="1361" t="str">
        <f>AP32</f>
        <v>Inner row
Interior modules</v>
      </c>
      <c r="AQ54" s="1362"/>
      <c r="AR54" s="1362"/>
      <c r="AS54" s="1362"/>
      <c r="AT54" s="1363"/>
      <c r="AU54" s="1503" t="str">
        <f>AU32</f>
        <v>Inner row
1st-10th module</v>
      </c>
      <c r="AV54" s="1504"/>
      <c r="AW54" s="1504"/>
      <c r="AX54" s="1504"/>
      <c r="AY54" s="1505"/>
      <c r="AZ54" s="1322" t="str">
        <f>AZ43</f>
        <v>Inner row
Interior modules</v>
      </c>
      <c r="BA54" s="1323"/>
      <c r="BB54" s="1323"/>
      <c r="BC54" s="1323"/>
      <c r="BD54" s="1324"/>
      <c r="BE54" s="1427" t="str">
        <f>BE43</f>
        <v>Inner row
1st-10th module</v>
      </c>
      <c r="BF54" s="1290"/>
      <c r="BG54" s="1290"/>
      <c r="BH54" s="1290"/>
      <c r="BI54" s="1428"/>
      <c r="BJ54" s="1482"/>
      <c r="BK54" s="1483"/>
      <c r="BL54" s="361"/>
      <c r="BM54" s="1276" t="s">
        <v>76</v>
      </c>
      <c r="BO54" s="491"/>
      <c r="BP54" s="54"/>
      <c r="BQ54" s="1482"/>
      <c r="BR54" s="1483"/>
      <c r="BS54" s="1803" t="str">
        <f>BE54</f>
        <v>Inner row
1st-10th module</v>
      </c>
      <c r="BT54" s="1804"/>
      <c r="BU54" s="1804"/>
      <c r="BV54" s="1804"/>
      <c r="BW54" s="1804"/>
      <c r="BX54" s="1807" t="str">
        <f>AZ54</f>
        <v>Inner row
Interior modules</v>
      </c>
      <c r="BY54" s="1807"/>
      <c r="BZ54" s="1807"/>
      <c r="CA54" s="1807"/>
      <c r="CB54" s="1807"/>
      <c r="CC54" s="1298" t="str">
        <f>AU54</f>
        <v>Inner row
1st-10th module</v>
      </c>
      <c r="CD54" s="1299"/>
      <c r="CE54" s="1299"/>
      <c r="CF54" s="1299"/>
      <c r="CG54" s="1300"/>
      <c r="CH54" s="1361" t="str">
        <f>AP54</f>
        <v>Inner row
Interior modules</v>
      </c>
      <c r="CI54" s="1362"/>
      <c r="CJ54" s="1362"/>
      <c r="CK54" s="1362"/>
      <c r="CL54" s="1363"/>
      <c r="CM54" s="1352" t="str">
        <f>AK54</f>
        <v>Inner row
1st-10th module</v>
      </c>
      <c r="CN54" s="1353"/>
      <c r="CO54" s="1353"/>
      <c r="CP54" s="1353"/>
      <c r="CQ54" s="1354"/>
      <c r="CR54" s="1343" t="str">
        <f>AF54</f>
        <v>Inner row
Interior modules</v>
      </c>
      <c r="CS54" s="1344"/>
      <c r="CT54" s="1344"/>
      <c r="CU54" s="1344"/>
      <c r="CV54" s="1345"/>
      <c r="CW54" s="1334" t="str">
        <f>AA54</f>
        <v>Inner row
1st-10th module</v>
      </c>
      <c r="CX54" s="1335"/>
      <c r="CY54" s="1335"/>
      <c r="CZ54" s="1335"/>
      <c r="DA54" s="1336"/>
      <c r="DB54" s="1280" t="str">
        <f>V54</f>
        <v>Inner row
Interior modules</v>
      </c>
      <c r="DC54" s="1281"/>
      <c r="DD54" s="1281"/>
      <c r="DE54" s="1281"/>
      <c r="DF54" s="1282"/>
      <c r="DG54" s="1280" t="str">
        <f>Q54</f>
        <v>Inner row
Interior modules</v>
      </c>
      <c r="DH54" s="1281"/>
      <c r="DI54" s="1281"/>
      <c r="DJ54" s="1281"/>
      <c r="DK54" s="1287"/>
      <c r="DL54" s="1482"/>
      <c r="DM54" s="1483"/>
      <c r="DN54" s="361"/>
      <c r="DO54" s="1276" t="s">
        <v>76</v>
      </c>
    </row>
    <row r="55" spans="1:120" ht="13.5" customHeight="1" x14ac:dyDescent="0.2">
      <c r="A55" s="24"/>
      <c r="B55" s="1580" t="str">
        <f>'int. presets cp_5d+wd'!B30</f>
        <v>Inner rows, from 5th row from north</v>
      </c>
      <c r="C55" s="1581" t="e">
        <f>#REF!</f>
        <v>#REF!</v>
      </c>
      <c r="D55" s="1582" t="e">
        <f>#REF!</f>
        <v>#REF!</v>
      </c>
      <c r="E55" s="342" t="str">
        <f>'int. presets cp_5d+wd'!C30</f>
        <v>1st-10th module</v>
      </c>
      <c r="F55" s="405"/>
      <c r="G55" s="406"/>
      <c r="H55" s="405">
        <f ca="1">(-'int. presets cp_5d+wd'!I30*COS($F$18*PI()/180)*$F$21-'int. presets cp_5d+wd'!I39*COS($I$18*PI()/180)*$I$21)*$F$47*$C$25*1000/9.81/$I$47*$D$101*'int. presets cp_5d+wd'!$I$246-$H$47/$I$47*$C$20*$F$21</f>
        <v>33.120430281677052</v>
      </c>
      <c r="I55" s="934">
        <f ca="1">(SQRT(((-'int. presets cp_5d+wd'!D30*SIN($F$18*PI()/180)*$F$21+'int. presets cp_5d+wd'!D39*SIN($I$18*PI()/180)*$I$21)*$C$25*1000)^2+(0.001*$C$25*1000*$F$21)^2)/$C$30+(-'int. presets cp_5d+wd'!D30*COS($F$18*PI()/180)*$F$21-'int. presets cp_5d+wd'!D39*COS($I$18*PI()/180)*$I$21)*$C$25*1000)/9.81*$G$47/$I$47*$F$101*'int. presets cp_5d+wd'!$D$246-$H$47/$I$47*$C$20*$F$21</f>
        <v>18.439973400980151</v>
      </c>
      <c r="J55" s="996">
        <f t="shared" ca="1" si="23"/>
        <v>33.120430281677052</v>
      </c>
      <c r="K55" s="945">
        <f t="shared" ca="1" si="24"/>
        <v>73.017963007590851</v>
      </c>
      <c r="L55" s="118"/>
      <c r="M55" s="493"/>
      <c r="N55" s="54"/>
      <c r="O55" s="1482"/>
      <c r="P55" s="1483"/>
      <c r="Q55" s="1567"/>
      <c r="R55" s="1281"/>
      <c r="S55" s="1281"/>
      <c r="T55" s="1281"/>
      <c r="U55" s="1282"/>
      <c r="V55" s="1280"/>
      <c r="W55" s="1281"/>
      <c r="X55" s="1281"/>
      <c r="Y55" s="1281"/>
      <c r="Z55" s="1282"/>
      <c r="AA55" s="1334"/>
      <c r="AB55" s="1335"/>
      <c r="AC55" s="1335"/>
      <c r="AD55" s="1335"/>
      <c r="AE55" s="1336"/>
      <c r="AF55" s="1343"/>
      <c r="AG55" s="1344"/>
      <c r="AH55" s="1344"/>
      <c r="AI55" s="1344"/>
      <c r="AJ55" s="1345"/>
      <c r="AK55" s="1352"/>
      <c r="AL55" s="1353"/>
      <c r="AM55" s="1353"/>
      <c r="AN55" s="1353"/>
      <c r="AO55" s="1354"/>
      <c r="AP55" s="1361"/>
      <c r="AQ55" s="1362"/>
      <c r="AR55" s="1362"/>
      <c r="AS55" s="1362"/>
      <c r="AT55" s="1363"/>
      <c r="AU55" s="1503"/>
      <c r="AV55" s="1504"/>
      <c r="AW55" s="1504"/>
      <c r="AX55" s="1504"/>
      <c r="AY55" s="1505"/>
      <c r="AZ55" s="1328"/>
      <c r="BA55" s="1329"/>
      <c r="BB55" s="1329"/>
      <c r="BC55" s="1329"/>
      <c r="BD55" s="1330"/>
      <c r="BE55" s="1495"/>
      <c r="BF55" s="1377"/>
      <c r="BG55" s="1377"/>
      <c r="BH55" s="1377"/>
      <c r="BI55" s="1496"/>
      <c r="BJ55" s="1482"/>
      <c r="BK55" s="1483"/>
      <c r="BL55" s="361"/>
      <c r="BM55" s="1276"/>
      <c r="BO55" s="493"/>
      <c r="BP55" s="54"/>
      <c r="BQ55" s="1482"/>
      <c r="BR55" s="1483"/>
      <c r="BS55" s="1803"/>
      <c r="BT55" s="1804"/>
      <c r="BU55" s="1804"/>
      <c r="BV55" s="1804"/>
      <c r="BW55" s="1804"/>
      <c r="BX55" s="1807"/>
      <c r="BY55" s="1807"/>
      <c r="BZ55" s="1807"/>
      <c r="CA55" s="1807"/>
      <c r="CB55" s="1807"/>
      <c r="CC55" s="1298"/>
      <c r="CD55" s="1299"/>
      <c r="CE55" s="1299"/>
      <c r="CF55" s="1299"/>
      <c r="CG55" s="1300"/>
      <c r="CH55" s="1361"/>
      <c r="CI55" s="1362"/>
      <c r="CJ55" s="1362"/>
      <c r="CK55" s="1362"/>
      <c r="CL55" s="1363"/>
      <c r="CM55" s="1352"/>
      <c r="CN55" s="1353"/>
      <c r="CO55" s="1353"/>
      <c r="CP55" s="1353"/>
      <c r="CQ55" s="1354"/>
      <c r="CR55" s="1343"/>
      <c r="CS55" s="1344"/>
      <c r="CT55" s="1344"/>
      <c r="CU55" s="1344"/>
      <c r="CV55" s="1345"/>
      <c r="CW55" s="1334"/>
      <c r="CX55" s="1335"/>
      <c r="CY55" s="1335"/>
      <c r="CZ55" s="1335"/>
      <c r="DA55" s="1336"/>
      <c r="DB55" s="1280"/>
      <c r="DC55" s="1281"/>
      <c r="DD55" s="1281"/>
      <c r="DE55" s="1281"/>
      <c r="DF55" s="1282"/>
      <c r="DG55" s="1280"/>
      <c r="DH55" s="1281"/>
      <c r="DI55" s="1281"/>
      <c r="DJ55" s="1281"/>
      <c r="DK55" s="1287"/>
      <c r="DL55" s="1482"/>
      <c r="DM55" s="1483"/>
      <c r="DN55" s="361"/>
      <c r="DO55" s="1276"/>
    </row>
    <row r="56" spans="1:120" ht="13.5" customHeight="1" thickBot="1" x14ac:dyDescent="0.25">
      <c r="A56" s="24"/>
      <c r="B56" s="1586" t="e">
        <f>#REF!</f>
        <v>#REF!</v>
      </c>
      <c r="C56" s="1587" t="e">
        <f>#REF!</f>
        <v>#REF!</v>
      </c>
      <c r="D56" s="1588" t="e">
        <f>#REF!</f>
        <v>#REF!</v>
      </c>
      <c r="E56" s="343" t="str">
        <f>'int. presets cp_5d+wd'!C31</f>
        <v>Interior modules</v>
      </c>
      <c r="F56" s="405"/>
      <c r="G56" s="406"/>
      <c r="H56" s="407">
        <f ca="1">(-'int. presets cp_5d+wd'!I31*COS($F$18*PI()/180)*$F$21-'int. presets cp_5d+wd'!I40*COS($I$18*PI()/180)*$I$21)*$F$47*$C$25*1000/9.81/$I$47*$D$101*'int. presets cp_5d+wd'!$I$246-$H$47/$I$47*$C$20*$F$21</f>
        <v>7.0011505282111983</v>
      </c>
      <c r="I56" s="935">
        <f ca="1">(SQRT(((-'int. presets cp_5d+wd'!D31*SIN($F$18*PI()/180)*$F$21+'int. presets cp_5d+wd'!D40*SIN($I$18*PI()/180)*$I$21)*$C$25*1000)^2+(0.001*$C$25*1000*$F$21)^2)/$C$30+(-'int. presets cp_5d+wd'!D31*COS($F$18*PI()/180)*$F$21-'int. presets cp_5d+wd'!D40*COS($I$18*PI()/180)*$I$21)*$C$25*1000)/9.81*$G$47/$I$47*$F$101*'int. presets cp_5d+wd'!$D$246-$H$47/$I$47*$C$20*$F$21</f>
        <v>15.834433074399122</v>
      </c>
      <c r="J56" s="995">
        <f t="shared" ca="1" si="23"/>
        <v>15.834433074399122</v>
      </c>
      <c r="K56" s="944">
        <f t="shared" ca="1" si="24"/>
        <v>34.908907844481789</v>
      </c>
      <c r="L56" s="118"/>
      <c r="M56" s="153"/>
      <c r="N56" s="56"/>
      <c r="O56" s="1482"/>
      <c r="P56" s="1483"/>
      <c r="Q56" s="1568"/>
      <c r="R56" s="1284"/>
      <c r="S56" s="1284"/>
      <c r="T56" s="1284"/>
      <c r="U56" s="1285"/>
      <c r="V56" s="1283"/>
      <c r="W56" s="1284"/>
      <c r="X56" s="1284"/>
      <c r="Y56" s="1284"/>
      <c r="Z56" s="1285"/>
      <c r="AA56" s="1337"/>
      <c r="AB56" s="1338"/>
      <c r="AC56" s="1338"/>
      <c r="AD56" s="1338"/>
      <c r="AE56" s="1339"/>
      <c r="AF56" s="1346"/>
      <c r="AG56" s="1347"/>
      <c r="AH56" s="1347"/>
      <c r="AI56" s="1347"/>
      <c r="AJ56" s="1348"/>
      <c r="AK56" s="1355"/>
      <c r="AL56" s="1356"/>
      <c r="AM56" s="1356"/>
      <c r="AN56" s="1356"/>
      <c r="AO56" s="1357"/>
      <c r="AP56" s="1364"/>
      <c r="AQ56" s="1365"/>
      <c r="AR56" s="1365"/>
      <c r="AS56" s="1365"/>
      <c r="AT56" s="1366"/>
      <c r="AU56" s="1506"/>
      <c r="AV56" s="1507"/>
      <c r="AW56" s="1507"/>
      <c r="AX56" s="1507"/>
      <c r="AY56" s="1508"/>
      <c r="AZ56" s="1325"/>
      <c r="BA56" s="1326"/>
      <c r="BB56" s="1326"/>
      <c r="BC56" s="1326"/>
      <c r="BD56" s="1327"/>
      <c r="BE56" s="1429"/>
      <c r="BF56" s="1293"/>
      <c r="BG56" s="1293"/>
      <c r="BH56" s="1293"/>
      <c r="BI56" s="1430"/>
      <c r="BJ56" s="1482"/>
      <c r="BK56" s="1483"/>
      <c r="BL56" s="361"/>
      <c r="BM56" s="485"/>
      <c r="BO56" s="153"/>
      <c r="BP56" s="56"/>
      <c r="BQ56" s="1482"/>
      <c r="BR56" s="1483"/>
      <c r="BS56" s="1803"/>
      <c r="BT56" s="1804"/>
      <c r="BU56" s="1804"/>
      <c r="BV56" s="1804"/>
      <c r="BW56" s="1804"/>
      <c r="BX56" s="1807"/>
      <c r="BY56" s="1807"/>
      <c r="BZ56" s="1807"/>
      <c r="CA56" s="1807"/>
      <c r="CB56" s="1807"/>
      <c r="CC56" s="1301"/>
      <c r="CD56" s="1302"/>
      <c r="CE56" s="1302"/>
      <c r="CF56" s="1302"/>
      <c r="CG56" s="1303"/>
      <c r="CH56" s="1364"/>
      <c r="CI56" s="1365"/>
      <c r="CJ56" s="1365"/>
      <c r="CK56" s="1365"/>
      <c r="CL56" s="1366"/>
      <c r="CM56" s="1355"/>
      <c r="CN56" s="1356"/>
      <c r="CO56" s="1356"/>
      <c r="CP56" s="1356"/>
      <c r="CQ56" s="1357"/>
      <c r="CR56" s="1346"/>
      <c r="CS56" s="1347"/>
      <c r="CT56" s="1347"/>
      <c r="CU56" s="1347"/>
      <c r="CV56" s="1348"/>
      <c r="CW56" s="1337"/>
      <c r="CX56" s="1338"/>
      <c r="CY56" s="1338"/>
      <c r="CZ56" s="1338"/>
      <c r="DA56" s="1339"/>
      <c r="DB56" s="1283"/>
      <c r="DC56" s="1284"/>
      <c r="DD56" s="1284"/>
      <c r="DE56" s="1284"/>
      <c r="DF56" s="1285"/>
      <c r="DG56" s="1283"/>
      <c r="DH56" s="1284"/>
      <c r="DI56" s="1284"/>
      <c r="DJ56" s="1284"/>
      <c r="DK56" s="1288"/>
      <c r="DL56" s="1482"/>
      <c r="DM56" s="1483"/>
      <c r="DN56" s="361"/>
      <c r="DO56" s="485"/>
    </row>
    <row r="57" spans="1:120" ht="13.5" customHeight="1" x14ac:dyDescent="0.2">
      <c r="A57" s="24"/>
      <c r="B57" s="1580" t="str">
        <f>'int. presets cp_5d+wd'!B32</f>
        <v>South row</v>
      </c>
      <c r="C57" s="1581" t="e">
        <f>#REF!</f>
        <v>#REF!</v>
      </c>
      <c r="D57" s="1582" t="e">
        <f>#REF!</f>
        <v>#REF!</v>
      </c>
      <c r="E57" s="342" t="str">
        <f>'int. presets cp_5d+wd'!C32</f>
        <v>1st-10th module</v>
      </c>
      <c r="F57" s="405"/>
      <c r="G57" s="406"/>
      <c r="H57" s="405">
        <f ca="1">(-'int. presets cp_5d+wd'!I32*COS($F$18*PI()/180)*$F$21-'int. presets cp_5d+wd'!I41*COS($I$18*PI()/180)*$I$21)*$F$47*$C$25*1000/9.81/$I$47*$D$101*'int. presets cp_5d+wd'!$I$246-$H$47/$I$47*$C$20*$F$21</f>
        <v>19.944793919613318</v>
      </c>
      <c r="I57" s="934">
        <f ca="1">(SQRT(((-'int. presets cp_5d+wd'!D32*SIN($F$18*PI()/180)*$F$21+'int. presets cp_5d+wd'!D41*SIN($I$18*PI()/180)*$I$21)*$C$25*1000)^2+(0.001*$C$25*1000*$F$21)^2)/$C$30+(-'int. presets cp_5d+wd'!D32*COS($F$18*PI()/180)*$F$21-'int. presets cp_5d+wd'!D41*COS($I$18*PI()/180)*$I$21)*$C$25*1000)/9.81*$G$47/$I$47*$F$101*'int. presets cp_5d+wd'!$D$246-$H$47/$I$47*$C$20*$F$21</f>
        <v>23.407392244241599</v>
      </c>
      <c r="J57" s="996">
        <f t="shared" ca="1" si="23"/>
        <v>23.407392244241599</v>
      </c>
      <c r="K57" s="945">
        <f t="shared" ca="1" si="24"/>
        <v>51.604405089499913</v>
      </c>
      <c r="L57" s="118"/>
      <c r="M57" s="493"/>
      <c r="N57" s="18"/>
      <c r="O57" s="1482"/>
      <c r="P57" s="1483"/>
      <c r="Q57" s="1567" t="str">
        <f>V51</f>
        <v>Inner row
Interior modules</v>
      </c>
      <c r="R57" s="1281"/>
      <c r="S57" s="1281"/>
      <c r="T57" s="1281"/>
      <c r="U57" s="1282"/>
      <c r="V57" s="1280" t="str">
        <f>V32</f>
        <v>Inner row
Interior modules</v>
      </c>
      <c r="W57" s="1281"/>
      <c r="X57" s="1281"/>
      <c r="Y57" s="1281"/>
      <c r="Z57" s="1282"/>
      <c r="AA57" s="1334" t="str">
        <f>AA32</f>
        <v>Inner row
1st-10th module</v>
      </c>
      <c r="AB57" s="1335"/>
      <c r="AC57" s="1335"/>
      <c r="AD57" s="1335"/>
      <c r="AE57" s="1336"/>
      <c r="AF57" s="1343" t="str">
        <f>AF32</f>
        <v>Inner row
Interior modules</v>
      </c>
      <c r="AG57" s="1344"/>
      <c r="AH57" s="1344"/>
      <c r="AI57" s="1344"/>
      <c r="AJ57" s="1345"/>
      <c r="AK57" s="1352" t="str">
        <f>AK32</f>
        <v>Inner row
1st-10th module</v>
      </c>
      <c r="AL57" s="1353"/>
      <c r="AM57" s="1353"/>
      <c r="AN57" s="1353"/>
      <c r="AO57" s="1354"/>
      <c r="AP57" s="1361" t="str">
        <f>AP32</f>
        <v>Inner row
Interior modules</v>
      </c>
      <c r="AQ57" s="1362"/>
      <c r="AR57" s="1362"/>
      <c r="AS57" s="1362"/>
      <c r="AT57" s="1363"/>
      <c r="AU57" s="1503" t="str">
        <f>AU32</f>
        <v>Inner row
1st-10th module</v>
      </c>
      <c r="AV57" s="1504"/>
      <c r="AW57" s="1504"/>
      <c r="AX57" s="1504"/>
      <c r="AY57" s="1505"/>
      <c r="AZ57" s="1322" t="str">
        <f>AZ43</f>
        <v>Inner row
Interior modules</v>
      </c>
      <c r="BA57" s="1323"/>
      <c r="BB57" s="1323"/>
      <c r="BC57" s="1323"/>
      <c r="BD57" s="1324"/>
      <c r="BE57" s="1427" t="str">
        <f>BE43</f>
        <v>Inner row
1st-10th module</v>
      </c>
      <c r="BF57" s="1290"/>
      <c r="BG57" s="1290"/>
      <c r="BH57" s="1290"/>
      <c r="BI57" s="1428"/>
      <c r="BJ57" s="1482"/>
      <c r="BK57" s="1483"/>
      <c r="BL57" s="361"/>
      <c r="BM57" s="485"/>
      <c r="BO57" s="493"/>
      <c r="BP57" s="18"/>
      <c r="BQ57" s="1482"/>
      <c r="BR57" s="1483"/>
      <c r="BS57" s="1803" t="str">
        <f>BE57</f>
        <v>Inner row
1st-10th module</v>
      </c>
      <c r="BT57" s="1804"/>
      <c r="BU57" s="1804"/>
      <c r="BV57" s="1804"/>
      <c r="BW57" s="1804"/>
      <c r="BX57" s="1807" t="str">
        <f t="shared" ref="BX57" si="25">AZ57</f>
        <v>Inner row
Interior modules</v>
      </c>
      <c r="BY57" s="1807"/>
      <c r="BZ57" s="1807"/>
      <c r="CA57" s="1807"/>
      <c r="CB57" s="1807"/>
      <c r="CC57" s="1815" t="str">
        <f t="shared" ref="CC57" si="26">AU57</f>
        <v>Inner row
1st-10th module</v>
      </c>
      <c r="CD57" s="1815"/>
      <c r="CE57" s="1815"/>
      <c r="CF57" s="1815"/>
      <c r="CG57" s="1815"/>
      <c r="CH57" s="1818" t="str">
        <f t="shared" ref="CH57" si="27">AP57</f>
        <v>Inner row
Interior modules</v>
      </c>
      <c r="CI57" s="1818"/>
      <c r="CJ57" s="1818"/>
      <c r="CK57" s="1818"/>
      <c r="CL57" s="1818"/>
      <c r="CM57" s="1819" t="str">
        <f t="shared" ref="CM57" si="28">AK57</f>
        <v>Inner row
1st-10th module</v>
      </c>
      <c r="CN57" s="1819"/>
      <c r="CO57" s="1819"/>
      <c r="CP57" s="1819"/>
      <c r="CQ57" s="1819"/>
      <c r="CR57" s="1820" t="str">
        <f t="shared" ref="CR57" si="29">AF57</f>
        <v>Inner row
Interior modules</v>
      </c>
      <c r="CS57" s="1820"/>
      <c r="CT57" s="1820"/>
      <c r="CU57" s="1820"/>
      <c r="CV57" s="1820"/>
      <c r="CW57" s="1821" t="str">
        <f t="shared" ref="CW57" si="30">AA57</f>
        <v>Inner row
1st-10th module</v>
      </c>
      <c r="CX57" s="1821"/>
      <c r="CY57" s="1821"/>
      <c r="CZ57" s="1821"/>
      <c r="DA57" s="1821"/>
      <c r="DB57" s="1816" t="str">
        <f t="shared" ref="DB57" si="31">V57</f>
        <v>Inner row
Interior modules</v>
      </c>
      <c r="DC57" s="1816"/>
      <c r="DD57" s="1816"/>
      <c r="DE57" s="1816"/>
      <c r="DF57" s="1816"/>
      <c r="DG57" s="1816" t="str">
        <f t="shared" ref="DG57" si="32">Q57</f>
        <v>Inner row
Interior modules</v>
      </c>
      <c r="DH57" s="1816"/>
      <c r="DI57" s="1816"/>
      <c r="DJ57" s="1816"/>
      <c r="DK57" s="1817"/>
      <c r="DL57" s="1482"/>
      <c r="DM57" s="1483"/>
      <c r="DN57" s="361"/>
      <c r="DO57" s="485"/>
    </row>
    <row r="58" spans="1:120" ht="13.5" customHeight="1" thickBot="1" x14ac:dyDescent="0.25">
      <c r="B58" s="1739" t="e">
        <f>#REF!</f>
        <v>#REF!</v>
      </c>
      <c r="C58" s="1740" t="e">
        <f>#REF!</f>
        <v>#REF!</v>
      </c>
      <c r="D58" s="1741" t="e">
        <f>#REF!</f>
        <v>#REF!</v>
      </c>
      <c r="E58" s="986" t="str">
        <f>'int. presets cp_5d+wd'!C33</f>
        <v>Interior modules</v>
      </c>
      <c r="F58" s="405"/>
      <c r="G58" s="406"/>
      <c r="H58" s="409">
        <f ca="1">(-'int. presets cp_5d+wd'!I33*COS($F$18*PI()/180)*$F$21-'int. presets cp_5d+wd'!I42*COS($I$18*PI()/180)*$I$21)*$F$47*$C$25*1000/9.81/$I$47*$D$101*'int. presets cp_5d+wd'!$I$246-$H$47/$I$47*$C$20*$F$21</f>
        <v>10.460222573107444</v>
      </c>
      <c r="I58" s="988">
        <f ca="1">(SQRT(((-'int. presets cp_5d+wd'!D33*SIN($F$18*PI()/180)*$F$21+'int. presets cp_5d+wd'!D42*SIN($I$18*PI()/180)*$I$21)*$C$25*1000)^2+(0.001*$C$25*1000*$F$21)^2)/$C$30+(-'int. presets cp_5d+wd'!D33*COS($F$18*PI()/180)*$F$21-'int. presets cp_5d+wd'!D42*COS($I$18*PI()/180)*$I$21)*$C$25*1000)/9.81*$G$47/$I$47*$F$101*'int. presets cp_5d+wd'!$D$246-$H$47/$I$47*$C$20*$F$21</f>
        <v>15.834433074399122</v>
      </c>
      <c r="J58" s="998">
        <f t="shared" ca="1" si="23"/>
        <v>15.834433074399122</v>
      </c>
      <c r="K58" s="944">
        <f t="shared" ca="1" si="24"/>
        <v>34.908907844481789</v>
      </c>
      <c r="L58" s="118"/>
      <c r="M58" s="153"/>
      <c r="N58" s="18"/>
      <c r="O58" s="1482"/>
      <c r="P58" s="1483"/>
      <c r="Q58" s="1567"/>
      <c r="R58" s="1281"/>
      <c r="S58" s="1281"/>
      <c r="T58" s="1281"/>
      <c r="U58" s="1282"/>
      <c r="V58" s="1280"/>
      <c r="W58" s="1281"/>
      <c r="X58" s="1281"/>
      <c r="Y58" s="1281"/>
      <c r="Z58" s="1282"/>
      <c r="AA58" s="1334"/>
      <c r="AB58" s="1335"/>
      <c r="AC58" s="1335"/>
      <c r="AD58" s="1335"/>
      <c r="AE58" s="1336"/>
      <c r="AF58" s="1343"/>
      <c r="AG58" s="1344"/>
      <c r="AH58" s="1344"/>
      <c r="AI58" s="1344"/>
      <c r="AJ58" s="1345"/>
      <c r="AK58" s="1352"/>
      <c r="AL58" s="1353"/>
      <c r="AM58" s="1353"/>
      <c r="AN58" s="1353"/>
      <c r="AO58" s="1354"/>
      <c r="AP58" s="1361"/>
      <c r="AQ58" s="1362"/>
      <c r="AR58" s="1362"/>
      <c r="AS58" s="1362"/>
      <c r="AT58" s="1363"/>
      <c r="AU58" s="1503"/>
      <c r="AV58" s="1504"/>
      <c r="AW58" s="1504"/>
      <c r="AX58" s="1504"/>
      <c r="AY58" s="1505"/>
      <c r="AZ58" s="1328"/>
      <c r="BA58" s="1329"/>
      <c r="BB58" s="1329"/>
      <c r="BC58" s="1329"/>
      <c r="BD58" s="1330"/>
      <c r="BE58" s="1495"/>
      <c r="BF58" s="1377"/>
      <c r="BG58" s="1377"/>
      <c r="BH58" s="1377"/>
      <c r="BI58" s="1496"/>
      <c r="BJ58" s="1482"/>
      <c r="BK58" s="1483"/>
      <c r="BL58" s="361"/>
      <c r="BM58" s="485"/>
      <c r="BO58" s="153"/>
      <c r="BP58" s="18"/>
      <c r="BQ58" s="1482"/>
      <c r="BR58" s="1483"/>
      <c r="BS58" s="1803"/>
      <c r="BT58" s="1804"/>
      <c r="BU58" s="1804"/>
      <c r="BV58" s="1804"/>
      <c r="BW58" s="1804"/>
      <c r="BX58" s="1807"/>
      <c r="BY58" s="1807"/>
      <c r="BZ58" s="1807"/>
      <c r="CA58" s="1807"/>
      <c r="CB58" s="1807"/>
      <c r="CC58" s="1809"/>
      <c r="CD58" s="1809"/>
      <c r="CE58" s="1809"/>
      <c r="CF58" s="1809"/>
      <c r="CG58" s="1809"/>
      <c r="CH58" s="1812"/>
      <c r="CI58" s="1812"/>
      <c r="CJ58" s="1812"/>
      <c r="CK58" s="1812"/>
      <c r="CL58" s="1812"/>
      <c r="CM58" s="1788"/>
      <c r="CN58" s="1788"/>
      <c r="CO58" s="1788"/>
      <c r="CP58" s="1788"/>
      <c r="CQ58" s="1788"/>
      <c r="CR58" s="1790"/>
      <c r="CS58" s="1790"/>
      <c r="CT58" s="1790"/>
      <c r="CU58" s="1790"/>
      <c r="CV58" s="1790"/>
      <c r="CW58" s="1792"/>
      <c r="CX58" s="1792"/>
      <c r="CY58" s="1792"/>
      <c r="CZ58" s="1792"/>
      <c r="DA58" s="1792"/>
      <c r="DB58" s="1794"/>
      <c r="DC58" s="1794"/>
      <c r="DD58" s="1794"/>
      <c r="DE58" s="1794"/>
      <c r="DF58" s="1794"/>
      <c r="DG58" s="1794"/>
      <c r="DH58" s="1794"/>
      <c r="DI58" s="1794"/>
      <c r="DJ58" s="1794"/>
      <c r="DK58" s="1814"/>
      <c r="DL58" s="1482"/>
      <c r="DM58" s="1483"/>
      <c r="DN58" s="361"/>
      <c r="DO58" s="485"/>
    </row>
    <row r="59" spans="1:120" ht="13.5" customHeight="1" thickTop="1" thickBot="1" x14ac:dyDescent="0.25">
      <c r="B59" s="1658" t="str">
        <f>'int. presets cp_5d+wd'!E24</f>
        <v>Roof position 2</v>
      </c>
      <c r="C59" s="1659"/>
      <c r="D59" s="1659"/>
      <c r="E59" s="1659"/>
      <c r="F59" s="1659"/>
      <c r="G59" s="1659"/>
      <c r="H59" s="1659"/>
      <c r="I59" s="1659"/>
      <c r="J59" s="1660"/>
      <c r="K59" s="1067"/>
      <c r="L59" s="118"/>
      <c r="M59" s="153"/>
      <c r="N59" s="20"/>
      <c r="O59" s="1482"/>
      <c r="P59" s="1483"/>
      <c r="Q59" s="1568"/>
      <c r="R59" s="1284"/>
      <c r="S59" s="1284"/>
      <c r="T59" s="1284"/>
      <c r="U59" s="1285"/>
      <c r="V59" s="1283"/>
      <c r="W59" s="1284"/>
      <c r="X59" s="1284"/>
      <c r="Y59" s="1284"/>
      <c r="Z59" s="1285"/>
      <c r="AA59" s="1337"/>
      <c r="AB59" s="1338"/>
      <c r="AC59" s="1338"/>
      <c r="AD59" s="1338"/>
      <c r="AE59" s="1339"/>
      <c r="AF59" s="1346"/>
      <c r="AG59" s="1347"/>
      <c r="AH59" s="1347"/>
      <c r="AI59" s="1347"/>
      <c r="AJ59" s="1348"/>
      <c r="AK59" s="1355"/>
      <c r="AL59" s="1356"/>
      <c r="AM59" s="1356"/>
      <c r="AN59" s="1356"/>
      <c r="AO59" s="1357"/>
      <c r="AP59" s="1364"/>
      <c r="AQ59" s="1365"/>
      <c r="AR59" s="1365"/>
      <c r="AS59" s="1365"/>
      <c r="AT59" s="1366"/>
      <c r="AU59" s="1506"/>
      <c r="AV59" s="1507"/>
      <c r="AW59" s="1507"/>
      <c r="AX59" s="1507"/>
      <c r="AY59" s="1508"/>
      <c r="AZ59" s="1325"/>
      <c r="BA59" s="1326"/>
      <c r="BB59" s="1326"/>
      <c r="BC59" s="1326"/>
      <c r="BD59" s="1327"/>
      <c r="BE59" s="1429"/>
      <c r="BF59" s="1293"/>
      <c r="BG59" s="1293"/>
      <c r="BH59" s="1293"/>
      <c r="BI59" s="1430"/>
      <c r="BJ59" s="1482"/>
      <c r="BK59" s="1483"/>
      <c r="BL59" s="361"/>
      <c r="BM59" s="485"/>
      <c r="BO59" s="153"/>
      <c r="BP59" s="20"/>
      <c r="BQ59" s="1482"/>
      <c r="BR59" s="1483"/>
      <c r="BS59" s="1803"/>
      <c r="BT59" s="1804"/>
      <c r="BU59" s="1804"/>
      <c r="BV59" s="1804"/>
      <c r="BW59" s="1804"/>
      <c r="BX59" s="1807"/>
      <c r="BY59" s="1807"/>
      <c r="BZ59" s="1807"/>
      <c r="CA59" s="1807"/>
      <c r="CB59" s="1807"/>
      <c r="CC59" s="1809"/>
      <c r="CD59" s="1809"/>
      <c r="CE59" s="1809"/>
      <c r="CF59" s="1809"/>
      <c r="CG59" s="1809"/>
      <c r="CH59" s="1812"/>
      <c r="CI59" s="1812"/>
      <c r="CJ59" s="1812"/>
      <c r="CK59" s="1812"/>
      <c r="CL59" s="1812"/>
      <c r="CM59" s="1788"/>
      <c r="CN59" s="1788"/>
      <c r="CO59" s="1788"/>
      <c r="CP59" s="1788"/>
      <c r="CQ59" s="1788"/>
      <c r="CR59" s="1790"/>
      <c r="CS59" s="1790"/>
      <c r="CT59" s="1790"/>
      <c r="CU59" s="1790"/>
      <c r="CV59" s="1790"/>
      <c r="CW59" s="1792"/>
      <c r="CX59" s="1792"/>
      <c r="CY59" s="1792"/>
      <c r="CZ59" s="1792"/>
      <c r="DA59" s="1792"/>
      <c r="DB59" s="1794"/>
      <c r="DC59" s="1794"/>
      <c r="DD59" s="1794"/>
      <c r="DE59" s="1794"/>
      <c r="DF59" s="1794"/>
      <c r="DG59" s="1794"/>
      <c r="DH59" s="1794"/>
      <c r="DI59" s="1794"/>
      <c r="DJ59" s="1794"/>
      <c r="DK59" s="1814"/>
      <c r="DL59" s="1482"/>
      <c r="DM59" s="1483"/>
      <c r="DN59" s="361"/>
      <c r="DO59" s="485"/>
    </row>
    <row r="60" spans="1:120" ht="13.5" customHeight="1" x14ac:dyDescent="0.2">
      <c r="A60" s="24"/>
      <c r="B60" s="1739" t="str">
        <f t="shared" ref="B60:E67" si="33">B51</f>
        <v>North row</v>
      </c>
      <c r="C60" s="1740">
        <f t="shared" si="33"/>
        <v>0</v>
      </c>
      <c r="D60" s="1741">
        <f t="shared" si="33"/>
        <v>0</v>
      </c>
      <c r="E60" s="478" t="str">
        <f t="shared" si="33"/>
        <v>1st-10th module</v>
      </c>
      <c r="F60" s="539"/>
      <c r="G60" s="657"/>
      <c r="H60" s="540">
        <f ca="1">(-'int. presets cp_5d+wd'!J26*COS($F$18*PI()/180)*$F$21-'int. presets cp_5d+wd'!J35*COS($I$18*PI()/180)*$I$21)*$F$47*$C$25*1000/9.81/$I$47*$D$101*'int. presets cp_5d+wd'!$J$246-$H$47/$I$47*$C$20*$F$21</f>
        <v>63.890742618753578</v>
      </c>
      <c r="I60" s="75">
        <f ca="1">(SQRT(((-'int. presets cp_5d+wd'!E26*SIN($F$18*PI()/180)*$F$21+'int. presets cp_5d+wd'!E35*SIN($I$18*PI()/180)*$I$21)*$C$25*1000)^2+(0.001*$C$25*1000*$F$21)^2)/$C$30+(-'int. presets cp_5d+wd'!E26*COS($F$18*PI()/180)*$F$21-'int. presets cp_5d+wd'!E35*COS($I$18*PI()/180)*$I$21)*$C$25*1000)/9.81*$G$47/$I$47*$F$101*'int. presets cp_5d+wd'!$E$246-$H$47/$I$47*$C$20*$F$21</f>
        <v>39.010677368987643</v>
      </c>
      <c r="J60" s="994">
        <f t="shared" ref="J60:J67" ca="1" si="34">MAX(H60,I60)</f>
        <v>63.890742618753578</v>
      </c>
      <c r="K60" s="1071">
        <f t="shared" ca="1" si="24"/>
        <v>140.85480899215651</v>
      </c>
      <c r="L60" s="118"/>
      <c r="M60" s="153"/>
      <c r="N60" s="20"/>
      <c r="O60" s="1482"/>
      <c r="P60" s="1483"/>
      <c r="Q60" s="1569" t="str">
        <f>V51</f>
        <v>Inner row
Interior modules</v>
      </c>
      <c r="R60" s="1278"/>
      <c r="S60" s="1278"/>
      <c r="T60" s="1278"/>
      <c r="U60" s="1279"/>
      <c r="V60" s="1277" t="str">
        <f>V32</f>
        <v>Inner row
Interior modules</v>
      </c>
      <c r="W60" s="1278"/>
      <c r="X60" s="1278"/>
      <c r="Y60" s="1278"/>
      <c r="Z60" s="1279"/>
      <c r="AA60" s="1331" t="str">
        <f>AA32</f>
        <v>Inner row
1st-10th module</v>
      </c>
      <c r="AB60" s="1332"/>
      <c r="AC60" s="1332"/>
      <c r="AD60" s="1332"/>
      <c r="AE60" s="1333"/>
      <c r="AF60" s="1340" t="str">
        <f>AF32</f>
        <v>Inner row
Interior modules</v>
      </c>
      <c r="AG60" s="1341"/>
      <c r="AH60" s="1341"/>
      <c r="AI60" s="1341"/>
      <c r="AJ60" s="1342"/>
      <c r="AK60" s="1349" t="str">
        <f>AK32</f>
        <v>Inner row
1st-10th module</v>
      </c>
      <c r="AL60" s="1350"/>
      <c r="AM60" s="1350"/>
      <c r="AN60" s="1350"/>
      <c r="AO60" s="1351"/>
      <c r="AP60" s="1358" t="str">
        <f>AP32</f>
        <v>Inner row
Interior modules</v>
      </c>
      <c r="AQ60" s="1359"/>
      <c r="AR60" s="1359"/>
      <c r="AS60" s="1359"/>
      <c r="AT60" s="1360"/>
      <c r="AU60" s="1500" t="str">
        <f>AU32</f>
        <v>Inner row
1st-10th module</v>
      </c>
      <c r="AV60" s="1501"/>
      <c r="AW60" s="1501"/>
      <c r="AX60" s="1501"/>
      <c r="AY60" s="1502"/>
      <c r="AZ60" s="1322" t="str">
        <f>AZ43</f>
        <v>Inner row
Interior modules</v>
      </c>
      <c r="BA60" s="1323"/>
      <c r="BB60" s="1323"/>
      <c r="BC60" s="1323"/>
      <c r="BD60" s="1324"/>
      <c r="BE60" s="1427" t="str">
        <f>BE43</f>
        <v>Inner row
1st-10th module</v>
      </c>
      <c r="BF60" s="1290"/>
      <c r="BG60" s="1290"/>
      <c r="BH60" s="1290"/>
      <c r="BI60" s="1428"/>
      <c r="BJ60" s="1482"/>
      <c r="BK60" s="1483"/>
      <c r="BL60" s="361"/>
      <c r="BM60" s="485"/>
      <c r="BO60" s="153"/>
      <c r="BP60" s="20"/>
      <c r="BQ60" s="1482"/>
      <c r="BR60" s="1483"/>
      <c r="BS60" s="1803" t="str">
        <f t="shared" ref="BS60" si="35">BE60</f>
        <v>Inner row
1st-10th module</v>
      </c>
      <c r="BT60" s="1804"/>
      <c r="BU60" s="1804"/>
      <c r="BV60" s="1804"/>
      <c r="BW60" s="1804"/>
      <c r="BX60" s="1807" t="str">
        <f t="shared" ref="BX60" si="36">AZ60</f>
        <v>Inner row
Interior modules</v>
      </c>
      <c r="BY60" s="1807"/>
      <c r="BZ60" s="1807"/>
      <c r="CA60" s="1807"/>
      <c r="CB60" s="1807"/>
      <c r="CC60" s="1809" t="str">
        <f t="shared" ref="CC60" si="37">AU60</f>
        <v>Inner row
1st-10th module</v>
      </c>
      <c r="CD60" s="1809"/>
      <c r="CE60" s="1809"/>
      <c r="CF60" s="1809"/>
      <c r="CG60" s="1809"/>
      <c r="CH60" s="1812" t="str">
        <f t="shared" ref="CH60" si="38">AP60</f>
        <v>Inner row
Interior modules</v>
      </c>
      <c r="CI60" s="1812"/>
      <c r="CJ60" s="1812"/>
      <c r="CK60" s="1812"/>
      <c r="CL60" s="1812"/>
      <c r="CM60" s="1788" t="str">
        <f t="shared" ref="CM60" si="39">AK60</f>
        <v>Inner row
1st-10th module</v>
      </c>
      <c r="CN60" s="1788"/>
      <c r="CO60" s="1788"/>
      <c r="CP60" s="1788"/>
      <c r="CQ60" s="1788"/>
      <c r="CR60" s="1790" t="str">
        <f t="shared" ref="CR60" si="40">AF60</f>
        <v>Inner row
Interior modules</v>
      </c>
      <c r="CS60" s="1790"/>
      <c r="CT60" s="1790"/>
      <c r="CU60" s="1790"/>
      <c r="CV60" s="1790"/>
      <c r="CW60" s="1792" t="str">
        <f t="shared" ref="CW60" si="41">AA60</f>
        <v>Inner row
1st-10th module</v>
      </c>
      <c r="CX60" s="1792"/>
      <c r="CY60" s="1792"/>
      <c r="CZ60" s="1792"/>
      <c r="DA60" s="1792"/>
      <c r="DB60" s="1794" t="str">
        <f t="shared" ref="DB60" si="42">V60</f>
        <v>Inner row
Interior modules</v>
      </c>
      <c r="DC60" s="1794"/>
      <c r="DD60" s="1794"/>
      <c r="DE60" s="1794"/>
      <c r="DF60" s="1794"/>
      <c r="DG60" s="1794" t="str">
        <f t="shared" ref="DG60" si="43">Q60</f>
        <v>Inner row
Interior modules</v>
      </c>
      <c r="DH60" s="1794"/>
      <c r="DI60" s="1794"/>
      <c r="DJ60" s="1794"/>
      <c r="DK60" s="1814"/>
      <c r="DL60" s="1482"/>
      <c r="DM60" s="1483"/>
      <c r="DN60" s="361"/>
      <c r="DO60" s="485"/>
    </row>
    <row r="61" spans="1:120" ht="13.5" customHeight="1" thickBot="1" x14ac:dyDescent="0.25">
      <c r="A61" s="24"/>
      <c r="B61" s="1586">
        <f t="shared" si="33"/>
        <v>0</v>
      </c>
      <c r="C61" s="1587">
        <f t="shared" si="33"/>
        <v>0</v>
      </c>
      <c r="D61" s="1588">
        <f t="shared" si="33"/>
        <v>0</v>
      </c>
      <c r="E61" s="481" t="str">
        <f t="shared" si="33"/>
        <v>Interior modules</v>
      </c>
      <c r="F61" s="405"/>
      <c r="G61" s="406"/>
      <c r="H61" s="199">
        <f ca="1">(-'int. presets cp_5d+wd'!J27*COS($F$18*PI()/180)*$F$21-'int. presets cp_5d+wd'!J36*COS($I$18*PI()/180)*$I$21)*$F$47*$C$25*1000/9.81/$I$47*$D$101*'int. presets cp_5d+wd'!$J$246-$H$47/$I$47*$C$20*$F$21</f>
        <v>59.198717689738984</v>
      </c>
      <c r="I61" s="936">
        <f ca="1">(SQRT(((-'int. presets cp_5d+wd'!E27*SIN($F$18*PI()/180)*$F$21+'int. presets cp_5d+wd'!E36*SIN($I$18*PI()/180)*$I$21)*$C$25*1000)^2+(0.001*$C$25*1000*$F$21)^2)/$C$30+(-'int. presets cp_5d+wd'!E27*COS($F$18*PI()/180)*$F$21-'int. presets cp_5d+wd'!E36*COS($I$18*PI()/180)*$I$21)*$C$25*1000)/9.81*$G$47/$I$47*$F$101*'int. presets cp_5d+wd'!$E$246-$H$47/$I$47*$C$20*$F$21</f>
        <v>33.623789904709469</v>
      </c>
      <c r="J61" s="995">
        <f t="shared" ca="1" si="34"/>
        <v>59.198717689738984</v>
      </c>
      <c r="K61" s="1072">
        <f t="shared" ca="1" si="24"/>
        <v>130.51067699315234</v>
      </c>
      <c r="L61" s="118"/>
      <c r="M61" s="153"/>
      <c r="N61" s="20"/>
      <c r="O61" s="1482"/>
      <c r="P61" s="1483"/>
      <c r="Q61" s="1567"/>
      <c r="R61" s="1281"/>
      <c r="S61" s="1281"/>
      <c r="T61" s="1281"/>
      <c r="U61" s="1282"/>
      <c r="V61" s="1280"/>
      <c r="W61" s="1281"/>
      <c r="X61" s="1281"/>
      <c r="Y61" s="1281"/>
      <c r="Z61" s="1282"/>
      <c r="AA61" s="1334"/>
      <c r="AB61" s="1335"/>
      <c r="AC61" s="1335"/>
      <c r="AD61" s="1335"/>
      <c r="AE61" s="1336"/>
      <c r="AF61" s="1343"/>
      <c r="AG61" s="1344"/>
      <c r="AH61" s="1344"/>
      <c r="AI61" s="1344"/>
      <c r="AJ61" s="1345"/>
      <c r="AK61" s="1352"/>
      <c r="AL61" s="1353"/>
      <c r="AM61" s="1353"/>
      <c r="AN61" s="1353"/>
      <c r="AO61" s="1354"/>
      <c r="AP61" s="1361"/>
      <c r="AQ61" s="1362"/>
      <c r="AR61" s="1362"/>
      <c r="AS61" s="1362"/>
      <c r="AT61" s="1363"/>
      <c r="AU61" s="1503"/>
      <c r="AV61" s="1504"/>
      <c r="AW61" s="1504"/>
      <c r="AX61" s="1504"/>
      <c r="AY61" s="1505"/>
      <c r="AZ61" s="1328"/>
      <c r="BA61" s="1329"/>
      <c r="BB61" s="1329"/>
      <c r="BC61" s="1329"/>
      <c r="BD61" s="1330"/>
      <c r="BE61" s="1495"/>
      <c r="BF61" s="1377"/>
      <c r="BG61" s="1377"/>
      <c r="BH61" s="1377"/>
      <c r="BI61" s="1496"/>
      <c r="BJ61" s="1482"/>
      <c r="BK61" s="1483"/>
      <c r="BL61" s="361"/>
      <c r="BM61" s="485"/>
      <c r="BO61" s="153"/>
      <c r="BP61" s="20"/>
      <c r="BQ61" s="1482"/>
      <c r="BR61" s="1483"/>
      <c r="BS61" s="1803"/>
      <c r="BT61" s="1804"/>
      <c r="BU61" s="1804"/>
      <c r="BV61" s="1804"/>
      <c r="BW61" s="1804"/>
      <c r="BX61" s="1807"/>
      <c r="BY61" s="1807"/>
      <c r="BZ61" s="1807"/>
      <c r="CA61" s="1807"/>
      <c r="CB61" s="1807"/>
      <c r="CC61" s="1809"/>
      <c r="CD61" s="1809"/>
      <c r="CE61" s="1809"/>
      <c r="CF61" s="1809"/>
      <c r="CG61" s="1809"/>
      <c r="CH61" s="1812"/>
      <c r="CI61" s="1812"/>
      <c r="CJ61" s="1812"/>
      <c r="CK61" s="1812"/>
      <c r="CL61" s="1812"/>
      <c r="CM61" s="1788"/>
      <c r="CN61" s="1788"/>
      <c r="CO61" s="1788"/>
      <c r="CP61" s="1788"/>
      <c r="CQ61" s="1788"/>
      <c r="CR61" s="1790"/>
      <c r="CS61" s="1790"/>
      <c r="CT61" s="1790"/>
      <c r="CU61" s="1790"/>
      <c r="CV61" s="1790"/>
      <c r="CW61" s="1792"/>
      <c r="CX61" s="1792"/>
      <c r="CY61" s="1792"/>
      <c r="CZ61" s="1792"/>
      <c r="DA61" s="1792"/>
      <c r="DB61" s="1794"/>
      <c r="DC61" s="1794"/>
      <c r="DD61" s="1794"/>
      <c r="DE61" s="1794"/>
      <c r="DF61" s="1794"/>
      <c r="DG61" s="1794"/>
      <c r="DH61" s="1794"/>
      <c r="DI61" s="1794"/>
      <c r="DJ61" s="1794"/>
      <c r="DK61" s="1814"/>
      <c r="DL61" s="1482"/>
      <c r="DM61" s="1483"/>
      <c r="DN61" s="361"/>
      <c r="DO61" s="485"/>
    </row>
    <row r="62" spans="1:120" s="75" customFormat="1" ht="13.5" customHeight="1" x14ac:dyDescent="0.2">
      <c r="B62" s="1580" t="str">
        <f t="shared" si="33"/>
        <v>Inner rows, 2nd to 4th row from north</v>
      </c>
      <c r="C62" s="1581" t="e">
        <f t="shared" si="33"/>
        <v>#REF!</v>
      </c>
      <c r="D62" s="1582" t="e">
        <f t="shared" si="33"/>
        <v>#REF!</v>
      </c>
      <c r="E62" s="479" t="str">
        <f t="shared" si="33"/>
        <v>1st-10th module</v>
      </c>
      <c r="F62" s="405"/>
      <c r="G62" s="406"/>
      <c r="H62" s="181">
        <f ca="1">(-'int. presets cp_5d+wd'!J28*COS($F$18*PI()/180)*$F$21-'int. presets cp_5d+wd'!J37*COS($I$18*PI()/180)*$I$21)*$F$47*$C$25*1000/9.81/$I$47*$D$101*'int. presets cp_5d+wd'!$J$246-$H$47/$I$47*$C$20*$F$21</f>
        <v>35.943627138189157</v>
      </c>
      <c r="I62" s="75">
        <f ca="1">(SQRT(((-'int. presets cp_5d+wd'!E28*SIN($F$18*PI()/180)*$F$21+'int. presets cp_5d+wd'!E37*SIN($I$18*PI()/180)*$I$21)*$C$25*1000)^2+(0.001*$C$25*1000*$F$21)^2)/$C$30+(-'int. presets cp_5d+wd'!E28*COS($F$18*PI()/180)*$F$21-'int. presets cp_5d+wd'!E37*COS($I$18*PI()/180)*$I$21)*$C$25*1000)/9.81*$G$47/$I$47*$F$101*'int. presets cp_5d+wd'!$E$246-$H$47/$I$47*$C$20*$F$21</f>
        <v>40.474084346305588</v>
      </c>
      <c r="J62" s="996">
        <f t="shared" ca="1" si="34"/>
        <v>40.474084346305588</v>
      </c>
      <c r="K62" s="1073">
        <f t="shared" ca="1" si="24"/>
        <v>89.229975831552224</v>
      </c>
      <c r="L62" s="118"/>
      <c r="M62" s="153"/>
      <c r="N62" s="20"/>
      <c r="O62" s="1482"/>
      <c r="P62" s="1483"/>
      <c r="Q62" s="1568"/>
      <c r="R62" s="1284"/>
      <c r="S62" s="1284"/>
      <c r="T62" s="1284"/>
      <c r="U62" s="1285"/>
      <c r="V62" s="1283"/>
      <c r="W62" s="1284"/>
      <c r="X62" s="1284"/>
      <c r="Y62" s="1284"/>
      <c r="Z62" s="1285"/>
      <c r="AA62" s="1337"/>
      <c r="AB62" s="1338"/>
      <c r="AC62" s="1338"/>
      <c r="AD62" s="1338"/>
      <c r="AE62" s="1339"/>
      <c r="AF62" s="1346"/>
      <c r="AG62" s="1347"/>
      <c r="AH62" s="1347"/>
      <c r="AI62" s="1347"/>
      <c r="AJ62" s="1348"/>
      <c r="AK62" s="1355"/>
      <c r="AL62" s="1356"/>
      <c r="AM62" s="1356"/>
      <c r="AN62" s="1356"/>
      <c r="AO62" s="1357"/>
      <c r="AP62" s="1364"/>
      <c r="AQ62" s="1365"/>
      <c r="AR62" s="1365"/>
      <c r="AS62" s="1365"/>
      <c r="AT62" s="1366"/>
      <c r="AU62" s="1506"/>
      <c r="AV62" s="1507"/>
      <c r="AW62" s="1507"/>
      <c r="AX62" s="1507"/>
      <c r="AY62" s="1508"/>
      <c r="AZ62" s="1325"/>
      <c r="BA62" s="1326"/>
      <c r="BB62" s="1326"/>
      <c r="BC62" s="1326"/>
      <c r="BD62" s="1327"/>
      <c r="BE62" s="1429"/>
      <c r="BF62" s="1293"/>
      <c r="BG62" s="1293"/>
      <c r="BH62" s="1293"/>
      <c r="BI62" s="1430"/>
      <c r="BJ62" s="1482"/>
      <c r="BK62" s="1483"/>
      <c r="BL62" s="361"/>
      <c r="BM62" s="486"/>
      <c r="BN62" s="1"/>
      <c r="BO62" s="153"/>
      <c r="BP62" s="20"/>
      <c r="BQ62" s="1482"/>
      <c r="BR62" s="1483"/>
      <c r="BS62" s="1803"/>
      <c r="BT62" s="1804"/>
      <c r="BU62" s="1804"/>
      <c r="BV62" s="1804"/>
      <c r="BW62" s="1804"/>
      <c r="BX62" s="1807"/>
      <c r="BY62" s="1807"/>
      <c r="BZ62" s="1807"/>
      <c r="CA62" s="1807"/>
      <c r="CB62" s="1807"/>
      <c r="CC62" s="1809"/>
      <c r="CD62" s="1809"/>
      <c r="CE62" s="1809"/>
      <c r="CF62" s="1809"/>
      <c r="CG62" s="1809"/>
      <c r="CH62" s="1812"/>
      <c r="CI62" s="1812"/>
      <c r="CJ62" s="1812"/>
      <c r="CK62" s="1812"/>
      <c r="CL62" s="1812"/>
      <c r="CM62" s="1788"/>
      <c r="CN62" s="1788"/>
      <c r="CO62" s="1788"/>
      <c r="CP62" s="1788"/>
      <c r="CQ62" s="1788"/>
      <c r="CR62" s="1790"/>
      <c r="CS62" s="1790"/>
      <c r="CT62" s="1790"/>
      <c r="CU62" s="1790"/>
      <c r="CV62" s="1790"/>
      <c r="CW62" s="1792"/>
      <c r="CX62" s="1792"/>
      <c r="CY62" s="1792"/>
      <c r="CZ62" s="1792"/>
      <c r="DA62" s="1792"/>
      <c r="DB62" s="1794"/>
      <c r="DC62" s="1794"/>
      <c r="DD62" s="1794"/>
      <c r="DE62" s="1794"/>
      <c r="DF62" s="1794"/>
      <c r="DG62" s="1794"/>
      <c r="DH62" s="1794"/>
      <c r="DI62" s="1794"/>
      <c r="DJ62" s="1794"/>
      <c r="DK62" s="1814"/>
      <c r="DL62" s="1482"/>
      <c r="DM62" s="1483"/>
      <c r="DN62" s="361"/>
      <c r="DO62" s="486"/>
      <c r="DP62" s="1"/>
    </row>
    <row r="63" spans="1:120" s="75" customFormat="1" ht="13.5" customHeight="1" thickBot="1" x14ac:dyDescent="0.25">
      <c r="B63" s="1586" t="e">
        <f t="shared" si="33"/>
        <v>#REF!</v>
      </c>
      <c r="C63" s="1587" t="e">
        <f t="shared" si="33"/>
        <v>#REF!</v>
      </c>
      <c r="D63" s="1588" t="e">
        <f t="shared" si="33"/>
        <v>#REF!</v>
      </c>
      <c r="E63" s="481" t="str">
        <f t="shared" si="33"/>
        <v>Interior modules</v>
      </c>
      <c r="F63" s="405"/>
      <c r="G63" s="406"/>
      <c r="H63" s="199">
        <f ca="1">(-'int. presets cp_5d+wd'!J29*COS($F$18*PI()/180)*$F$21-'int. presets cp_5d+wd'!J38*COS($I$18*PI()/180)*$I$21)*$F$47*$C$25*1000/9.81/$I$47*$D$101*'int. presets cp_5d+wd'!$J$246-$H$47/$I$47*$C$20*$F$21</f>
        <v>33.273992125185671</v>
      </c>
      <c r="I63" s="936">
        <f ca="1">(SQRT(((-'int. presets cp_5d+wd'!E29*SIN($F$18*PI()/180)*$F$21+'int. presets cp_5d+wd'!E38*SIN($I$18*PI()/180)*$I$21)*$C$25*1000)^2+(0.001*$C$25*1000*$F$21)^2)/$C$30+(-'int. presets cp_5d+wd'!E29*COS($F$18*PI()/180)*$F$21-'int. presets cp_5d+wd'!E38*COS($I$18*PI()/180)*$I$21)*$C$25*1000)/9.81*$G$47/$I$47*$F$101*'int. presets cp_5d+wd'!$E$246-$H$47/$I$47*$C$20*$F$21</f>
        <v>37.944754827540621</v>
      </c>
      <c r="J63" s="995">
        <f t="shared" ca="1" si="34"/>
        <v>37.944754827540621</v>
      </c>
      <c r="K63" s="1072">
        <f t="shared" ca="1" si="24"/>
        <v>83.653765387892591</v>
      </c>
      <c r="L63" s="118"/>
      <c r="M63" s="153"/>
      <c r="N63" s="20"/>
      <c r="O63" s="1482"/>
      <c r="P63" s="1483"/>
      <c r="Q63" s="1569" t="str">
        <f>V51</f>
        <v>Inner row
Interior modules</v>
      </c>
      <c r="R63" s="1278"/>
      <c r="S63" s="1278"/>
      <c r="T63" s="1278"/>
      <c r="U63" s="1279"/>
      <c r="V63" s="1277" t="str">
        <f>V32</f>
        <v>Inner row
Interior modules</v>
      </c>
      <c r="W63" s="1278"/>
      <c r="X63" s="1278"/>
      <c r="Y63" s="1278"/>
      <c r="Z63" s="1279"/>
      <c r="AA63" s="1331" t="str">
        <f>AA32</f>
        <v>Inner row
1st-10th module</v>
      </c>
      <c r="AB63" s="1332"/>
      <c r="AC63" s="1332"/>
      <c r="AD63" s="1332"/>
      <c r="AE63" s="1333"/>
      <c r="AF63" s="1340" t="str">
        <f>AF32</f>
        <v>Inner row
Interior modules</v>
      </c>
      <c r="AG63" s="1341"/>
      <c r="AH63" s="1341"/>
      <c r="AI63" s="1341"/>
      <c r="AJ63" s="1342"/>
      <c r="AK63" s="1349" t="str">
        <f>AK32</f>
        <v>Inner row
1st-10th module</v>
      </c>
      <c r="AL63" s="1350"/>
      <c r="AM63" s="1350"/>
      <c r="AN63" s="1350"/>
      <c r="AO63" s="1351"/>
      <c r="AP63" s="1358" t="str">
        <f>AP32</f>
        <v>Inner row
Interior modules</v>
      </c>
      <c r="AQ63" s="1359"/>
      <c r="AR63" s="1359"/>
      <c r="AS63" s="1359"/>
      <c r="AT63" s="1360"/>
      <c r="AU63" s="1500" t="str">
        <f>AU32</f>
        <v>Inner row
1st-10th module</v>
      </c>
      <c r="AV63" s="1501"/>
      <c r="AW63" s="1501"/>
      <c r="AX63" s="1501"/>
      <c r="AY63" s="1502"/>
      <c r="AZ63" s="1322" t="str">
        <f>AZ43</f>
        <v>Inner row
Interior modules</v>
      </c>
      <c r="BA63" s="1323"/>
      <c r="BB63" s="1323"/>
      <c r="BC63" s="1323"/>
      <c r="BD63" s="1324"/>
      <c r="BE63" s="1427" t="str">
        <f>BE43</f>
        <v>Inner row
1st-10th module</v>
      </c>
      <c r="BF63" s="1290"/>
      <c r="BG63" s="1290"/>
      <c r="BH63" s="1290"/>
      <c r="BI63" s="1428"/>
      <c r="BJ63" s="1482"/>
      <c r="BK63" s="1483"/>
      <c r="BL63" s="361"/>
      <c r="BM63" s="486"/>
      <c r="BN63" s="1"/>
      <c r="BO63" s="153"/>
      <c r="BP63" s="20"/>
      <c r="BQ63" s="1482"/>
      <c r="BR63" s="1483"/>
      <c r="BS63" s="1803" t="str">
        <f t="shared" ref="BS63" si="44">BE63</f>
        <v>Inner row
1st-10th module</v>
      </c>
      <c r="BT63" s="1804"/>
      <c r="BU63" s="1804"/>
      <c r="BV63" s="1804"/>
      <c r="BW63" s="1804"/>
      <c r="BX63" s="1807" t="str">
        <f t="shared" ref="BX63" si="45">AZ63</f>
        <v>Inner row
Interior modules</v>
      </c>
      <c r="BY63" s="1807"/>
      <c r="BZ63" s="1807"/>
      <c r="CA63" s="1807"/>
      <c r="CB63" s="1807"/>
      <c r="CC63" s="1809" t="str">
        <f t="shared" ref="CC63" si="46">AU63</f>
        <v>Inner row
1st-10th module</v>
      </c>
      <c r="CD63" s="1809"/>
      <c r="CE63" s="1809"/>
      <c r="CF63" s="1809"/>
      <c r="CG63" s="1809"/>
      <c r="CH63" s="1812" t="str">
        <f t="shared" ref="CH63" si="47">AP63</f>
        <v>Inner row
Interior modules</v>
      </c>
      <c r="CI63" s="1812"/>
      <c r="CJ63" s="1812"/>
      <c r="CK63" s="1812"/>
      <c r="CL63" s="1812"/>
      <c r="CM63" s="1788" t="str">
        <f t="shared" ref="CM63" si="48">AK63</f>
        <v>Inner row
1st-10th module</v>
      </c>
      <c r="CN63" s="1788"/>
      <c r="CO63" s="1788"/>
      <c r="CP63" s="1788"/>
      <c r="CQ63" s="1788"/>
      <c r="CR63" s="1790" t="str">
        <f t="shared" ref="CR63" si="49">AF63</f>
        <v>Inner row
Interior modules</v>
      </c>
      <c r="CS63" s="1790"/>
      <c r="CT63" s="1790"/>
      <c r="CU63" s="1790"/>
      <c r="CV63" s="1790"/>
      <c r="CW63" s="1792" t="str">
        <f t="shared" ref="CW63" si="50">AA63</f>
        <v>Inner row
1st-10th module</v>
      </c>
      <c r="CX63" s="1792"/>
      <c r="CY63" s="1792"/>
      <c r="CZ63" s="1792"/>
      <c r="DA63" s="1792"/>
      <c r="DB63" s="1794" t="str">
        <f t="shared" ref="DB63" si="51">V63</f>
        <v>Inner row
Interior modules</v>
      </c>
      <c r="DC63" s="1794"/>
      <c r="DD63" s="1794"/>
      <c r="DE63" s="1794"/>
      <c r="DF63" s="1794"/>
      <c r="DG63" s="1794" t="str">
        <f t="shared" ref="DG63" si="52">Q63</f>
        <v>Inner row
Interior modules</v>
      </c>
      <c r="DH63" s="1794"/>
      <c r="DI63" s="1794"/>
      <c r="DJ63" s="1794"/>
      <c r="DK63" s="1814"/>
      <c r="DL63" s="1482"/>
      <c r="DM63" s="1483"/>
      <c r="DN63" s="361"/>
      <c r="DO63" s="486"/>
      <c r="DP63" s="1"/>
    </row>
    <row r="64" spans="1:120" s="75" customFormat="1" ht="13.5" customHeight="1" x14ac:dyDescent="0.2">
      <c r="B64" s="1580" t="str">
        <f t="shared" si="33"/>
        <v>Inner rows, from 5th row from north</v>
      </c>
      <c r="C64" s="1581" t="e">
        <f t="shared" si="33"/>
        <v>#REF!</v>
      </c>
      <c r="D64" s="1582" t="e">
        <f t="shared" si="33"/>
        <v>#REF!</v>
      </c>
      <c r="E64" s="479" t="str">
        <f t="shared" si="33"/>
        <v>1st-10th module</v>
      </c>
      <c r="F64" s="405"/>
      <c r="G64" s="406"/>
      <c r="H64" s="181">
        <f ca="1">(-'int. presets cp_5d+wd'!J30*COS($F$18*PI()/180)*$F$21-'int. presets cp_5d+wd'!J39*COS($I$18*PI()/180)*$I$21)*$F$47*$C$25*1000/9.81/$I$47*$D$101*'int. presets cp_5d+wd'!$J$246-$H$47/$I$47*$C$20*$F$21</f>
        <v>24.820472446513243</v>
      </c>
      <c r="I64" s="75">
        <f ca="1">(SQRT(((-'int. presets cp_5d+wd'!E30*SIN($F$18*PI()/180)*$F$21+'int. presets cp_5d+wd'!E39*SIN($I$18*PI()/180)*$I$21)*$C$25*1000)^2+(0.001*$C$25*1000*$F$21)^2)/$C$30+(-'int. presets cp_5d+wd'!E30*COS($F$18*PI()/180)*$F$21-'int. presets cp_5d+wd'!E39*COS($I$18*PI()/180)*$I$21)*$C$25*1000)/9.81*$G$47/$I$47*$F$101*'int. presets cp_5d+wd'!$E$246-$H$47/$I$47*$C$20*$F$21</f>
        <v>30.82905762161348</v>
      </c>
      <c r="J64" s="996">
        <f t="shared" ca="1" si="34"/>
        <v>30.82905762161348</v>
      </c>
      <c r="K64" s="1073">
        <f t="shared" ca="1" si="24"/>
        <v>67.96635701376151</v>
      </c>
      <c r="L64" s="118"/>
      <c r="M64" s="153"/>
      <c r="N64" s="20"/>
      <c r="O64" s="1482"/>
      <c r="P64" s="1483"/>
      <c r="Q64" s="1567"/>
      <c r="R64" s="1281"/>
      <c r="S64" s="1281"/>
      <c r="T64" s="1281"/>
      <c r="U64" s="1282"/>
      <c r="V64" s="1280"/>
      <c r="W64" s="1281"/>
      <c r="X64" s="1281"/>
      <c r="Y64" s="1281"/>
      <c r="Z64" s="1282"/>
      <c r="AA64" s="1334"/>
      <c r="AB64" s="1335"/>
      <c r="AC64" s="1335"/>
      <c r="AD64" s="1335"/>
      <c r="AE64" s="1336"/>
      <c r="AF64" s="1343"/>
      <c r="AG64" s="1344"/>
      <c r="AH64" s="1344"/>
      <c r="AI64" s="1344"/>
      <c r="AJ64" s="1345"/>
      <c r="AK64" s="1352"/>
      <c r="AL64" s="1353"/>
      <c r="AM64" s="1353"/>
      <c r="AN64" s="1353"/>
      <c r="AO64" s="1354"/>
      <c r="AP64" s="1361"/>
      <c r="AQ64" s="1362"/>
      <c r="AR64" s="1362"/>
      <c r="AS64" s="1362"/>
      <c r="AT64" s="1363"/>
      <c r="AU64" s="1503"/>
      <c r="AV64" s="1504"/>
      <c r="AW64" s="1504"/>
      <c r="AX64" s="1504"/>
      <c r="AY64" s="1505"/>
      <c r="AZ64" s="1328"/>
      <c r="BA64" s="1329"/>
      <c r="BB64" s="1329"/>
      <c r="BC64" s="1329"/>
      <c r="BD64" s="1330"/>
      <c r="BE64" s="1495"/>
      <c r="BF64" s="1377"/>
      <c r="BG64" s="1377"/>
      <c r="BH64" s="1377"/>
      <c r="BI64" s="1496"/>
      <c r="BJ64" s="1482"/>
      <c r="BK64" s="1483"/>
      <c r="BL64" s="361"/>
      <c r="BM64" s="486"/>
      <c r="BN64" s="1"/>
      <c r="BO64" s="153"/>
      <c r="BP64" s="20"/>
      <c r="BQ64" s="1482"/>
      <c r="BR64" s="1483"/>
      <c r="BS64" s="1803"/>
      <c r="BT64" s="1804"/>
      <c r="BU64" s="1804"/>
      <c r="BV64" s="1804"/>
      <c r="BW64" s="1804"/>
      <c r="BX64" s="1807"/>
      <c r="BY64" s="1807"/>
      <c r="BZ64" s="1807"/>
      <c r="CA64" s="1807"/>
      <c r="CB64" s="1807"/>
      <c r="CC64" s="1809"/>
      <c r="CD64" s="1809"/>
      <c r="CE64" s="1809"/>
      <c r="CF64" s="1809"/>
      <c r="CG64" s="1809"/>
      <c r="CH64" s="1812"/>
      <c r="CI64" s="1812"/>
      <c r="CJ64" s="1812"/>
      <c r="CK64" s="1812"/>
      <c r="CL64" s="1812"/>
      <c r="CM64" s="1788"/>
      <c r="CN64" s="1788"/>
      <c r="CO64" s="1788"/>
      <c r="CP64" s="1788"/>
      <c r="CQ64" s="1788"/>
      <c r="CR64" s="1790"/>
      <c r="CS64" s="1790"/>
      <c r="CT64" s="1790"/>
      <c r="CU64" s="1790"/>
      <c r="CV64" s="1790"/>
      <c r="CW64" s="1792"/>
      <c r="CX64" s="1792"/>
      <c r="CY64" s="1792"/>
      <c r="CZ64" s="1792"/>
      <c r="DA64" s="1792"/>
      <c r="DB64" s="1794"/>
      <c r="DC64" s="1794"/>
      <c r="DD64" s="1794"/>
      <c r="DE64" s="1794"/>
      <c r="DF64" s="1794"/>
      <c r="DG64" s="1794"/>
      <c r="DH64" s="1794"/>
      <c r="DI64" s="1794"/>
      <c r="DJ64" s="1794"/>
      <c r="DK64" s="1814"/>
      <c r="DL64" s="1482"/>
      <c r="DM64" s="1483"/>
      <c r="DN64" s="361"/>
      <c r="DO64" s="486"/>
      <c r="DP64" s="1"/>
    </row>
    <row r="65" spans="2:120" s="75" customFormat="1" ht="13.5" customHeight="1" thickBot="1" x14ac:dyDescent="0.25">
      <c r="B65" s="1586" t="e">
        <f t="shared" si="33"/>
        <v>#REF!</v>
      </c>
      <c r="C65" s="1587" t="e">
        <f t="shared" si="33"/>
        <v>#REF!</v>
      </c>
      <c r="D65" s="1588" t="e">
        <f t="shared" si="33"/>
        <v>#REF!</v>
      </c>
      <c r="E65" s="481" t="str">
        <f t="shared" si="33"/>
        <v>Interior modules</v>
      </c>
      <c r="F65" s="405"/>
      <c r="G65" s="406"/>
      <c r="H65" s="199">
        <f ca="1">(-'int. presets cp_5d+wd'!J31*COS($F$18*PI()/180)*$F$21-'int. presets cp_5d+wd'!J40*COS($I$18*PI()/180)*$I$21)*$F$47*$C$25*1000/9.81/$I$47*$D$101*'int. presets cp_5d+wd'!$J$246-$H$47/$I$47*$C$20*$F$21</f>
        <v>24.743820277244772</v>
      </c>
      <c r="I65" s="936">
        <f ca="1">(SQRT(((-'int. presets cp_5d+wd'!E31*SIN($F$18*PI()/180)*$F$21+'int. presets cp_5d+wd'!E40*SIN($I$18*PI()/180)*$I$21)*$C$25*1000)^2+(0.001*$C$25*1000*$F$21)^2)/$C$30+(-'int. presets cp_5d+wd'!E31*COS($F$18*PI()/180)*$F$21-'int. presets cp_5d+wd'!E40*COS($I$18*PI()/180)*$I$21)*$C$25*1000)/9.81*$G$47/$I$47*$F$101*'int. presets cp_5d+wd'!$E$246-$H$47/$I$47*$C$20*$F$21</f>
        <v>33.229146815895319</v>
      </c>
      <c r="J65" s="995">
        <f t="shared" ca="1" si="34"/>
        <v>33.229146815895319</v>
      </c>
      <c r="K65" s="1072">
        <f t="shared" ca="1" si="24"/>
        <v>73.257641653259128</v>
      </c>
      <c r="L65" s="118"/>
      <c r="M65" s="153"/>
      <c r="N65" s="20"/>
      <c r="O65" s="1482"/>
      <c r="P65" s="1483"/>
      <c r="Q65" s="1568"/>
      <c r="R65" s="1284"/>
      <c r="S65" s="1284"/>
      <c r="T65" s="1284"/>
      <c r="U65" s="1285"/>
      <c r="V65" s="1283"/>
      <c r="W65" s="1284"/>
      <c r="X65" s="1284"/>
      <c r="Y65" s="1284"/>
      <c r="Z65" s="1285"/>
      <c r="AA65" s="1337"/>
      <c r="AB65" s="1338"/>
      <c r="AC65" s="1338"/>
      <c r="AD65" s="1338"/>
      <c r="AE65" s="1339"/>
      <c r="AF65" s="1346"/>
      <c r="AG65" s="1347"/>
      <c r="AH65" s="1347"/>
      <c r="AI65" s="1347"/>
      <c r="AJ65" s="1348"/>
      <c r="AK65" s="1355"/>
      <c r="AL65" s="1356"/>
      <c r="AM65" s="1356"/>
      <c r="AN65" s="1356"/>
      <c r="AO65" s="1357"/>
      <c r="AP65" s="1364"/>
      <c r="AQ65" s="1365"/>
      <c r="AR65" s="1365"/>
      <c r="AS65" s="1365"/>
      <c r="AT65" s="1366"/>
      <c r="AU65" s="1506"/>
      <c r="AV65" s="1507"/>
      <c r="AW65" s="1507"/>
      <c r="AX65" s="1507"/>
      <c r="AY65" s="1508"/>
      <c r="AZ65" s="1325"/>
      <c r="BA65" s="1326"/>
      <c r="BB65" s="1326"/>
      <c r="BC65" s="1326"/>
      <c r="BD65" s="1327"/>
      <c r="BE65" s="1429"/>
      <c r="BF65" s="1293"/>
      <c r="BG65" s="1293"/>
      <c r="BH65" s="1293"/>
      <c r="BI65" s="1430"/>
      <c r="BJ65" s="1482"/>
      <c r="BK65" s="1483"/>
      <c r="BL65" s="361"/>
      <c r="BM65" s="486"/>
      <c r="BN65" s="1"/>
      <c r="BO65" s="153"/>
      <c r="BP65" s="20"/>
      <c r="BQ65" s="1482"/>
      <c r="BR65" s="1483"/>
      <c r="BS65" s="1803"/>
      <c r="BT65" s="1804"/>
      <c r="BU65" s="1804"/>
      <c r="BV65" s="1804"/>
      <c r="BW65" s="1804"/>
      <c r="BX65" s="1807"/>
      <c r="BY65" s="1807"/>
      <c r="BZ65" s="1807"/>
      <c r="CA65" s="1807"/>
      <c r="CB65" s="1807"/>
      <c r="CC65" s="1809"/>
      <c r="CD65" s="1809"/>
      <c r="CE65" s="1809"/>
      <c r="CF65" s="1809"/>
      <c r="CG65" s="1809"/>
      <c r="CH65" s="1812"/>
      <c r="CI65" s="1812"/>
      <c r="CJ65" s="1812"/>
      <c r="CK65" s="1812"/>
      <c r="CL65" s="1812"/>
      <c r="CM65" s="1788"/>
      <c r="CN65" s="1788"/>
      <c r="CO65" s="1788"/>
      <c r="CP65" s="1788"/>
      <c r="CQ65" s="1788"/>
      <c r="CR65" s="1790"/>
      <c r="CS65" s="1790"/>
      <c r="CT65" s="1790"/>
      <c r="CU65" s="1790"/>
      <c r="CV65" s="1790"/>
      <c r="CW65" s="1792"/>
      <c r="CX65" s="1792"/>
      <c r="CY65" s="1792"/>
      <c r="CZ65" s="1792"/>
      <c r="DA65" s="1792"/>
      <c r="DB65" s="1794"/>
      <c r="DC65" s="1794"/>
      <c r="DD65" s="1794"/>
      <c r="DE65" s="1794"/>
      <c r="DF65" s="1794"/>
      <c r="DG65" s="1794"/>
      <c r="DH65" s="1794"/>
      <c r="DI65" s="1794"/>
      <c r="DJ65" s="1794"/>
      <c r="DK65" s="1814"/>
      <c r="DL65" s="1482"/>
      <c r="DM65" s="1483"/>
      <c r="DN65" s="361"/>
      <c r="DO65" s="486"/>
      <c r="DP65" s="1"/>
    </row>
    <row r="66" spans="2:120" s="75" customFormat="1" ht="13.5" customHeight="1" x14ac:dyDescent="0.2">
      <c r="B66" s="1580" t="str">
        <f t="shared" si="33"/>
        <v>South row</v>
      </c>
      <c r="C66" s="1581" t="e">
        <f t="shared" si="33"/>
        <v>#REF!</v>
      </c>
      <c r="D66" s="1582" t="e">
        <f t="shared" si="33"/>
        <v>#REF!</v>
      </c>
      <c r="E66" s="479" t="str">
        <f t="shared" si="33"/>
        <v>1st-10th module</v>
      </c>
      <c r="F66" s="405"/>
      <c r="G66" s="406"/>
      <c r="H66" s="181">
        <f ca="1">(-'int. presets cp_5d+wd'!J32*COS($F$18*PI()/180)*$F$21-'int. presets cp_5d+wd'!J41*COS($I$18*PI()/180)*$I$21)*$F$47*$C$25*1000/9.81/$I$47*$D$101*'int. presets cp_5d+wd'!$J$246-$H$47/$I$47*$C$20*$F$21</f>
        <v>24.602858820767452</v>
      </c>
      <c r="I66" s="75">
        <f ca="1">(SQRT(((-'int. presets cp_5d+wd'!E32*SIN($F$18*PI()/180)*$F$21+'int. presets cp_5d+wd'!E41*SIN($I$18*PI()/180)*$I$21)*$C$25*1000)^2+(0.001*$C$25*1000*$F$21)^2)/$C$30+(-'int. presets cp_5d+wd'!E32*COS($F$18*PI()/180)*$F$21-'int. presets cp_5d+wd'!E41*COS($I$18*PI()/180)*$I$21)*$C$25*1000)/9.81*$G$47/$I$47*$F$101*'int. presets cp_5d+wd'!$E$246-$H$47/$I$47*$C$20*$F$21</f>
        <v>30.288858247162928</v>
      </c>
      <c r="J66" s="996">
        <f t="shared" ca="1" si="34"/>
        <v>30.288858247162928</v>
      </c>
      <c r="K66" s="1073">
        <f t="shared" ca="1" si="24"/>
        <v>66.77542266886033</v>
      </c>
      <c r="L66" s="118"/>
      <c r="M66" s="153"/>
      <c r="N66" s="20"/>
      <c r="O66" s="1482"/>
      <c r="P66" s="1483"/>
      <c r="Q66" s="1569" t="str">
        <f>V66</f>
        <v>South row
Interior modules</v>
      </c>
      <c r="R66" s="1278"/>
      <c r="S66" s="1278"/>
      <c r="T66" s="1278"/>
      <c r="U66" s="1279"/>
      <c r="V66" s="1277" t="str">
        <f>CONCATENATE(B93,CHAR(10),E94)</f>
        <v>South row
Interior modules</v>
      </c>
      <c r="W66" s="1756"/>
      <c r="X66" s="1756"/>
      <c r="Y66" s="1756"/>
      <c r="Z66" s="1757"/>
      <c r="AA66" s="1331" t="str">
        <f>CONCATENATE(B93,CHAR(10),E93)</f>
        <v>South row
1st-10th module</v>
      </c>
      <c r="AB66" s="1332"/>
      <c r="AC66" s="1332"/>
      <c r="AD66" s="1332"/>
      <c r="AE66" s="1333"/>
      <c r="AF66" s="1340" t="str">
        <f>CONCATENATE(B84,CHAR(10),E85)</f>
        <v>South row
Interior modules</v>
      </c>
      <c r="AG66" s="1766"/>
      <c r="AH66" s="1766"/>
      <c r="AI66" s="1766"/>
      <c r="AJ66" s="1767"/>
      <c r="AK66" s="1349" t="str">
        <f>CONCATENATE(B84,CHAR(10),E84)</f>
        <v>South row
1st-10th module</v>
      </c>
      <c r="AL66" s="1350"/>
      <c r="AM66" s="1350"/>
      <c r="AN66" s="1350"/>
      <c r="AO66" s="1351"/>
      <c r="AP66" s="1358" t="str">
        <f>CONCATENATE(B75,CHAR(10),E76)</f>
        <v>South row
Interior modules</v>
      </c>
      <c r="AQ66" s="1359"/>
      <c r="AR66" s="1359"/>
      <c r="AS66" s="1359"/>
      <c r="AT66" s="1360"/>
      <c r="AU66" s="1500" t="str">
        <f>CONCATENATE(B75,CHAR(10),E75)</f>
        <v>South row
1st-10th module</v>
      </c>
      <c r="AV66" s="1778"/>
      <c r="AW66" s="1778"/>
      <c r="AX66" s="1778"/>
      <c r="AY66" s="1779"/>
      <c r="AZ66" s="1322" t="str">
        <f>CONCATENATE(B66,CHAR(10),E67)</f>
        <v>South row
Interior modules</v>
      </c>
      <c r="BA66" s="1323"/>
      <c r="BB66" s="1323"/>
      <c r="BC66" s="1323"/>
      <c r="BD66" s="1324"/>
      <c r="BE66" s="1427" t="str">
        <f>CONCATENATE(B66,CHAR(10),E66)</f>
        <v>South row
1st-10th module</v>
      </c>
      <c r="BF66" s="1290"/>
      <c r="BG66" s="1290"/>
      <c r="BH66" s="1290"/>
      <c r="BI66" s="1428"/>
      <c r="BJ66" s="1482"/>
      <c r="BK66" s="1483"/>
      <c r="BL66" s="361"/>
      <c r="BM66" s="486"/>
      <c r="BN66" s="1"/>
      <c r="BO66" s="153"/>
      <c r="BP66" s="20"/>
      <c r="BQ66" s="1482"/>
      <c r="BR66" s="1483"/>
      <c r="BS66" s="1803" t="str">
        <f t="shared" ref="BS66" si="53">BE66</f>
        <v>South row
1st-10th module</v>
      </c>
      <c r="BT66" s="1804"/>
      <c r="BU66" s="1804"/>
      <c r="BV66" s="1804"/>
      <c r="BW66" s="1804"/>
      <c r="BX66" s="1807" t="str">
        <f t="shared" ref="BX66" si="54">AZ66</f>
        <v>South row
Interior modules</v>
      </c>
      <c r="BY66" s="1807"/>
      <c r="BZ66" s="1807"/>
      <c r="CA66" s="1807"/>
      <c r="CB66" s="1807"/>
      <c r="CC66" s="1809" t="str">
        <f t="shared" ref="CC66" si="55">AU66</f>
        <v>South row
1st-10th module</v>
      </c>
      <c r="CD66" s="1810"/>
      <c r="CE66" s="1810"/>
      <c r="CF66" s="1810"/>
      <c r="CG66" s="1810"/>
      <c r="CH66" s="1812" t="str">
        <f t="shared" ref="CH66" si="56">AP66</f>
        <v>South row
Interior modules</v>
      </c>
      <c r="CI66" s="1812"/>
      <c r="CJ66" s="1812"/>
      <c r="CK66" s="1812"/>
      <c r="CL66" s="1812"/>
      <c r="CM66" s="1788" t="str">
        <f t="shared" ref="CM66" si="57">AK66</f>
        <v>South row
1st-10th module</v>
      </c>
      <c r="CN66" s="1788"/>
      <c r="CO66" s="1788"/>
      <c r="CP66" s="1788"/>
      <c r="CQ66" s="1788"/>
      <c r="CR66" s="1790" t="str">
        <f t="shared" ref="CR66" si="58">AF66</f>
        <v>South row
Interior modules</v>
      </c>
      <c r="CS66" s="1790"/>
      <c r="CT66" s="1790"/>
      <c r="CU66" s="1790"/>
      <c r="CV66" s="1790"/>
      <c r="CW66" s="1792" t="str">
        <f t="shared" ref="CW66" si="59">AA66</f>
        <v>South row
1st-10th module</v>
      </c>
      <c r="CX66" s="1792"/>
      <c r="CY66" s="1792"/>
      <c r="CZ66" s="1792"/>
      <c r="DA66" s="1792"/>
      <c r="DB66" s="1794" t="str">
        <f t="shared" ref="DB66" si="60">V66</f>
        <v>South row
Interior modules</v>
      </c>
      <c r="DC66" s="1794"/>
      <c r="DD66" s="1794"/>
      <c r="DE66" s="1794"/>
      <c r="DF66" s="1794"/>
      <c r="DG66" s="1794" t="str">
        <f t="shared" ref="DG66" si="61">Q66</f>
        <v>South row
Interior modules</v>
      </c>
      <c r="DH66" s="1796"/>
      <c r="DI66" s="1796"/>
      <c r="DJ66" s="1796"/>
      <c r="DK66" s="1797"/>
      <c r="DL66" s="1482"/>
      <c r="DM66" s="1483"/>
      <c r="DN66" s="361"/>
      <c r="DO66" s="486"/>
      <c r="DP66" s="1"/>
    </row>
    <row r="67" spans="2:120" s="75" customFormat="1" ht="13.5" customHeight="1" thickBot="1" x14ac:dyDescent="0.25">
      <c r="B67" s="1739" t="e">
        <f t="shared" si="33"/>
        <v>#REF!</v>
      </c>
      <c r="C67" s="1740" t="e">
        <f t="shared" si="33"/>
        <v>#REF!</v>
      </c>
      <c r="D67" s="1741" t="e">
        <f t="shared" si="33"/>
        <v>#REF!</v>
      </c>
      <c r="E67" s="989" t="str">
        <f t="shared" si="33"/>
        <v>Interior modules</v>
      </c>
      <c r="F67" s="405"/>
      <c r="G67" s="406"/>
      <c r="H67" s="161">
        <f ca="1">(-'int. presets cp_5d+wd'!J33*COS($F$18*PI()/180)*$F$21-'int. presets cp_5d+wd'!J42*COS($I$18*PI()/180)*$I$21)*$F$47*$C$25*1000/9.81/$I$47*$D$101*'int. presets cp_5d+wd'!$J$246-$H$47/$I$47*$C$20*$F$21</f>
        <v>20.333350817008153</v>
      </c>
      <c r="I67" s="991">
        <f ca="1">(SQRT(((-'int. presets cp_5d+wd'!E33*SIN($F$18*PI()/180)*$F$21+'int. presets cp_5d+wd'!E42*SIN($I$18*PI()/180)*$I$21)*$C$25*1000)^2+(0.001*$C$25*1000*$F$21)^2)/$C$30+(-'int. presets cp_5d+wd'!E33*COS($F$18*PI()/180)*$F$21-'int. presets cp_5d+wd'!E42*COS($I$18*PI()/180)*$I$21)*$C$25*1000)/9.81*$G$47/$I$47*$F$101*'int. presets cp_5d+wd'!$E$246-$H$47/$I$47*$C$20*$F$21</f>
        <v>31.104982480356448</v>
      </c>
      <c r="J67" s="998">
        <f t="shared" ca="1" si="34"/>
        <v>31.104982480356448</v>
      </c>
      <c r="K67" s="1072">
        <f t="shared" ca="1" si="24"/>
        <v>68.574666475843429</v>
      </c>
      <c r="L67" s="118"/>
      <c r="M67" s="153"/>
      <c r="N67" s="20"/>
      <c r="O67" s="1482"/>
      <c r="P67" s="1483"/>
      <c r="Q67" s="1567"/>
      <c r="R67" s="1281"/>
      <c r="S67" s="1281"/>
      <c r="T67" s="1281"/>
      <c r="U67" s="1282"/>
      <c r="V67" s="1758"/>
      <c r="W67" s="1759"/>
      <c r="X67" s="1759"/>
      <c r="Y67" s="1759"/>
      <c r="Z67" s="1760"/>
      <c r="AA67" s="1334"/>
      <c r="AB67" s="1335"/>
      <c r="AC67" s="1335"/>
      <c r="AD67" s="1335"/>
      <c r="AE67" s="1336"/>
      <c r="AF67" s="1768"/>
      <c r="AG67" s="1769"/>
      <c r="AH67" s="1769"/>
      <c r="AI67" s="1769"/>
      <c r="AJ67" s="1770"/>
      <c r="AK67" s="1352"/>
      <c r="AL67" s="1353"/>
      <c r="AM67" s="1353"/>
      <c r="AN67" s="1353"/>
      <c r="AO67" s="1354"/>
      <c r="AP67" s="1361"/>
      <c r="AQ67" s="1362"/>
      <c r="AR67" s="1362"/>
      <c r="AS67" s="1362"/>
      <c r="AT67" s="1363"/>
      <c r="AU67" s="1780"/>
      <c r="AV67" s="1781"/>
      <c r="AW67" s="1781"/>
      <c r="AX67" s="1781"/>
      <c r="AY67" s="1782"/>
      <c r="AZ67" s="1328"/>
      <c r="BA67" s="1329"/>
      <c r="BB67" s="1329"/>
      <c r="BC67" s="1329"/>
      <c r="BD67" s="1330"/>
      <c r="BE67" s="1495"/>
      <c r="BF67" s="1377"/>
      <c r="BG67" s="1377"/>
      <c r="BH67" s="1377"/>
      <c r="BI67" s="1496"/>
      <c r="BJ67" s="1482"/>
      <c r="BK67" s="1483"/>
      <c r="BL67" s="361"/>
      <c r="BM67" s="486"/>
      <c r="BN67" s="1"/>
      <c r="BO67" s="153"/>
      <c r="BP67" s="20"/>
      <c r="BQ67" s="1482"/>
      <c r="BR67" s="1483"/>
      <c r="BS67" s="1803"/>
      <c r="BT67" s="1804"/>
      <c r="BU67" s="1804"/>
      <c r="BV67" s="1804"/>
      <c r="BW67" s="1804"/>
      <c r="BX67" s="1807"/>
      <c r="BY67" s="1807"/>
      <c r="BZ67" s="1807"/>
      <c r="CA67" s="1807"/>
      <c r="CB67" s="1807"/>
      <c r="CC67" s="1810"/>
      <c r="CD67" s="1810"/>
      <c r="CE67" s="1810"/>
      <c r="CF67" s="1810"/>
      <c r="CG67" s="1810"/>
      <c r="CH67" s="1812"/>
      <c r="CI67" s="1812"/>
      <c r="CJ67" s="1812"/>
      <c r="CK67" s="1812"/>
      <c r="CL67" s="1812"/>
      <c r="CM67" s="1788"/>
      <c r="CN67" s="1788"/>
      <c r="CO67" s="1788"/>
      <c r="CP67" s="1788"/>
      <c r="CQ67" s="1788"/>
      <c r="CR67" s="1790"/>
      <c r="CS67" s="1790"/>
      <c r="CT67" s="1790"/>
      <c r="CU67" s="1790"/>
      <c r="CV67" s="1790"/>
      <c r="CW67" s="1792"/>
      <c r="CX67" s="1792"/>
      <c r="CY67" s="1792"/>
      <c r="CZ67" s="1792"/>
      <c r="DA67" s="1792"/>
      <c r="DB67" s="1794"/>
      <c r="DC67" s="1794"/>
      <c r="DD67" s="1794"/>
      <c r="DE67" s="1794"/>
      <c r="DF67" s="1794"/>
      <c r="DG67" s="1796"/>
      <c r="DH67" s="1796"/>
      <c r="DI67" s="1796"/>
      <c r="DJ67" s="1796"/>
      <c r="DK67" s="1797"/>
      <c r="DL67" s="1482"/>
      <c r="DM67" s="1483"/>
      <c r="DN67" s="361"/>
      <c r="DO67" s="486"/>
      <c r="DP67" s="1"/>
    </row>
    <row r="68" spans="2:120" s="75" customFormat="1" ht="13.5" customHeight="1" thickTop="1" thickBot="1" x14ac:dyDescent="0.25">
      <c r="B68" s="1658" t="str">
        <f>'int. presets cp_5d+wd'!F24</f>
        <v>Roof position 3</v>
      </c>
      <c r="C68" s="1659"/>
      <c r="D68" s="1659"/>
      <c r="E68" s="1659"/>
      <c r="F68" s="1659"/>
      <c r="G68" s="1659"/>
      <c r="H68" s="1659"/>
      <c r="I68" s="1659"/>
      <c r="J68" s="1660"/>
      <c r="K68" s="1067"/>
      <c r="L68" s="118"/>
      <c r="M68" s="492"/>
      <c r="N68" s="20"/>
      <c r="O68" s="1484"/>
      <c r="P68" s="1485"/>
      <c r="Q68" s="1708"/>
      <c r="R68" s="1754"/>
      <c r="S68" s="1754"/>
      <c r="T68" s="1754"/>
      <c r="U68" s="1755"/>
      <c r="V68" s="1761"/>
      <c r="W68" s="1762"/>
      <c r="X68" s="1762"/>
      <c r="Y68" s="1762"/>
      <c r="Z68" s="1763"/>
      <c r="AA68" s="1541"/>
      <c r="AB68" s="1764"/>
      <c r="AC68" s="1764"/>
      <c r="AD68" s="1764"/>
      <c r="AE68" s="1765"/>
      <c r="AF68" s="1771"/>
      <c r="AG68" s="1772"/>
      <c r="AH68" s="1772"/>
      <c r="AI68" s="1772"/>
      <c r="AJ68" s="1773"/>
      <c r="AK68" s="1517"/>
      <c r="AL68" s="1774"/>
      <c r="AM68" s="1774"/>
      <c r="AN68" s="1774"/>
      <c r="AO68" s="1775"/>
      <c r="AP68" s="1514"/>
      <c r="AQ68" s="1776"/>
      <c r="AR68" s="1776"/>
      <c r="AS68" s="1776"/>
      <c r="AT68" s="1777"/>
      <c r="AU68" s="1783"/>
      <c r="AV68" s="1784"/>
      <c r="AW68" s="1784"/>
      <c r="AX68" s="1784"/>
      <c r="AY68" s="1785"/>
      <c r="AZ68" s="1497"/>
      <c r="BA68" s="1800"/>
      <c r="BB68" s="1800"/>
      <c r="BC68" s="1800"/>
      <c r="BD68" s="1801"/>
      <c r="BE68" s="1509"/>
      <c r="BF68" s="1802"/>
      <c r="BG68" s="1802"/>
      <c r="BH68" s="1802"/>
      <c r="BI68" s="1510"/>
      <c r="BJ68" s="1484"/>
      <c r="BK68" s="1485"/>
      <c r="BL68" s="361"/>
      <c r="BM68" s="486"/>
      <c r="BO68" s="492"/>
      <c r="BP68" s="20"/>
      <c r="BQ68" s="1484"/>
      <c r="BR68" s="1485"/>
      <c r="BS68" s="1805"/>
      <c r="BT68" s="1806"/>
      <c r="BU68" s="1806"/>
      <c r="BV68" s="1806"/>
      <c r="BW68" s="1806"/>
      <c r="BX68" s="1808"/>
      <c r="BY68" s="1808"/>
      <c r="BZ68" s="1808"/>
      <c r="CA68" s="1808"/>
      <c r="CB68" s="1808"/>
      <c r="CC68" s="1811"/>
      <c r="CD68" s="1811"/>
      <c r="CE68" s="1811"/>
      <c r="CF68" s="1811"/>
      <c r="CG68" s="1811"/>
      <c r="CH68" s="1813"/>
      <c r="CI68" s="1813"/>
      <c r="CJ68" s="1813"/>
      <c r="CK68" s="1813"/>
      <c r="CL68" s="1813"/>
      <c r="CM68" s="1789"/>
      <c r="CN68" s="1789"/>
      <c r="CO68" s="1789"/>
      <c r="CP68" s="1789"/>
      <c r="CQ68" s="1789"/>
      <c r="CR68" s="1791"/>
      <c r="CS68" s="1791"/>
      <c r="CT68" s="1791"/>
      <c r="CU68" s="1791"/>
      <c r="CV68" s="1791"/>
      <c r="CW68" s="1793"/>
      <c r="CX68" s="1793"/>
      <c r="CY68" s="1793"/>
      <c r="CZ68" s="1793"/>
      <c r="DA68" s="1793"/>
      <c r="DB68" s="1795"/>
      <c r="DC68" s="1795"/>
      <c r="DD68" s="1795"/>
      <c r="DE68" s="1795"/>
      <c r="DF68" s="1795"/>
      <c r="DG68" s="1798"/>
      <c r="DH68" s="1798"/>
      <c r="DI68" s="1798"/>
      <c r="DJ68" s="1798"/>
      <c r="DK68" s="1799"/>
      <c r="DL68" s="1484"/>
      <c r="DM68" s="1485"/>
      <c r="DN68" s="361"/>
      <c r="DO68" s="486"/>
    </row>
    <row r="69" spans="2:120" s="75" customFormat="1" ht="13.5" customHeight="1" thickTop="1" x14ac:dyDescent="0.2">
      <c r="B69" s="1739" t="str">
        <f t="shared" ref="B69:E76" si="62">B51</f>
        <v>North row</v>
      </c>
      <c r="C69" s="1740">
        <f t="shared" si="62"/>
        <v>0</v>
      </c>
      <c r="D69" s="1741">
        <f t="shared" si="62"/>
        <v>0</v>
      </c>
      <c r="E69" s="350" t="str">
        <f t="shared" si="62"/>
        <v>1st-10th module</v>
      </c>
      <c r="F69" s="539"/>
      <c r="G69" s="657"/>
      <c r="H69" s="540">
        <f ca="1">(-'int. presets cp_5d+wd'!K26*COS($F$18*PI()/180)*$F$21-'int. presets cp_5d+wd'!K35*COS($I$18*PI()/180)*$I$21)*$F$47*$C$25*1000/9.81/$I$47*$D$101*'int. presets cp_5d+wd'!$K$246-$H$47/$I$47*$C$20*$F$21</f>
        <v>38.451845543758154</v>
      </c>
      <c r="I69" s="75">
        <f ca="1">(SQRT(((-'int. presets cp_5d+wd'!F26*SIN($F$18*PI()/180)*$F$21+'int. presets cp_5d+wd'!F35*SIN($I$18*PI()/180)*$I$21)*$C$25*1000)^2+(0.001*$C$25*1000*$F$21)^2)/$C$30+(-'int. presets cp_5d+wd'!F26*COS($F$18*PI()/180)*$F$21-'int. presets cp_5d+wd'!F35*COS($I$18*PI()/180)*$I$21)*$C$25*1000)/9.81*$G$47/$I$47*$F$101*'int. presets cp_5d+wd'!$F$246-$H$47/$I$47*$C$20*$F$21</f>
        <v>31.932403011088148</v>
      </c>
      <c r="J69" s="994">
        <f t="shared" ref="J69:J76" ca="1" si="63">MAX(H69,I69)</f>
        <v>38.451845543758154</v>
      </c>
      <c r="K69" s="1071">
        <f t="shared" ca="1" si="24"/>
        <v>84.771707722680091</v>
      </c>
      <c r="L69" s="118"/>
      <c r="M69" s="1748" t="str">
        <f>M27</f>
        <v>setback a</v>
      </c>
      <c r="N69" s="19"/>
      <c r="O69" s="369"/>
      <c r="P69" s="179"/>
      <c r="Q69" s="1446" t="s">
        <v>449</v>
      </c>
      <c r="R69" s="1447"/>
      <c r="S69" s="1447"/>
      <c r="T69" s="1447"/>
      <c r="U69" s="1447"/>
      <c r="V69" s="1447"/>
      <c r="W69" s="1447"/>
      <c r="X69" s="1447"/>
      <c r="Y69" s="1447"/>
      <c r="Z69" s="1447"/>
      <c r="AA69" s="1447"/>
      <c r="AB69" s="1447"/>
      <c r="AC69" s="1447"/>
      <c r="AD69" s="1447"/>
      <c r="AE69" s="1447"/>
      <c r="AF69" s="1447"/>
      <c r="AG69" s="1447"/>
      <c r="AH69" s="1447"/>
      <c r="AI69" s="1447"/>
      <c r="AJ69" s="1447"/>
      <c r="AK69" s="1447"/>
      <c r="AL69" s="1447"/>
      <c r="AM69" s="1447"/>
      <c r="AN69" s="1447"/>
      <c r="AO69" s="1447"/>
      <c r="AP69" s="1447"/>
      <c r="AQ69" s="1447"/>
      <c r="AR69" s="1447"/>
      <c r="AS69" s="1447"/>
      <c r="AT69" s="1447"/>
      <c r="AU69" s="1447"/>
      <c r="AV69" s="1447"/>
      <c r="AW69" s="1447"/>
      <c r="AX69" s="1447"/>
      <c r="AY69" s="1447"/>
      <c r="AZ69" s="1447"/>
      <c r="BA69" s="1447"/>
      <c r="BB69" s="1447"/>
      <c r="BC69" s="1447"/>
      <c r="BD69" s="1447"/>
      <c r="BE69" s="1447"/>
      <c r="BF69" s="1447"/>
      <c r="BG69" s="1447"/>
      <c r="BH69" s="1447"/>
      <c r="BI69" s="1448"/>
      <c r="BJ69" s="19"/>
      <c r="BK69" s="370"/>
      <c r="BL69" s="361"/>
      <c r="BM69" s="486"/>
      <c r="BO69" s="1748" t="str">
        <f>BO27</f>
        <v>setback a</v>
      </c>
      <c r="BP69" s="19"/>
      <c r="BQ69" s="369"/>
      <c r="BR69" s="179"/>
      <c r="BS69" s="1446" t="s">
        <v>449</v>
      </c>
      <c r="BT69" s="1447"/>
      <c r="BU69" s="1447"/>
      <c r="BV69" s="1447"/>
      <c r="BW69" s="1447"/>
      <c r="BX69" s="1447"/>
      <c r="BY69" s="1447"/>
      <c r="BZ69" s="1447"/>
      <c r="CA69" s="1447"/>
      <c r="CB69" s="1447"/>
      <c r="CC69" s="1447"/>
      <c r="CD69" s="1447"/>
      <c r="CE69" s="1447"/>
      <c r="CF69" s="1447"/>
      <c r="CG69" s="1447"/>
      <c r="CH69" s="1447"/>
      <c r="CI69" s="1447"/>
      <c r="CJ69" s="1447"/>
      <c r="CK69" s="1447"/>
      <c r="CL69" s="1447"/>
      <c r="CM69" s="1447"/>
      <c r="CN69" s="1447"/>
      <c r="CO69" s="1447"/>
      <c r="CP69" s="1447"/>
      <c r="CQ69" s="1447"/>
      <c r="CR69" s="1447"/>
      <c r="CS69" s="1447"/>
      <c r="CT69" s="1447"/>
      <c r="CU69" s="1447"/>
      <c r="CV69" s="1447"/>
      <c r="CW69" s="1447"/>
      <c r="CX69" s="1447"/>
      <c r="CY69" s="1447"/>
      <c r="CZ69" s="1447"/>
      <c r="DA69" s="1447"/>
      <c r="DB69" s="1447"/>
      <c r="DC69" s="1447"/>
      <c r="DD69" s="1447"/>
      <c r="DE69" s="1447"/>
      <c r="DF69" s="1447"/>
      <c r="DG69" s="1447"/>
      <c r="DH69" s="1447"/>
      <c r="DI69" s="1447"/>
      <c r="DJ69" s="1447"/>
      <c r="DK69" s="1448"/>
      <c r="DL69" s="19"/>
      <c r="DM69" s="370"/>
      <c r="DN69" s="361"/>
      <c r="DO69" s="486"/>
    </row>
    <row r="70" spans="2:120" s="75" customFormat="1" ht="13.5" customHeight="1" thickBot="1" x14ac:dyDescent="0.25">
      <c r="B70" s="1586">
        <f t="shared" si="62"/>
        <v>0</v>
      </c>
      <c r="C70" s="1587">
        <f t="shared" si="62"/>
        <v>0</v>
      </c>
      <c r="D70" s="1588">
        <f t="shared" si="62"/>
        <v>0</v>
      </c>
      <c r="E70" s="344" t="str">
        <f t="shared" si="62"/>
        <v>Interior modules</v>
      </c>
      <c r="F70" s="405"/>
      <c r="G70" s="406"/>
      <c r="H70" s="199">
        <f ca="1">(-'int. presets cp_5d+wd'!K27*COS($F$18*PI()/180)*$F$21-'int. presets cp_5d+wd'!K36*COS($I$18*PI()/180)*$I$21)*$F$47*$C$25*1000/9.81/$I$47*$D$101*'int. presets cp_5d+wd'!$K$246-$H$47/$I$47*$C$20*$F$21</f>
        <v>22.819779310204694</v>
      </c>
      <c r="I70" s="936">
        <f ca="1">(SQRT(((-'int. presets cp_5d+wd'!F27*SIN($F$18*PI()/180)*$F$21+'int. presets cp_5d+wd'!F36*SIN($I$18*PI()/180)*$I$21)*$C$25*1000)^2+(0.001*$C$25*1000*$F$21)^2)/$C$30+(-'int. presets cp_5d+wd'!F27*COS($F$18*PI()/180)*$F$21-'int. presets cp_5d+wd'!F36*COS($I$18*PI()/180)*$I$21)*$C$25*1000)/9.81*$G$47/$I$47*$F$101*'int. presets cp_5d+wd'!$F$246-$H$47/$I$47*$C$20*$F$21</f>
        <v>27.448706035798153</v>
      </c>
      <c r="J70" s="995">
        <f t="shared" ca="1" si="63"/>
        <v>27.448706035798153</v>
      </c>
      <c r="K70" s="1072">
        <f t="shared" ca="1" si="24"/>
        <v>60.513966300641322</v>
      </c>
      <c r="L70" s="118"/>
      <c r="M70" s="1749"/>
      <c r="N70" s="19"/>
      <c r="O70" s="371"/>
      <c r="P70" s="372"/>
      <c r="Q70" s="1449"/>
      <c r="R70" s="1750"/>
      <c r="S70" s="1750"/>
      <c r="T70" s="1750"/>
      <c r="U70" s="1750"/>
      <c r="V70" s="1750"/>
      <c r="W70" s="1750"/>
      <c r="X70" s="1750"/>
      <c r="Y70" s="1750"/>
      <c r="Z70" s="1750"/>
      <c r="AA70" s="1750"/>
      <c r="AB70" s="1750"/>
      <c r="AC70" s="1750"/>
      <c r="AD70" s="1750"/>
      <c r="AE70" s="1750"/>
      <c r="AF70" s="1750"/>
      <c r="AG70" s="1750"/>
      <c r="AH70" s="1750"/>
      <c r="AI70" s="1750"/>
      <c r="AJ70" s="1750"/>
      <c r="AK70" s="1750"/>
      <c r="AL70" s="1750"/>
      <c r="AM70" s="1750"/>
      <c r="AN70" s="1750"/>
      <c r="AO70" s="1750"/>
      <c r="AP70" s="1750"/>
      <c r="AQ70" s="1750"/>
      <c r="AR70" s="1750"/>
      <c r="AS70" s="1750"/>
      <c r="AT70" s="1750"/>
      <c r="AU70" s="1750"/>
      <c r="AV70" s="1750"/>
      <c r="AW70" s="1750"/>
      <c r="AX70" s="1750"/>
      <c r="AY70" s="1750"/>
      <c r="AZ70" s="1750"/>
      <c r="BA70" s="1750"/>
      <c r="BB70" s="1750"/>
      <c r="BC70" s="1750"/>
      <c r="BD70" s="1750"/>
      <c r="BE70" s="1750"/>
      <c r="BF70" s="1750"/>
      <c r="BG70" s="1750"/>
      <c r="BH70" s="1750"/>
      <c r="BI70" s="1751"/>
      <c r="BJ70" s="373"/>
      <c r="BK70" s="374"/>
      <c r="BL70" s="362"/>
      <c r="BM70" s="487"/>
      <c r="BO70" s="1749"/>
      <c r="BP70" s="19"/>
      <c r="BQ70" s="371"/>
      <c r="BR70" s="372"/>
      <c r="BS70" s="1449"/>
      <c r="BT70" s="1750"/>
      <c r="BU70" s="1750"/>
      <c r="BV70" s="1750"/>
      <c r="BW70" s="1750"/>
      <c r="BX70" s="1750"/>
      <c r="BY70" s="1750"/>
      <c r="BZ70" s="1750"/>
      <c r="CA70" s="1750"/>
      <c r="CB70" s="1750"/>
      <c r="CC70" s="1750"/>
      <c r="CD70" s="1750"/>
      <c r="CE70" s="1750"/>
      <c r="CF70" s="1750"/>
      <c r="CG70" s="1750"/>
      <c r="CH70" s="1750"/>
      <c r="CI70" s="1750"/>
      <c r="CJ70" s="1750"/>
      <c r="CK70" s="1750"/>
      <c r="CL70" s="1750"/>
      <c r="CM70" s="1750"/>
      <c r="CN70" s="1750"/>
      <c r="CO70" s="1750"/>
      <c r="CP70" s="1750"/>
      <c r="CQ70" s="1750"/>
      <c r="CR70" s="1750"/>
      <c r="CS70" s="1750"/>
      <c r="CT70" s="1750"/>
      <c r="CU70" s="1750"/>
      <c r="CV70" s="1750"/>
      <c r="CW70" s="1750"/>
      <c r="CX70" s="1750"/>
      <c r="CY70" s="1750"/>
      <c r="CZ70" s="1750"/>
      <c r="DA70" s="1750"/>
      <c r="DB70" s="1750"/>
      <c r="DC70" s="1750"/>
      <c r="DD70" s="1750"/>
      <c r="DE70" s="1750"/>
      <c r="DF70" s="1750"/>
      <c r="DG70" s="1750"/>
      <c r="DH70" s="1750"/>
      <c r="DI70" s="1750"/>
      <c r="DJ70" s="1750"/>
      <c r="DK70" s="1751"/>
      <c r="DL70" s="373"/>
      <c r="DM70" s="374"/>
      <c r="DN70" s="362"/>
      <c r="DO70" s="487"/>
    </row>
    <row r="71" spans="2:120" s="75" customFormat="1" ht="13.5" customHeight="1" thickTop="1" x14ac:dyDescent="0.2">
      <c r="B71" s="1580" t="str">
        <f t="shared" si="62"/>
        <v>Inner rows, 2nd to 4th row from north</v>
      </c>
      <c r="C71" s="1581" t="e">
        <f t="shared" si="62"/>
        <v>#REF!</v>
      </c>
      <c r="D71" s="1582" t="e">
        <f t="shared" si="62"/>
        <v>#REF!</v>
      </c>
      <c r="E71" s="348" t="str">
        <f t="shared" si="62"/>
        <v>1st-10th module</v>
      </c>
      <c r="F71" s="405"/>
      <c r="G71" s="406"/>
      <c r="H71" s="181">
        <f ca="1">(-'int. presets cp_5d+wd'!K28*COS($F$18*PI()/180)*$F$21-'int. presets cp_5d+wd'!K37*COS($I$18*PI()/180)*$I$21)*$F$47*$C$25*1000/9.81/$I$47*$D$101*'int. presets cp_5d+wd'!$K$246-$H$47/$I$47*$C$20*$F$21</f>
        <v>33.239944731408976</v>
      </c>
      <c r="I71" s="75">
        <f ca="1">(SQRT(((-'int. presets cp_5d+wd'!F28*SIN($F$18*PI()/180)*$F$21+'int. presets cp_5d+wd'!F37*SIN($I$18*PI()/180)*$I$21)*$C$25*1000)^2+(0.001*$C$25*1000*$F$21)^2)/$C$30+(-'int. presets cp_5d+wd'!F28*COS($F$18*PI()/180)*$F$21-'int. presets cp_5d+wd'!F37*COS($I$18*PI()/180)*$I$21)*$C$25*1000)/9.81*$G$47/$I$47*$F$101*'int. presets cp_5d+wd'!$F$246-$H$47/$I$47*$C$20*$F$21</f>
        <v>31.523091258592473</v>
      </c>
      <c r="J71" s="996">
        <f t="shared" ca="1" si="63"/>
        <v>33.239944731408976</v>
      </c>
      <c r="K71" s="1073">
        <f t="shared" ca="1" si="24"/>
        <v>73.281446953758845</v>
      </c>
      <c r="L71" s="118"/>
      <c r="M71" s="167"/>
      <c r="N71" s="20"/>
      <c r="O71" s="354"/>
      <c r="P71" s="19"/>
      <c r="Q71" s="476"/>
      <c r="R71" s="477"/>
      <c r="S71" s="477"/>
      <c r="T71" s="477"/>
      <c r="U71" s="477"/>
      <c r="V71" s="489"/>
      <c r="W71" s="477"/>
      <c r="X71" s="477"/>
      <c r="Y71" s="477"/>
      <c r="Z71" s="477"/>
      <c r="AA71" s="1240" t="s">
        <v>450</v>
      </c>
      <c r="AB71" s="1241"/>
      <c r="AC71" s="1241"/>
      <c r="AD71" s="1241"/>
      <c r="AE71" s="1242"/>
      <c r="AF71" s="489"/>
      <c r="AG71" s="477"/>
      <c r="AH71" s="477"/>
      <c r="AI71" s="477"/>
      <c r="AJ71" s="477"/>
      <c r="AK71" s="1240" t="s">
        <v>450</v>
      </c>
      <c r="AL71" s="1241"/>
      <c r="AM71" s="1241"/>
      <c r="AN71" s="1241"/>
      <c r="AO71" s="1242"/>
      <c r="AP71" s="489"/>
      <c r="AQ71" s="489"/>
      <c r="AR71" s="489"/>
      <c r="AS71" s="489"/>
      <c r="AT71" s="489"/>
      <c r="AU71" s="1240" t="s">
        <v>450</v>
      </c>
      <c r="AV71" s="1241"/>
      <c r="AW71" s="1241"/>
      <c r="AX71" s="1241"/>
      <c r="AY71" s="1242"/>
      <c r="AZ71" s="515"/>
      <c r="BA71" s="516"/>
      <c r="BB71" s="516"/>
      <c r="BC71" s="516"/>
      <c r="BD71" s="516"/>
      <c r="BE71" s="516"/>
      <c r="BF71" s="516"/>
      <c r="BG71" s="516"/>
      <c r="BH71" s="516"/>
      <c r="BI71" s="516"/>
      <c r="BJ71" s="516"/>
      <c r="BK71" s="523"/>
      <c r="BL71" s="38"/>
      <c r="BO71" s="167"/>
      <c r="BP71" s="20"/>
      <c r="BQ71" s="515"/>
      <c r="BR71" s="516"/>
      <c r="BS71" s="516"/>
      <c r="BT71" s="516"/>
      <c r="BU71" s="516"/>
      <c r="BV71" s="516"/>
      <c r="BW71" s="516"/>
      <c r="BX71" s="516"/>
      <c r="BY71" s="516"/>
      <c r="BZ71" s="516"/>
      <c r="CA71" s="516"/>
      <c r="CB71" s="523"/>
      <c r="CC71" s="1240" t="s">
        <v>450</v>
      </c>
      <c r="CD71" s="1241"/>
      <c r="CE71" s="1241"/>
      <c r="CF71" s="1241"/>
      <c r="CG71" s="1242"/>
      <c r="CH71" s="489"/>
      <c r="CI71" s="477"/>
      <c r="CJ71" s="477"/>
      <c r="CK71" s="477"/>
      <c r="CL71" s="477"/>
      <c r="CM71" s="1240" t="s">
        <v>450</v>
      </c>
      <c r="CN71" s="1241"/>
      <c r="CO71" s="1241"/>
      <c r="CP71" s="1241"/>
      <c r="CQ71" s="1242"/>
      <c r="CR71" s="489"/>
      <c r="CS71" s="489"/>
      <c r="CT71" s="489"/>
      <c r="CU71" s="489"/>
      <c r="CV71" s="489"/>
      <c r="CW71" s="1240" t="s">
        <v>450</v>
      </c>
      <c r="CX71" s="1241"/>
      <c r="CY71" s="1241"/>
      <c r="CZ71" s="1241"/>
      <c r="DA71" s="1242"/>
      <c r="DB71" s="489"/>
      <c r="DC71" s="489"/>
      <c r="DD71" s="489"/>
      <c r="DL71" s="494"/>
      <c r="DM71" s="495"/>
      <c r="DN71" s="38"/>
    </row>
    <row r="72" spans="2:120" s="75" customFormat="1" ht="13.5" customHeight="1" thickBot="1" x14ac:dyDescent="0.25">
      <c r="B72" s="1586" t="e">
        <f t="shared" si="62"/>
        <v>#REF!</v>
      </c>
      <c r="C72" s="1587" t="e">
        <f t="shared" si="62"/>
        <v>#REF!</v>
      </c>
      <c r="D72" s="1588" t="e">
        <f t="shared" si="62"/>
        <v>#REF!</v>
      </c>
      <c r="E72" s="344" t="str">
        <f t="shared" si="62"/>
        <v>Interior modules</v>
      </c>
      <c r="F72" s="405"/>
      <c r="G72" s="406"/>
      <c r="H72" s="199">
        <f ca="1">(-'int. presets cp_5d+wd'!K29*COS($F$18*PI()/180)*$F$21-'int. presets cp_5d+wd'!K38*COS($I$18*PI()/180)*$I$21)*$F$47*$C$25*1000/9.81/$I$47*$D$101*'int. presets cp_5d+wd'!$K$246-$H$47/$I$47*$C$20*$F$21</f>
        <v>7.8373384197459188</v>
      </c>
      <c r="I72" s="936">
        <f ca="1">(SQRT(((-'int. presets cp_5d+wd'!F29*SIN($F$18*PI()/180)*$F$21+'int. presets cp_5d+wd'!F38*SIN($I$18*PI()/180)*$I$21)*$C$25*1000)^2+(0.001*$C$25*1000*$F$21)^2)/$C$30+(-'int. presets cp_5d+wd'!F29*COS($F$18*PI()/180)*$F$21-'int. presets cp_5d+wd'!F38*COS($I$18*PI()/180)*$I$21)*$C$25*1000)/9.81*$G$47/$I$47*$F$101*'int. presets cp_5d+wd'!$F$246-$H$47/$I$47*$C$20*$F$21</f>
        <v>24.180881003496317</v>
      </c>
      <c r="J72" s="995">
        <f t="shared" ca="1" si="63"/>
        <v>24.180881003496317</v>
      </c>
      <c r="K72" s="1072">
        <f t="shared" ca="1" si="24"/>
        <v>53.309653877928049</v>
      </c>
      <c r="L72" s="118"/>
      <c r="M72" s="20"/>
      <c r="N72" s="20"/>
      <c r="O72" s="354"/>
      <c r="P72" s="19"/>
      <c r="Q72" s="474"/>
      <c r="R72" s="475"/>
      <c r="S72" s="475"/>
      <c r="T72" s="475"/>
      <c r="U72" s="475"/>
      <c r="V72" s="475"/>
      <c r="W72" s="475"/>
      <c r="X72" s="475"/>
      <c r="Y72" s="475"/>
      <c r="Z72" s="475"/>
      <c r="AA72" s="1243"/>
      <c r="AB72" s="1244"/>
      <c r="AC72" s="1244"/>
      <c r="AD72" s="1244"/>
      <c r="AE72" s="1245"/>
      <c r="AF72" s="475"/>
      <c r="AG72" s="475"/>
      <c r="AH72" s="475"/>
      <c r="AI72" s="475"/>
      <c r="AJ72" s="475"/>
      <c r="AK72" s="1243"/>
      <c r="AL72" s="1244"/>
      <c r="AM72" s="1244"/>
      <c r="AN72" s="1244"/>
      <c r="AO72" s="1245"/>
      <c r="AP72" s="475"/>
      <c r="AQ72" s="475"/>
      <c r="AR72" s="475"/>
      <c r="AS72" s="475"/>
      <c r="AT72" s="475"/>
      <c r="AU72" s="1243"/>
      <c r="AV72" s="1244"/>
      <c r="AW72" s="1244"/>
      <c r="AX72" s="1244"/>
      <c r="AY72" s="1245"/>
      <c r="AZ72" s="517"/>
      <c r="BA72" s="518"/>
      <c r="BB72" s="518"/>
      <c r="BC72" s="518"/>
      <c r="BD72" s="518"/>
      <c r="BE72" s="518"/>
      <c r="BF72" s="518"/>
      <c r="BG72" s="518"/>
      <c r="BH72" s="518"/>
      <c r="BI72" s="518"/>
      <c r="BJ72" s="518"/>
      <c r="BK72" s="522"/>
      <c r="BL72" s="23"/>
      <c r="BO72" s="20"/>
      <c r="BP72" s="20"/>
      <c r="BQ72" s="517"/>
      <c r="BR72" s="518"/>
      <c r="BS72" s="518"/>
      <c r="BT72" s="518"/>
      <c r="BU72" s="518"/>
      <c r="BV72" s="518"/>
      <c r="BW72" s="518"/>
      <c r="BX72" s="518"/>
      <c r="BY72" s="518"/>
      <c r="BZ72" s="518"/>
      <c r="CA72" s="518"/>
      <c r="CB72" s="522"/>
      <c r="CC72" s="1243"/>
      <c r="CD72" s="1244"/>
      <c r="CE72" s="1244"/>
      <c r="CF72" s="1244"/>
      <c r="CG72" s="1245"/>
      <c r="CH72" s="475"/>
      <c r="CI72" s="475"/>
      <c r="CJ72" s="475"/>
      <c r="CK72" s="475"/>
      <c r="CL72" s="475"/>
      <c r="CM72" s="1243"/>
      <c r="CN72" s="1244"/>
      <c r="CO72" s="1244"/>
      <c r="CP72" s="1244"/>
      <c r="CQ72" s="1245"/>
      <c r="CR72" s="475"/>
      <c r="CS72" s="475"/>
      <c r="CT72" s="475"/>
      <c r="CU72" s="475"/>
      <c r="CV72" s="475"/>
      <c r="CW72" s="1243"/>
      <c r="CX72" s="1244"/>
      <c r="CY72" s="1244"/>
      <c r="CZ72" s="1244"/>
      <c r="DA72" s="1245"/>
      <c r="DB72" s="475"/>
      <c r="DC72" s="475"/>
      <c r="DD72" s="475"/>
      <c r="DL72" s="496"/>
      <c r="DM72" s="497"/>
      <c r="DN72" s="23"/>
    </row>
    <row r="73" spans="2:120" s="75" customFormat="1" ht="13.5" customHeight="1" x14ac:dyDescent="0.25">
      <c r="B73" s="1580" t="str">
        <f t="shared" si="62"/>
        <v>Inner rows, from 5th row from north</v>
      </c>
      <c r="C73" s="1581" t="e">
        <f t="shared" si="62"/>
        <v>#REF!</v>
      </c>
      <c r="D73" s="1582" t="e">
        <f t="shared" si="62"/>
        <v>#REF!</v>
      </c>
      <c r="E73" s="348" t="str">
        <f t="shared" si="62"/>
        <v>1st-10th module</v>
      </c>
      <c r="F73" s="405"/>
      <c r="G73" s="406"/>
      <c r="H73" s="181">
        <f ca="1">(-'int. presets cp_5d+wd'!K30*COS($F$18*PI()/180)*$F$21-'int. presets cp_5d+wd'!K39*COS($I$18*PI()/180)*$I$21)*$F$47*$C$25*1000/9.81/$I$47*$D$101*'int. presets cp_5d+wd'!$K$246-$H$47/$I$47*$C$20*$F$21</f>
        <v>23.214939736270573</v>
      </c>
      <c r="I73" s="75">
        <f ca="1">(SQRT(((-'int. presets cp_5d+wd'!F30*SIN($F$18*PI()/180)*$F$21+'int. presets cp_5d+wd'!F39*SIN($I$18*PI()/180)*$I$21)*$C$25*1000)^2+(0.001*$C$25*1000*$F$21)^2)/$C$30+(-'int. presets cp_5d+wd'!F30*COS($F$18*PI()/180)*$F$21-'int. presets cp_5d+wd'!F39*COS($I$18*PI()/180)*$I$21)*$C$25*1000)/9.81*$G$47/$I$47*$F$101*'int. presets cp_5d+wd'!$F$246-$H$47/$I$47*$C$20*$F$21</f>
        <v>23.003598192196591</v>
      </c>
      <c r="J73" s="996">
        <f t="shared" ca="1" si="63"/>
        <v>23.214939736270573</v>
      </c>
      <c r="K73" s="1073">
        <f t="shared" ca="1" si="24"/>
        <v>51.180120441376829</v>
      </c>
      <c r="L73" s="118"/>
      <c r="M73" s="20"/>
      <c r="N73" s="20"/>
      <c r="O73" s="355"/>
      <c r="P73" s="48"/>
      <c r="Q73" s="472"/>
      <c r="R73" s="473"/>
      <c r="S73" s="473"/>
      <c r="T73" s="473"/>
      <c r="U73" s="473"/>
      <c r="V73" s="473"/>
      <c r="W73" s="473"/>
      <c r="X73" s="473"/>
      <c r="Y73" s="473"/>
      <c r="Z73" s="473"/>
      <c r="AA73" s="1246"/>
      <c r="AB73" s="1247"/>
      <c r="AC73" s="1247"/>
      <c r="AD73" s="1247"/>
      <c r="AE73" s="1248"/>
      <c r="AF73" s="473"/>
      <c r="AG73" s="473"/>
      <c r="AH73" s="473"/>
      <c r="AI73" s="473"/>
      <c r="AJ73" s="473"/>
      <c r="AK73" s="1246"/>
      <c r="AL73" s="1247"/>
      <c r="AM73" s="1247"/>
      <c r="AN73" s="1247"/>
      <c r="AO73" s="1248"/>
      <c r="AP73" s="473"/>
      <c r="AQ73" s="473"/>
      <c r="AR73" s="473"/>
      <c r="AS73" s="473"/>
      <c r="AT73" s="473"/>
      <c r="AU73" s="1246"/>
      <c r="AV73" s="1247"/>
      <c r="AW73" s="1247"/>
      <c r="AX73" s="1247"/>
      <c r="AY73" s="1248"/>
      <c r="AZ73" s="519"/>
      <c r="BA73" s="520"/>
      <c r="BB73" s="520"/>
      <c r="BC73" s="520"/>
      <c r="BD73" s="520"/>
      <c r="BE73" s="520"/>
      <c r="BF73" s="520"/>
      <c r="BG73" s="520"/>
      <c r="BH73" s="520"/>
      <c r="BI73" s="520"/>
      <c r="BJ73" s="520"/>
      <c r="BK73" s="521"/>
      <c r="BL73" s="18"/>
      <c r="BO73" s="20"/>
      <c r="BP73" s="20"/>
      <c r="BQ73" s="519"/>
      <c r="BR73" s="520"/>
      <c r="BS73" s="520"/>
      <c r="BT73" s="520"/>
      <c r="BU73" s="520"/>
      <c r="BV73" s="520"/>
      <c r="BW73" s="520"/>
      <c r="BX73" s="520"/>
      <c r="BY73" s="520"/>
      <c r="BZ73" s="520"/>
      <c r="CA73" s="520"/>
      <c r="CB73" s="521"/>
      <c r="CC73" s="1246"/>
      <c r="CD73" s="1247"/>
      <c r="CE73" s="1247"/>
      <c r="CF73" s="1247"/>
      <c r="CG73" s="1248"/>
      <c r="CH73" s="473"/>
      <c r="CI73" s="473"/>
      <c r="CJ73" s="473"/>
      <c r="CK73" s="473"/>
      <c r="CL73" s="473"/>
      <c r="CM73" s="1246"/>
      <c r="CN73" s="1247"/>
      <c r="CO73" s="1247"/>
      <c r="CP73" s="1247"/>
      <c r="CQ73" s="1248"/>
      <c r="CR73" s="473"/>
      <c r="CS73" s="473"/>
      <c r="CT73" s="473"/>
      <c r="CU73" s="473"/>
      <c r="CV73" s="473"/>
      <c r="CW73" s="1246"/>
      <c r="CX73" s="1247"/>
      <c r="CY73" s="1247"/>
      <c r="CZ73" s="1247"/>
      <c r="DA73" s="1248"/>
      <c r="DB73" s="473"/>
      <c r="DC73" s="473"/>
      <c r="DD73" s="473"/>
      <c r="DL73" s="498"/>
      <c r="DM73" s="499"/>
      <c r="DN73" s="18"/>
    </row>
    <row r="74" spans="2:120" s="75" customFormat="1" ht="13.5" customHeight="1" thickBot="1" x14ac:dyDescent="0.3">
      <c r="B74" s="1586" t="e">
        <f t="shared" si="62"/>
        <v>#REF!</v>
      </c>
      <c r="C74" s="1587" t="e">
        <f t="shared" si="62"/>
        <v>#REF!</v>
      </c>
      <c r="D74" s="1588" t="e">
        <f t="shared" si="62"/>
        <v>#REF!</v>
      </c>
      <c r="E74" s="344" t="str">
        <f t="shared" si="62"/>
        <v>Interior modules</v>
      </c>
      <c r="F74" s="405"/>
      <c r="G74" s="406"/>
      <c r="H74" s="199">
        <f ca="1">(-'int. presets cp_5d+wd'!K31*COS($F$18*PI()/180)*$F$21-'int. presets cp_5d+wd'!K40*COS($I$18*PI()/180)*$I$21)*$F$47*$C$25*1000/9.81/$I$47*$D$101*'int. presets cp_5d+wd'!$K$246-$H$47/$I$47*$C$20*$F$21</f>
        <v>7.0474486176204607</v>
      </c>
      <c r="I74" s="936">
        <f ca="1">(SQRT(((-'int. presets cp_5d+wd'!F31*SIN($F$18*PI()/180)*$F$21+'int. presets cp_5d+wd'!F40*SIN($I$18*PI()/180)*$I$21)*$C$25*1000)^2+(0.001*$C$25*1000*$F$21)^2)/$C$30+(-'int. presets cp_5d+wd'!F31*COS($F$18*PI()/180)*$F$21-'int. presets cp_5d+wd'!F40*COS($I$18*PI()/180)*$I$21)*$C$25*1000)/9.81*$G$47/$I$47*$F$101*'int. presets cp_5d+wd'!$F$246-$H$47/$I$47*$C$20*$F$21</f>
        <v>19.343874844239132</v>
      </c>
      <c r="J74" s="995">
        <f t="shared" ca="1" si="63"/>
        <v>19.343874844239132</v>
      </c>
      <c r="K74" s="1072">
        <f t="shared" ca="1" si="24"/>
        <v>42.645893359106473</v>
      </c>
      <c r="L74" s="118"/>
      <c r="O74" s="1255">
        <f>IF(60&lt;('building data'!$C$20),MAX(0,'building data'!$C$20-60),0)</f>
        <v>31.439999999999998</v>
      </c>
      <c r="P74" s="1256"/>
      <c r="Q74" s="1256"/>
      <c r="R74" s="1256"/>
      <c r="S74" s="1256"/>
      <c r="T74" s="1256"/>
      <c r="U74" s="1256"/>
      <c r="V74" s="1256"/>
      <c r="W74" s="1256"/>
      <c r="X74" s="1256"/>
      <c r="Y74" s="1256"/>
      <c r="Z74" s="1256"/>
      <c r="AA74" s="1256"/>
      <c r="AB74" s="1256"/>
      <c r="AC74" s="1256"/>
      <c r="AD74" s="1256"/>
      <c r="AE74" s="1257"/>
      <c r="AF74" s="1255">
        <f>IF(60&lt;('building data'!$C$20),20,MAX('building data'!$C$20-40,0))</f>
        <v>20</v>
      </c>
      <c r="AG74" s="1256"/>
      <c r="AH74" s="1256"/>
      <c r="AI74" s="1256"/>
      <c r="AJ74" s="1256"/>
      <c r="AK74" s="1256"/>
      <c r="AL74" s="1256"/>
      <c r="AM74" s="1256"/>
      <c r="AN74" s="1256"/>
      <c r="AO74" s="1257"/>
      <c r="AP74" s="1255">
        <f>IF(40&lt;('building data'!$C$20),20,MAX('building data'!$C$20-20,0))</f>
        <v>20</v>
      </c>
      <c r="AQ74" s="1752"/>
      <c r="AR74" s="1752"/>
      <c r="AS74" s="1752"/>
      <c r="AT74" s="1752"/>
      <c r="AU74" s="1752"/>
      <c r="AV74" s="1752"/>
      <c r="AW74" s="1752"/>
      <c r="AX74" s="1752"/>
      <c r="AY74" s="1753"/>
      <c r="AZ74" s="1267">
        <f>IF(20&lt;('building data'!$C$20),20,('building data'!$C$20))</f>
        <v>20</v>
      </c>
      <c r="BA74" s="1268"/>
      <c r="BB74" s="1268"/>
      <c r="BC74" s="1268"/>
      <c r="BD74" s="1268"/>
      <c r="BE74" s="1268"/>
      <c r="BF74" s="1268"/>
      <c r="BG74" s="1268"/>
      <c r="BH74" s="1268"/>
      <c r="BI74" s="1268"/>
      <c r="BJ74" s="1268"/>
      <c r="BK74" s="1269"/>
      <c r="BQ74" s="1267">
        <f>IF(20&lt;('building data'!$C$20),20,('building data'!$C$20))</f>
        <v>20</v>
      </c>
      <c r="BR74" s="1268"/>
      <c r="BS74" s="1268"/>
      <c r="BT74" s="1268"/>
      <c r="BU74" s="1268"/>
      <c r="BV74" s="1268"/>
      <c r="BW74" s="1268"/>
      <c r="BX74" s="1268"/>
      <c r="BY74" s="1268"/>
      <c r="BZ74" s="1268"/>
      <c r="CA74" s="1268"/>
      <c r="CB74" s="1269"/>
      <c r="CC74" s="1258">
        <f>IF(40&lt;('building data'!$C$20),20,MAX('building data'!$C$20-20,0))</f>
        <v>20</v>
      </c>
      <c r="CD74" s="1786"/>
      <c r="CE74" s="1786"/>
      <c r="CF74" s="1786"/>
      <c r="CG74" s="1786"/>
      <c r="CH74" s="1786"/>
      <c r="CI74" s="1786"/>
      <c r="CJ74" s="1786"/>
      <c r="CK74" s="1786"/>
      <c r="CL74" s="1787"/>
      <c r="CM74" s="1258">
        <f>IF(60&lt;('building data'!$C$20),20,MAX('building data'!$C$20-40,0))</f>
        <v>20</v>
      </c>
      <c r="CN74" s="1259"/>
      <c r="CO74" s="1259"/>
      <c r="CP74" s="1259"/>
      <c r="CQ74" s="1259"/>
      <c r="CR74" s="1259"/>
      <c r="CS74" s="1259"/>
      <c r="CT74" s="1259"/>
      <c r="CU74" s="1259"/>
      <c r="CV74" s="1260"/>
      <c r="CW74" s="1258">
        <f>IF(60&lt;('building data'!$C$20),MAX(0,'building data'!$C$20-60),0)</f>
        <v>31.439999999999998</v>
      </c>
      <c r="CX74" s="1259"/>
      <c r="CY74" s="1259"/>
      <c r="CZ74" s="1259"/>
      <c r="DA74" s="1259"/>
      <c r="DB74" s="1259"/>
      <c r="DC74" s="1259"/>
      <c r="DD74" s="1259"/>
      <c r="DE74" s="1259"/>
      <c r="DF74" s="1259"/>
      <c r="DG74" s="1259"/>
      <c r="DH74" s="1259"/>
      <c r="DI74" s="1259"/>
      <c r="DJ74" s="1259"/>
      <c r="DK74" s="1259"/>
      <c r="DL74" s="1259"/>
      <c r="DM74" s="1260"/>
    </row>
    <row r="75" spans="2:120" s="75" customFormat="1" ht="13.5" customHeight="1" x14ac:dyDescent="0.25">
      <c r="B75" s="1580" t="str">
        <f t="shared" si="62"/>
        <v>South row</v>
      </c>
      <c r="C75" s="1581" t="e">
        <f t="shared" si="62"/>
        <v>#REF!</v>
      </c>
      <c r="D75" s="1582" t="e">
        <f t="shared" si="62"/>
        <v>#REF!</v>
      </c>
      <c r="E75" s="348" t="str">
        <f t="shared" si="62"/>
        <v>1st-10th module</v>
      </c>
      <c r="F75" s="405"/>
      <c r="G75" s="406"/>
      <c r="H75" s="181">
        <f ca="1">(-'int. presets cp_5d+wd'!K32*COS($F$18*PI()/180)*$F$21-'int. presets cp_5d+wd'!K41*COS($I$18*PI()/180)*$I$21)*$F$47*$C$25*1000/9.81/$I$47*$D$101*'int. presets cp_5d+wd'!$K$246-$H$47/$I$47*$C$20*$F$21</f>
        <v>22.300145418434937</v>
      </c>
      <c r="I75" s="75">
        <f ca="1">(SQRT(((-'int. presets cp_5d+wd'!F32*SIN($F$18*PI()/180)*$F$21+'int. presets cp_5d+wd'!F41*SIN($I$18*PI()/180)*$I$21)*$C$25*1000)^2+(0.001*$C$25*1000*$F$21)^2)/$C$30+(-'int. presets cp_5d+wd'!F32*COS($F$18*PI()/180)*$F$21-'int. presets cp_5d+wd'!F41*COS($I$18*PI()/180)*$I$21)*$C$25*1000)/9.81*$G$47/$I$47*$F$101*'int. presets cp_5d+wd'!$F$246-$H$47/$I$47*$C$20*$F$21</f>
        <v>28.257877965068694</v>
      </c>
      <c r="J75" s="996">
        <f t="shared" ca="1" si="63"/>
        <v>28.257877965068694</v>
      </c>
      <c r="K75" s="1073">
        <f t="shared" ca="1" si="24"/>
        <v>62.297882919349739</v>
      </c>
      <c r="L75" s="118"/>
      <c r="O75" s="1252" t="s">
        <v>0</v>
      </c>
      <c r="P75" s="1253"/>
      <c r="Q75" s="1253"/>
      <c r="R75" s="1253"/>
      <c r="S75" s="1253"/>
      <c r="T75" s="1253"/>
      <c r="U75" s="1253"/>
      <c r="V75" s="1253"/>
      <c r="W75" s="1253"/>
      <c r="X75" s="1253"/>
      <c r="Y75" s="1253"/>
      <c r="Z75" s="1253"/>
      <c r="AA75" s="1253"/>
      <c r="AB75" s="1253"/>
      <c r="AC75" s="1253"/>
      <c r="AD75" s="1253"/>
      <c r="AE75" s="1254"/>
      <c r="AF75" s="1252" t="s">
        <v>0</v>
      </c>
      <c r="AG75" s="1253"/>
      <c r="AH75" s="1253"/>
      <c r="AI75" s="1253"/>
      <c r="AJ75" s="1253"/>
      <c r="AK75" s="1253"/>
      <c r="AL75" s="1253"/>
      <c r="AM75" s="1253"/>
      <c r="AN75" s="1253"/>
      <c r="AO75" s="1254"/>
      <c r="AP75" s="1261" t="s">
        <v>0</v>
      </c>
      <c r="AQ75" s="1746"/>
      <c r="AR75" s="1746"/>
      <c r="AS75" s="1746"/>
      <c r="AT75" s="1746"/>
      <c r="AU75" s="1746"/>
      <c r="AV75" s="1746"/>
      <c r="AW75" s="1746"/>
      <c r="AX75" s="1746"/>
      <c r="AY75" s="1747"/>
      <c r="AZ75" s="1270" t="s">
        <v>0</v>
      </c>
      <c r="BA75" s="1271"/>
      <c r="BB75" s="1271"/>
      <c r="BC75" s="1271"/>
      <c r="BD75" s="1271"/>
      <c r="BE75" s="1271"/>
      <c r="BF75" s="1271"/>
      <c r="BG75" s="1271"/>
      <c r="BH75" s="1271"/>
      <c r="BI75" s="1271"/>
      <c r="BJ75" s="1271"/>
      <c r="BK75" s="1272"/>
      <c r="BQ75" s="1270" t="s">
        <v>0</v>
      </c>
      <c r="BR75" s="1271"/>
      <c r="BS75" s="1271"/>
      <c r="BT75" s="1271"/>
      <c r="BU75" s="1271"/>
      <c r="BV75" s="1271"/>
      <c r="BW75" s="1271"/>
      <c r="BX75" s="1271"/>
      <c r="BY75" s="1271"/>
      <c r="BZ75" s="1271"/>
      <c r="CA75" s="1271"/>
      <c r="CB75" s="1272"/>
      <c r="CC75" s="1261" t="s">
        <v>0</v>
      </c>
      <c r="CD75" s="1746"/>
      <c r="CE75" s="1746"/>
      <c r="CF75" s="1746"/>
      <c r="CG75" s="1746"/>
      <c r="CH75" s="1746"/>
      <c r="CI75" s="1746"/>
      <c r="CJ75" s="1746"/>
      <c r="CK75" s="1746"/>
      <c r="CL75" s="1747"/>
      <c r="CM75" s="1252" t="s">
        <v>0</v>
      </c>
      <c r="CN75" s="1253"/>
      <c r="CO75" s="1253"/>
      <c r="CP75" s="1253"/>
      <c r="CQ75" s="1253"/>
      <c r="CR75" s="1253"/>
      <c r="CS75" s="1253"/>
      <c r="CT75" s="1253"/>
      <c r="CU75" s="1253"/>
      <c r="CV75" s="1254"/>
      <c r="CW75" s="1252" t="s">
        <v>0</v>
      </c>
      <c r="CX75" s="1253"/>
      <c r="CY75" s="1253"/>
      <c r="CZ75" s="1253"/>
      <c r="DA75" s="1253"/>
      <c r="DB75" s="1253"/>
      <c r="DC75" s="1253"/>
      <c r="DD75" s="1253"/>
      <c r="DE75" s="1253"/>
      <c r="DF75" s="1253"/>
      <c r="DG75" s="1253"/>
      <c r="DH75" s="1253"/>
      <c r="DI75" s="1253"/>
      <c r="DJ75" s="1253"/>
      <c r="DK75" s="1253"/>
      <c r="DL75" s="1253"/>
      <c r="DM75" s="1254"/>
    </row>
    <row r="76" spans="2:120" s="75" customFormat="1" ht="13.5" customHeight="1" thickBot="1" x14ac:dyDescent="0.3">
      <c r="B76" s="1739" t="e">
        <f t="shared" si="62"/>
        <v>#REF!</v>
      </c>
      <c r="C76" s="1740" t="e">
        <f t="shared" si="62"/>
        <v>#REF!</v>
      </c>
      <c r="D76" s="1741" t="e">
        <f t="shared" si="62"/>
        <v>#REF!</v>
      </c>
      <c r="E76" s="992" t="str">
        <f t="shared" si="62"/>
        <v>Interior modules</v>
      </c>
      <c r="F76" s="405"/>
      <c r="G76" s="406"/>
      <c r="H76" s="161">
        <f ca="1">(-'int. presets cp_5d+wd'!K33*COS($F$18*PI()/180)*$F$21-'int. presets cp_5d+wd'!K42*COS($I$18*PI()/180)*$I$21)*$F$47*$C$25*1000/9.81/$I$47*$D$101*'int. presets cp_5d+wd'!$K$246-$H$47/$I$47*$C$20*$F$21</f>
        <v>7.87495978896861</v>
      </c>
      <c r="I76" s="991">
        <f ca="1">(SQRT(((-'int. presets cp_5d+wd'!F33*SIN($F$18*PI()/180)*$F$21+'int. presets cp_5d+wd'!F42*SIN($I$18*PI()/180)*$I$21)*$C$25*1000)^2+(0.001*$C$25*1000*$F$21)^2)/$C$30+(-'int. presets cp_5d+wd'!F33*COS($F$18*PI()/180)*$F$21-'int. presets cp_5d+wd'!F42*COS($I$18*PI()/180)*$I$21)*$C$25*1000)/9.81*$G$47/$I$47*$F$101*'int. presets cp_5d+wd'!$F$246-$H$47/$I$47*$C$20*$F$21</f>
        <v>19.343874844239132</v>
      </c>
      <c r="J76" s="998">
        <f t="shared" ca="1" si="63"/>
        <v>19.343874844239132</v>
      </c>
      <c r="K76" s="1072">
        <f t="shared" ca="1" si="24"/>
        <v>42.645893359106473</v>
      </c>
      <c r="L76" s="118"/>
      <c r="M76" s="163"/>
      <c r="O76" s="1249" t="s">
        <v>47</v>
      </c>
      <c r="P76" s="1250"/>
      <c r="Q76" s="1250"/>
      <c r="R76" s="1250"/>
      <c r="S76" s="1250"/>
      <c r="T76" s="1250"/>
      <c r="U76" s="1250"/>
      <c r="V76" s="1250"/>
      <c r="W76" s="1250"/>
      <c r="X76" s="1250"/>
      <c r="Y76" s="1250"/>
      <c r="Z76" s="1250"/>
      <c r="AA76" s="1250"/>
      <c r="AB76" s="1250"/>
      <c r="AC76" s="1250"/>
      <c r="AD76" s="1250"/>
      <c r="AE76" s="1251"/>
      <c r="AF76" s="1249" t="s">
        <v>75</v>
      </c>
      <c r="AG76" s="1250"/>
      <c r="AH76" s="1250"/>
      <c r="AI76" s="1250"/>
      <c r="AJ76" s="1250"/>
      <c r="AK76" s="1250"/>
      <c r="AL76" s="1250"/>
      <c r="AM76" s="1250"/>
      <c r="AN76" s="1250"/>
      <c r="AO76" s="1251"/>
      <c r="AP76" s="1264" t="s">
        <v>77</v>
      </c>
      <c r="AQ76" s="1744"/>
      <c r="AR76" s="1744"/>
      <c r="AS76" s="1744"/>
      <c r="AT76" s="1744"/>
      <c r="AU76" s="1744"/>
      <c r="AV76" s="1744"/>
      <c r="AW76" s="1744"/>
      <c r="AX76" s="1744"/>
      <c r="AY76" s="1745"/>
      <c r="AZ76" s="1273" t="s">
        <v>79</v>
      </c>
      <c r="BA76" s="1274"/>
      <c r="BB76" s="1274"/>
      <c r="BC76" s="1274"/>
      <c r="BD76" s="1274"/>
      <c r="BE76" s="1274"/>
      <c r="BF76" s="1274"/>
      <c r="BG76" s="1274"/>
      <c r="BH76" s="1274"/>
      <c r="BI76" s="1274"/>
      <c r="BJ76" s="1274"/>
      <c r="BK76" s="1275"/>
      <c r="BQ76" s="1273" t="s">
        <v>79</v>
      </c>
      <c r="BR76" s="1274"/>
      <c r="BS76" s="1274"/>
      <c r="BT76" s="1274"/>
      <c r="BU76" s="1274"/>
      <c r="BV76" s="1274"/>
      <c r="BW76" s="1274"/>
      <c r="BX76" s="1274"/>
      <c r="BY76" s="1274"/>
      <c r="BZ76" s="1274"/>
      <c r="CA76" s="1274"/>
      <c r="CB76" s="1275"/>
      <c r="CC76" s="1264" t="s">
        <v>77</v>
      </c>
      <c r="CD76" s="1744"/>
      <c r="CE76" s="1744"/>
      <c r="CF76" s="1744"/>
      <c r="CG76" s="1744"/>
      <c r="CH76" s="1744"/>
      <c r="CI76" s="1744"/>
      <c r="CJ76" s="1744"/>
      <c r="CK76" s="1744"/>
      <c r="CL76" s="1745"/>
      <c r="CM76" s="1249" t="s">
        <v>75</v>
      </c>
      <c r="CN76" s="1250"/>
      <c r="CO76" s="1250"/>
      <c r="CP76" s="1250"/>
      <c r="CQ76" s="1250"/>
      <c r="CR76" s="1250"/>
      <c r="CS76" s="1250"/>
      <c r="CT76" s="1250"/>
      <c r="CU76" s="1250"/>
      <c r="CV76" s="1251"/>
      <c r="CW76" s="1249" t="s">
        <v>47</v>
      </c>
      <c r="CX76" s="1250"/>
      <c r="CY76" s="1250"/>
      <c r="CZ76" s="1250"/>
      <c r="DA76" s="1250"/>
      <c r="DB76" s="1250"/>
      <c r="DC76" s="1250"/>
      <c r="DD76" s="1250"/>
      <c r="DE76" s="1250"/>
      <c r="DF76" s="1250"/>
      <c r="DG76" s="1250"/>
      <c r="DH76" s="1250"/>
      <c r="DI76" s="1250"/>
      <c r="DJ76" s="1250"/>
      <c r="DK76" s="1250"/>
      <c r="DL76" s="1250"/>
      <c r="DM76" s="1251"/>
    </row>
    <row r="77" spans="2:120" s="75" customFormat="1" ht="13.5" customHeight="1" thickTop="1" thickBot="1" x14ac:dyDescent="0.3">
      <c r="B77" s="1658" t="str">
        <f>'int. presets cp_5d+wd'!G24</f>
        <v>Roof position 4</v>
      </c>
      <c r="C77" s="1659"/>
      <c r="D77" s="1659"/>
      <c r="E77" s="1659"/>
      <c r="F77" s="1659"/>
      <c r="G77" s="1659"/>
      <c r="H77" s="1659"/>
      <c r="I77" s="1659"/>
      <c r="J77" s="1660"/>
      <c r="K77" s="1067"/>
      <c r="L77" s="118"/>
      <c r="M77" s="163"/>
    </row>
    <row r="78" spans="2:120" s="75" customFormat="1" ht="13.5" customHeight="1" x14ac:dyDescent="0.25">
      <c r="B78" s="1739" t="str">
        <f>B51</f>
        <v>North row</v>
      </c>
      <c r="C78" s="1740">
        <f t="shared" ref="B78:E85" si="64">C51</f>
        <v>0</v>
      </c>
      <c r="D78" s="1741">
        <f t="shared" si="64"/>
        <v>0</v>
      </c>
      <c r="E78" s="545" t="str">
        <f t="shared" si="64"/>
        <v>1st-10th module</v>
      </c>
      <c r="F78" s="539"/>
      <c r="G78" s="657"/>
      <c r="H78" s="540">
        <f ca="1">(-'int. presets cp_5d+wd'!L26*COS($F$18*PI()/180)*$F$21-'int. presets cp_5d+wd'!L35*COS($I$18*PI()/180)*$I$21)*$F$47*$C$25*1000/9.81/$I$47*$D$101*'int. presets cp_5d+wd'!$L$246-$H$47/$I$47*$C$20*$F$21</f>
        <v>30.412017143718565</v>
      </c>
      <c r="I78" s="75">
        <f ca="1">(SQRT(((-'int. presets cp_5d+wd'!G26*SIN($F$18*PI()/180)*$F$21+'int. presets cp_5d+wd'!G35*SIN($I$18*PI()/180)*$I$21)*$C$25*1000)^2+(0.001*$C$25*1000*$F$21)^2)/$C$30+(-'int. presets cp_5d+wd'!G26*COS($F$18*PI()/180)*$F$21-'int. presets cp_5d+wd'!G35*COS($I$18*PI()/180)*$I$21)*$C$25*1000)/9.81*$G$47/$I$47*$F$101*'int. presets cp_5d+wd'!$G$246-$H$47/$I$47*$C$20*$F$21</f>
        <v>22.61584797193121</v>
      </c>
      <c r="J78" s="994">
        <f t="shared" ref="J78:J85" ca="1" si="65">MAX(H78,I78)</f>
        <v>30.412017143718565</v>
      </c>
      <c r="K78" s="1071">
        <f t="shared" ca="1" si="24"/>
        <v>67.046941235384821</v>
      </c>
      <c r="L78" s="118"/>
      <c r="M78" s="163"/>
    </row>
    <row r="79" spans="2:120" s="75" customFormat="1" ht="13.5" customHeight="1" thickBot="1" x14ac:dyDescent="0.3">
      <c r="B79" s="1586">
        <f t="shared" si="64"/>
        <v>0</v>
      </c>
      <c r="C79" s="1587">
        <f t="shared" si="64"/>
        <v>0</v>
      </c>
      <c r="D79" s="1588">
        <f t="shared" si="64"/>
        <v>0</v>
      </c>
      <c r="E79" s="547" t="str">
        <f t="shared" si="64"/>
        <v>Interior modules</v>
      </c>
      <c r="F79" s="405"/>
      <c r="G79" s="406"/>
      <c r="H79" s="199">
        <f ca="1">(-'int. presets cp_5d+wd'!L27*COS($F$18*PI()/180)*$F$21-'int. presets cp_5d+wd'!L36*COS($I$18*PI()/180)*$I$21)*$F$47*$C$25*1000/9.81/$I$47*$D$101*'int. presets cp_5d+wd'!$L$246-$H$47/$I$47*$C$20*$F$21</f>
        <v>24.866041508593042</v>
      </c>
      <c r="I79" s="936">
        <f ca="1">(SQRT(((-'int. presets cp_5d+wd'!G27*SIN($F$18*PI()/180)*$F$21+'int. presets cp_5d+wd'!G36*SIN($I$18*PI()/180)*$I$21)*$C$25*1000)^2+(0.001*$C$25*1000*$F$21)^2)/$C$30+(-'int. presets cp_5d+wd'!G27*COS($F$18*PI()/180)*$F$21-'int. presets cp_5d+wd'!G36*COS($I$18*PI()/180)*$I$21)*$C$25*1000)/9.81*$G$47/$I$47*$F$101*'int. presets cp_5d+wd'!$G$246-$H$47/$I$47*$C$20*$F$21</f>
        <v>22.379220825556871</v>
      </c>
      <c r="J79" s="995">
        <f t="shared" ca="1" si="65"/>
        <v>24.866041508593042</v>
      </c>
      <c r="K79" s="1072">
        <f t="shared" ca="1" si="24"/>
        <v>54.82017243067439</v>
      </c>
      <c r="L79" s="118"/>
      <c r="M79" s="163"/>
    </row>
    <row r="80" spans="2:120" s="75" customFormat="1" ht="13.5" customHeight="1" x14ac:dyDescent="0.25">
      <c r="B80" s="1580" t="str">
        <f>B53</f>
        <v>Inner rows, 2nd to 4th row from north</v>
      </c>
      <c r="C80" s="1581" t="e">
        <f t="shared" si="64"/>
        <v>#REF!</v>
      </c>
      <c r="D80" s="1582" t="e">
        <f t="shared" si="64"/>
        <v>#REF!</v>
      </c>
      <c r="E80" s="546" t="str">
        <f t="shared" si="64"/>
        <v>1st-10th module</v>
      </c>
      <c r="F80" s="405"/>
      <c r="G80" s="406"/>
      <c r="H80" s="181">
        <f ca="1">(-'int. presets cp_5d+wd'!L28*COS($F$18*PI()/180)*$F$21-'int. presets cp_5d+wd'!L37*COS($I$18*PI()/180)*$I$21)*$F$47*$C$25*1000/9.81/$I$47*$D$101*'int. presets cp_5d+wd'!$L$246-$H$47/$I$47*$C$20*$F$21</f>
        <v>19.940633599720442</v>
      </c>
      <c r="I80" s="75">
        <f ca="1">(SQRT(((-'int. presets cp_5d+wd'!G28*SIN($F$18*PI()/180)*$F$21+'int. presets cp_5d+wd'!G37*SIN($I$18*PI()/180)*$I$21)*$C$25*1000)^2+(0.001*$C$25*1000*$F$21)^2)/$C$30+(-'int. presets cp_5d+wd'!G28*COS($F$18*PI()/180)*$F$21-'int. presets cp_5d+wd'!G37*COS($I$18*PI()/180)*$I$21)*$C$25*1000)/9.81*$G$47/$I$47*$F$101*'int. presets cp_5d+wd'!$G$246-$H$47/$I$47*$C$20*$F$21</f>
        <v>24.040066371480478</v>
      </c>
      <c r="J80" s="996">
        <f t="shared" ca="1" si="65"/>
        <v>24.040066371480478</v>
      </c>
      <c r="K80" s="1073">
        <f t="shared" ca="1" si="24"/>
        <v>52.999211123893289</v>
      </c>
      <c r="L80" s="118"/>
      <c r="M80" s="163"/>
    </row>
    <row r="81" spans="2:120" s="75" customFormat="1" ht="13.5" customHeight="1" thickBot="1" x14ac:dyDescent="0.3">
      <c r="B81" s="1586" t="e">
        <f t="shared" si="64"/>
        <v>#REF!</v>
      </c>
      <c r="C81" s="1587" t="e">
        <f t="shared" si="64"/>
        <v>#REF!</v>
      </c>
      <c r="D81" s="1588" t="e">
        <f t="shared" si="64"/>
        <v>#REF!</v>
      </c>
      <c r="E81" s="547" t="str">
        <f t="shared" si="64"/>
        <v>Interior modules</v>
      </c>
      <c r="F81" s="405"/>
      <c r="G81" s="406"/>
      <c r="H81" s="199">
        <f ca="1">(-'int. presets cp_5d+wd'!L29*COS($F$18*PI()/180)*$F$21-'int. presets cp_5d+wd'!L38*COS($I$18*PI()/180)*$I$21)*$F$47*$C$25*1000/9.81/$I$47*$D$101*'int. presets cp_5d+wd'!$L$246-$H$47/$I$47*$C$20*$F$21</f>
        <v>11.422315903697729</v>
      </c>
      <c r="I81" s="936">
        <f ca="1">(SQRT(((-'int. presets cp_5d+wd'!G29*SIN($F$18*PI()/180)*$F$21+'int. presets cp_5d+wd'!G38*SIN($I$18*PI()/180)*$I$21)*$C$25*1000)^2+(0.001*$C$25*1000*$F$21)^2)/$C$30+(-'int. presets cp_5d+wd'!G29*COS($F$18*PI()/180)*$F$21-'int. presets cp_5d+wd'!G38*COS($I$18*PI()/180)*$I$21)*$C$25*1000)/9.81*$G$47/$I$47*$F$101*'int. presets cp_5d+wd'!$G$246-$H$47/$I$47*$C$20*$F$21</f>
        <v>16.93354964913415</v>
      </c>
      <c r="J81" s="995">
        <f t="shared" ca="1" si="65"/>
        <v>16.93354964913415</v>
      </c>
      <c r="K81" s="1072">
        <f t="shared" ca="1" si="24"/>
        <v>37.332042227474126</v>
      </c>
      <c r="L81" s="118"/>
      <c r="M81" s="163"/>
    </row>
    <row r="82" spans="2:120" s="75" customFormat="1" ht="13.5" customHeight="1" x14ac:dyDescent="0.25">
      <c r="B82" s="1580" t="str">
        <f t="shared" si="64"/>
        <v>Inner rows, from 5th row from north</v>
      </c>
      <c r="C82" s="1581" t="e">
        <f t="shared" si="64"/>
        <v>#REF!</v>
      </c>
      <c r="D82" s="1582" t="e">
        <f t="shared" si="64"/>
        <v>#REF!</v>
      </c>
      <c r="E82" s="546" t="str">
        <f t="shared" si="64"/>
        <v>1st-10th module</v>
      </c>
      <c r="F82" s="405"/>
      <c r="G82" s="406"/>
      <c r="H82" s="181">
        <f ca="1">(-'int. presets cp_5d+wd'!L30*COS($F$18*PI()/180)*$F$21-'int. presets cp_5d+wd'!L39*COS($I$18*PI()/180)*$I$21)*$F$47*$C$25*1000/9.81/$I$47*$D$101*'int. presets cp_5d+wd'!$L$246-$H$47/$I$47*$C$20*$F$21</f>
        <v>14.898063209560938</v>
      </c>
      <c r="I82" s="75">
        <f ca="1">(SQRT(((-'int. presets cp_5d+wd'!G30*SIN($F$18*PI()/180)*$F$21+'int. presets cp_5d+wd'!G39*SIN($I$18*PI()/180)*$I$21)*$C$25*1000)^2+(0.001*$C$25*1000*$F$21)^2)/$C$30+(-'int. presets cp_5d+wd'!G30*COS($F$18*PI()/180)*$F$21-'int. presets cp_5d+wd'!G39*COS($I$18*PI()/180)*$I$21)*$C$25*1000)/9.81*$G$47/$I$47*$F$101*'int. presets cp_5d+wd'!$G$246-$H$47/$I$47*$C$20*$F$21</f>
        <v>17.345451614660433</v>
      </c>
      <c r="J82" s="996">
        <f t="shared" ca="1" si="65"/>
        <v>17.345451614660433</v>
      </c>
      <c r="K82" s="1073">
        <f t="shared" ca="1" si="24"/>
        <v>38.240129538712679</v>
      </c>
      <c r="L82" s="118"/>
      <c r="M82" s="163"/>
    </row>
    <row r="83" spans="2:120" s="75" customFormat="1" ht="13.5" customHeight="1" thickBot="1" x14ac:dyDescent="0.3">
      <c r="B83" s="1586" t="e">
        <f t="shared" si="64"/>
        <v>#REF!</v>
      </c>
      <c r="C83" s="1587" t="e">
        <f t="shared" si="64"/>
        <v>#REF!</v>
      </c>
      <c r="D83" s="1588" t="e">
        <f t="shared" si="64"/>
        <v>#REF!</v>
      </c>
      <c r="E83" s="547" t="str">
        <f t="shared" si="64"/>
        <v>Interior modules</v>
      </c>
      <c r="F83" s="405"/>
      <c r="G83" s="406"/>
      <c r="H83" s="199">
        <f ca="1">(-'int. presets cp_5d+wd'!L31*COS($F$18*PI()/180)*$F$21-'int. presets cp_5d+wd'!L40*COS($I$18*PI()/180)*$I$21)*$F$47*$C$25*1000/9.81/$I$47*$D$101*'int. presets cp_5d+wd'!$L$246-$H$47/$I$47*$C$20*$F$21</f>
        <v>2.6052034726340167</v>
      </c>
      <c r="I83" s="936">
        <f ca="1">(SQRT(((-'int. presets cp_5d+wd'!G31*SIN($F$18*PI()/180)*$F$21+'int. presets cp_5d+wd'!G40*SIN($I$18*PI()/180)*$I$21)*$C$25*1000)^2+(0.001*$C$25*1000*$F$21)^2)/$C$30+(-'int. presets cp_5d+wd'!G31*COS($F$18*PI()/180)*$F$21-'int. presets cp_5d+wd'!G40*COS($I$18*PI()/180)*$I$21)*$C$25*1000)/9.81*$G$47/$I$47*$F$101*'int. presets cp_5d+wd'!$G$246-$H$47/$I$47*$C$20*$F$21</f>
        <v>14.070109394746027</v>
      </c>
      <c r="J83" s="995">
        <f t="shared" ca="1" si="65"/>
        <v>14.070109394746027</v>
      </c>
      <c r="K83" s="1072">
        <f t="shared" ca="1" si="24"/>
        <v>31.019244573844983</v>
      </c>
      <c r="L83" s="118"/>
      <c r="M83" s="163"/>
    </row>
    <row r="84" spans="2:120" s="75" customFormat="1" ht="13.5" customHeight="1" x14ac:dyDescent="0.25">
      <c r="B84" s="1580" t="str">
        <f t="shared" si="64"/>
        <v>South row</v>
      </c>
      <c r="C84" s="1581" t="e">
        <f t="shared" si="64"/>
        <v>#REF!</v>
      </c>
      <c r="D84" s="1582" t="e">
        <f t="shared" si="64"/>
        <v>#REF!</v>
      </c>
      <c r="E84" s="546" t="str">
        <f t="shared" si="64"/>
        <v>1st-10th module</v>
      </c>
      <c r="F84" s="405"/>
      <c r="G84" s="406"/>
      <c r="H84" s="181">
        <f ca="1">(-'int. presets cp_5d+wd'!L32*COS($F$18*PI()/180)*$F$21-'int. presets cp_5d+wd'!L41*COS($I$18*PI()/180)*$I$21)*$F$47*$C$25*1000/9.81/$I$47*$D$101*'int. presets cp_5d+wd'!$L$246-$H$47/$I$47*$C$20*$F$21</f>
        <v>8.3246742070892097</v>
      </c>
      <c r="I84" s="75">
        <f ca="1">(SQRT(((-'int. presets cp_5d+wd'!G32*SIN($F$18*PI()/180)*$F$21+'int. presets cp_5d+wd'!G41*SIN($I$18*PI()/180)*$I$21)*$C$25*1000)^2+(0.001*$C$25*1000*$F$21)^2)/$C$30+(-'int. presets cp_5d+wd'!G32*COS($F$18*PI()/180)*$F$21-'int. presets cp_5d+wd'!G41*COS($I$18*PI()/180)*$I$21)*$C$25*1000)/9.81*$G$47/$I$47*$F$101*'int. presets cp_5d+wd'!$G$246-$H$47/$I$47*$C$20*$F$21</f>
        <v>16.643616916058974</v>
      </c>
      <c r="J84" s="996">
        <f t="shared" ca="1" si="65"/>
        <v>16.643616916058974</v>
      </c>
      <c r="K84" s="1073">
        <f t="shared" ca="1" si="24"/>
        <v>36.692850725481932</v>
      </c>
      <c r="L84" s="118"/>
      <c r="M84" s="163"/>
    </row>
    <row r="85" spans="2:120" s="75" customFormat="1" ht="13.5" customHeight="1" thickBot="1" x14ac:dyDescent="0.3">
      <c r="B85" s="1739" t="e">
        <f t="shared" si="64"/>
        <v>#REF!</v>
      </c>
      <c r="C85" s="1740" t="e">
        <f t="shared" si="64"/>
        <v>#REF!</v>
      </c>
      <c r="D85" s="1741" t="e">
        <f t="shared" si="64"/>
        <v>#REF!</v>
      </c>
      <c r="E85" s="993" t="str">
        <f t="shared" si="64"/>
        <v>Interior modules</v>
      </c>
      <c r="F85" s="405"/>
      <c r="G85" s="406"/>
      <c r="H85" s="161">
        <f ca="1">(-'int. presets cp_5d+wd'!L33*COS($F$18*PI()/180)*$F$21-'int. presets cp_5d+wd'!L42*COS($I$18*PI()/180)*$I$21)*$F$47*$C$25*1000/9.81/$I$47*$D$101*'int. presets cp_5d+wd'!$L$246-$H$47/$I$47*$C$20*$F$21</f>
        <v>-0.43239090194644447</v>
      </c>
      <c r="I85" s="991">
        <f ca="1">(SQRT(((-'int. presets cp_5d+wd'!G33*SIN($F$18*PI()/180)*$F$21+'int. presets cp_5d+wd'!G42*SIN($I$18*PI()/180)*$I$21)*$C$25*1000)^2+(0.001*$C$25*1000*$F$21)^2)/$C$30+(-'int. presets cp_5d+wd'!G33*COS($F$18*PI()/180)*$F$21-'int. presets cp_5d+wd'!G42*COS($I$18*PI()/180)*$I$21)*$C$25*1000)/9.81*$G$47/$I$47*$F$101*'int. presets cp_5d+wd'!$G$246-$H$47/$I$47*$C$20*$F$21</f>
        <v>15.766415599942306</v>
      </c>
      <c r="J85" s="998">
        <f t="shared" ca="1" si="65"/>
        <v>15.766415599942306</v>
      </c>
      <c r="K85" s="1072">
        <f t="shared" ca="1" si="24"/>
        <v>34.758955159944804</v>
      </c>
      <c r="L85" s="118"/>
      <c r="M85" s="163"/>
    </row>
    <row r="86" spans="2:120" s="75" customFormat="1" ht="13.5" customHeight="1" thickTop="1" thickBot="1" x14ac:dyDescent="0.3">
      <c r="B86" s="1658" t="str">
        <f>'int. presets cp_5d+wd'!H24</f>
        <v>Roof position 5</v>
      </c>
      <c r="C86" s="1659"/>
      <c r="D86" s="1659"/>
      <c r="E86" s="1659"/>
      <c r="F86" s="1659"/>
      <c r="G86" s="1659"/>
      <c r="H86" s="1659"/>
      <c r="I86" s="1659"/>
      <c r="J86" s="1660"/>
      <c r="K86" s="1067"/>
      <c r="L86" s="118"/>
      <c r="M86" s="163"/>
    </row>
    <row r="87" spans="2:120" s="75" customFormat="1" ht="13.5" customHeight="1" x14ac:dyDescent="0.25">
      <c r="B87" s="1739" t="str">
        <f>B51</f>
        <v>North row</v>
      </c>
      <c r="C87" s="1740"/>
      <c r="D87" s="1741"/>
      <c r="E87" s="351" t="str">
        <f>E51</f>
        <v>1st-10th module</v>
      </c>
      <c r="F87" s="539"/>
      <c r="G87" s="657"/>
      <c r="H87" s="540">
        <f ca="1">(-'int. presets cp_5d+wd'!M26*COS($F$18*PI()/180)*$F$21-'int. presets cp_5d+wd'!M35*COS($I$18*PI()/180)*$I$21)*$F$47*$C$25*1000/9.81/$I$47*$D$101*'int. presets cp_5d+wd'!$M$246-$H$47/$I$47*$C$20*$F$21</f>
        <v>25.74503224588355</v>
      </c>
      <c r="I87" s="75">
        <f ca="1">(SQRT(((-'int. presets cp_5d+wd'!H26*SIN($F$18*PI()/180)*$F$21+'int. presets cp_5d+wd'!H35*SIN($I$18*PI()/180)*$I$21)*$C$25*1000)^2+(0.001*$C$25*1000*$F$21)^2)/$C$30+(-'int. presets cp_5d+wd'!H26*COS($F$18*PI()/180)*$F$21-'int. presets cp_5d+wd'!H35*COS($I$18*PI()/180)*$I$21)*$C$25*1000)/9.81*$G$47/$I$47*$F$101*'int. presets cp_5d+wd'!$H$246-$H$47/$I$47*$C$20*$F$21</f>
        <v>21.675131915619495</v>
      </c>
      <c r="J87" s="994">
        <f t="shared" ref="J87:J94" ca="1" si="66">MAX(H87,I87)</f>
        <v>25.74503224588355</v>
      </c>
      <c r="K87" s="1071">
        <f t="shared" ca="1" si="24"/>
        <v>56.758012989919784</v>
      </c>
      <c r="L87" s="118"/>
    </row>
    <row r="88" spans="2:120" s="75" customFormat="1" ht="13.5" customHeight="1" thickBot="1" x14ac:dyDescent="0.3">
      <c r="B88" s="1586"/>
      <c r="C88" s="1587"/>
      <c r="D88" s="1588"/>
      <c r="E88" s="345" t="str">
        <f t="shared" ref="E88:E94" si="67">E52</f>
        <v>Interior modules</v>
      </c>
      <c r="F88" s="405"/>
      <c r="G88" s="406"/>
      <c r="H88" s="199">
        <f ca="1">(-'int. presets cp_5d+wd'!M27*COS($F$18*PI()/180)*$F$21-'int. presets cp_5d+wd'!M36*COS($I$18*PI()/180)*$I$21)*$F$47*$C$25*1000/9.81/$I$47*$D$101*'int. presets cp_5d+wd'!$M$246-$H$47/$I$47*$C$20*$F$21</f>
        <v>26.315517113403388</v>
      </c>
      <c r="I88" s="936">
        <f ca="1">(SQRT(((-'int. presets cp_5d+wd'!H27*SIN($F$18*PI()/180)*$F$21+'int. presets cp_5d+wd'!H36*SIN($I$18*PI()/180)*$I$21)*$C$25*1000)^2+(0.001*$C$25*1000*$F$21)^2)/$C$30+(-'int. presets cp_5d+wd'!H27*COS($F$18*PI()/180)*$F$21-'int. presets cp_5d+wd'!H36*COS($I$18*PI()/180)*$I$21)*$C$25*1000)/9.81*$G$47/$I$47*$F$101*'int. presets cp_5d+wd'!$H$246-$H$47/$I$47*$C$20*$F$21</f>
        <v>23.115926863053318</v>
      </c>
      <c r="J88" s="995">
        <f t="shared" ca="1" si="66"/>
        <v>26.315517113403388</v>
      </c>
      <c r="K88" s="1072">
        <f t="shared" ca="1" si="24"/>
        <v>58.015715338551374</v>
      </c>
      <c r="L88" s="118"/>
    </row>
    <row r="89" spans="2:120" s="75" customFormat="1" ht="13.5" customHeight="1" x14ac:dyDescent="0.25">
      <c r="B89" s="1580" t="str">
        <f>B53</f>
        <v>Inner rows, 2nd to 4th row from north</v>
      </c>
      <c r="C89" s="1581"/>
      <c r="D89" s="1582"/>
      <c r="E89" s="347" t="str">
        <f t="shared" si="67"/>
        <v>1st-10th module</v>
      </c>
      <c r="F89" s="405"/>
      <c r="G89" s="406"/>
      <c r="H89" s="181">
        <f ca="1">(-'int. presets cp_5d+wd'!M28*COS($F$18*PI()/180)*$F$21-'int. presets cp_5d+wd'!M37*COS($I$18*PI()/180)*$I$21)*$F$47*$C$25*1000/9.81/$I$47*$D$101*'int. presets cp_5d+wd'!$M$246-$H$47/$I$47*$C$20*$F$21</f>
        <v>25.631492171776252</v>
      </c>
      <c r="I89" s="75">
        <f ca="1">(SQRT(((-'int. presets cp_5d+wd'!H28*SIN($F$18*PI()/180)*$F$21+'int. presets cp_5d+wd'!H37*SIN($I$18*PI()/180)*$I$21)*$C$25*1000)^2+(0.001*$C$25*1000*$F$21)^2)/$C$30+(-'int. presets cp_5d+wd'!H28*COS($F$18*PI()/180)*$F$21-'int. presets cp_5d+wd'!H37*COS($I$18*PI()/180)*$I$21)*$C$25*1000)/9.81*$G$47/$I$47*$F$101*'int. presets cp_5d+wd'!$H$246-$H$47/$I$47*$C$20*$F$21</f>
        <v>22.012011445900228</v>
      </c>
      <c r="J89" s="996">
        <f t="shared" ca="1" si="66"/>
        <v>25.631492171776252</v>
      </c>
      <c r="K89" s="1073">
        <f t="shared" ca="1" si="24"/>
        <v>56.507700271741356</v>
      </c>
      <c r="L89" s="118"/>
    </row>
    <row r="90" spans="2:120" s="75" customFormat="1" ht="13.5" customHeight="1" thickBot="1" x14ac:dyDescent="0.3">
      <c r="B90" s="1586"/>
      <c r="C90" s="1587"/>
      <c r="D90" s="1588"/>
      <c r="E90" s="345" t="str">
        <f t="shared" si="67"/>
        <v>Interior modules</v>
      </c>
      <c r="F90" s="405"/>
      <c r="G90" s="406"/>
      <c r="H90" s="199">
        <f ca="1">(-'int. presets cp_5d+wd'!M29*COS($F$18*PI()/180)*$F$21-'int. presets cp_5d+wd'!M38*COS($I$18*PI()/180)*$I$21)*$F$47*$C$25*1000/9.81/$I$47*$D$101*'int. presets cp_5d+wd'!$M$246-$H$47/$I$47*$C$20*$F$21</f>
        <v>11.530833869855769</v>
      </c>
      <c r="I90" s="936">
        <f ca="1">(SQRT(((-'int. presets cp_5d+wd'!H29*SIN($F$18*PI()/180)*$F$21+'int. presets cp_5d+wd'!H38*SIN($I$18*PI()/180)*$I$21)*$C$25*1000)^2+(0.001*$C$25*1000*$F$21)^2)/$C$30+(-'int. presets cp_5d+wd'!H29*COS($F$18*PI()/180)*$F$21-'int. presets cp_5d+wd'!H38*COS($I$18*PI()/180)*$I$21)*$C$25*1000)/9.81*$G$47/$I$47*$F$101*'int. presets cp_5d+wd'!$H$246-$H$47/$I$47*$C$20*$F$21</f>
        <v>16.519136873294471</v>
      </c>
      <c r="J90" s="995">
        <f t="shared" ca="1" si="66"/>
        <v>16.519136873294471</v>
      </c>
      <c r="K90" s="1072">
        <f t="shared" ca="1" si="24"/>
        <v>36.418419533602453</v>
      </c>
      <c r="L90" s="118"/>
    </row>
    <row r="91" spans="2:120" s="75" customFormat="1" ht="13.5" customHeight="1" x14ac:dyDescent="0.25">
      <c r="B91" s="1580" t="str">
        <f>B55</f>
        <v>Inner rows, from 5th row from north</v>
      </c>
      <c r="C91" s="1581"/>
      <c r="D91" s="1582"/>
      <c r="E91" s="347" t="str">
        <f t="shared" si="67"/>
        <v>1st-10th module</v>
      </c>
      <c r="F91" s="405"/>
      <c r="G91" s="406"/>
      <c r="H91" s="181">
        <f ca="1">(-'int. presets cp_5d+wd'!M30*COS($F$18*PI()/180)*$F$21-'int. presets cp_5d+wd'!M39*COS($I$18*PI()/180)*$I$21)*$F$47*$C$25*1000/9.81/$I$47*$D$101*'int. presets cp_5d+wd'!$M$246-$H$47/$I$47*$C$20*$F$21</f>
        <v>-1.5302601703577174</v>
      </c>
      <c r="I91" s="75">
        <f ca="1">(SQRT(((-'int. presets cp_5d+wd'!H30*SIN($F$18*PI()/180)*$F$21+'int. presets cp_5d+wd'!H39*SIN($I$18*PI()/180)*$I$21)*$C$25*1000)^2+(0.001*$C$25*1000*$F$21)^2)/$C$30+(-'int. presets cp_5d+wd'!H30*COS($F$18*PI()/180)*$F$21-'int. presets cp_5d+wd'!H39*COS($I$18*PI()/180)*$I$21)*$C$25*1000)/9.81*$G$47/$I$47*$F$101*'int. presets cp_5d+wd'!$H$246-$H$47/$I$47*$C$20*$F$21</f>
        <v>10.334728165523906</v>
      </c>
      <c r="J91" s="996">
        <f t="shared" ca="1" si="66"/>
        <v>10.334728165523906</v>
      </c>
      <c r="K91" s="1073">
        <f t="shared" ca="1" si="24"/>
        <v>22.784148408277311</v>
      </c>
      <c r="L91" s="118"/>
    </row>
    <row r="92" spans="2:120" s="75" customFormat="1" ht="13.5" customHeight="1" thickBot="1" x14ac:dyDescent="0.3">
      <c r="B92" s="1586"/>
      <c r="C92" s="1587"/>
      <c r="D92" s="1588"/>
      <c r="E92" s="345" t="str">
        <f t="shared" si="67"/>
        <v>Interior modules</v>
      </c>
      <c r="F92" s="405"/>
      <c r="G92" s="406"/>
      <c r="H92" s="199">
        <f ca="1">(-'int. presets cp_5d+wd'!M31*COS($F$18*PI()/180)*$F$21-'int. presets cp_5d+wd'!M40*COS($I$18*PI()/180)*$I$21)*$F$47*$C$25*1000/9.81/$I$47*$D$101*'int. presets cp_5d+wd'!$M$246-$H$47/$I$47*$C$20*$F$21</f>
        <v>-1.5302601703577174</v>
      </c>
      <c r="I92" s="936">
        <f ca="1">(SQRT(((-'int. presets cp_5d+wd'!H31*SIN($F$18*PI()/180)*$F$21+'int. presets cp_5d+wd'!H40*SIN($I$18*PI()/180)*$I$21)*$C$25*1000)^2+(0.001*$C$25*1000*$F$21)^2)/$C$30+(-'int. presets cp_5d+wd'!H31*COS($F$18*PI()/180)*$F$21-'int. presets cp_5d+wd'!H40*COS($I$18*PI()/180)*$I$21)*$C$25*1000)/9.81*$G$47/$I$47*$F$101*'int. presets cp_5d+wd'!$H$246-$H$47/$I$47*$C$20*$F$21</f>
        <v>10.334728165523906</v>
      </c>
      <c r="J92" s="995">
        <f t="shared" ca="1" si="66"/>
        <v>10.334728165523906</v>
      </c>
      <c r="K92" s="1072">
        <f t="shared" ca="1" si="24"/>
        <v>22.784148408277311</v>
      </c>
      <c r="L92" s="118"/>
    </row>
    <row r="93" spans="2:120" s="75" customFormat="1" ht="13.5" customHeight="1" x14ac:dyDescent="0.25">
      <c r="B93" s="1580" t="str">
        <f>B57</f>
        <v>South row</v>
      </c>
      <c r="C93" s="1581"/>
      <c r="D93" s="1582"/>
      <c r="E93" s="347" t="str">
        <f t="shared" si="67"/>
        <v>1st-10th module</v>
      </c>
      <c r="F93" s="405"/>
      <c r="G93" s="406"/>
      <c r="H93" s="181">
        <f ca="1">(-'int. presets cp_5d+wd'!M32*COS($F$18*PI()/180)*$F$21-'int. presets cp_5d+wd'!M41*COS($I$18*PI()/180)*$I$21)*$F$47*$C$25*1000/9.81/$I$47*$D$101*'int. presets cp_5d+wd'!$M$246-$H$47/$I$47*$C$20*$F$21</f>
        <v>-0.60743313747626715</v>
      </c>
      <c r="I93" s="75">
        <f ca="1">(SQRT(((-'int. presets cp_5d+wd'!H32*SIN($F$18*PI()/180)*$F$21+'int. presets cp_5d+wd'!H41*SIN($I$18*PI()/180)*$I$21)*$C$25*1000)^2+(0.001*$C$25*1000*$F$21)^2)/$C$30+(-'int. presets cp_5d+wd'!H32*COS($F$18*PI()/180)*$F$21-'int. presets cp_5d+wd'!H41*COS($I$18*PI()/180)*$I$21)*$C$25*1000)/9.81*$G$47/$I$47*$F$101*'int. presets cp_5d+wd'!$H$246-$H$47/$I$47*$C$20*$F$21</f>
        <v>10.334728165523906</v>
      </c>
      <c r="J93" s="996">
        <f t="shared" ca="1" si="66"/>
        <v>10.334728165523906</v>
      </c>
      <c r="K93" s="1073">
        <f t="shared" ca="1" si="24"/>
        <v>22.784148408277311</v>
      </c>
      <c r="L93" s="118"/>
    </row>
    <row r="94" spans="2:120" s="75" customFormat="1" ht="13.5" customHeight="1" thickBot="1" x14ac:dyDescent="0.3">
      <c r="B94" s="1583"/>
      <c r="C94" s="1742"/>
      <c r="D94" s="1743"/>
      <c r="E94" s="346" t="str">
        <f t="shared" si="67"/>
        <v>Interior modules</v>
      </c>
      <c r="F94" s="658"/>
      <c r="G94" s="659"/>
      <c r="H94" s="239">
        <f ca="1">(-'int. presets cp_5d+wd'!M33*COS($F$18*PI()/180)*$F$21-'int. presets cp_5d+wd'!M42*COS($I$18*PI()/180)*$I$21)*$F$47*$C$25*1000/9.81/$I$47*$D$101*'int. presets cp_5d+wd'!$M$246-$H$47/$I$47*$C$20*$F$21</f>
        <v>-1.5302601703577174</v>
      </c>
      <c r="I94" s="937">
        <f ca="1">(SQRT(((-'int. presets cp_5d+wd'!H33*SIN($F$18*PI()/180)*$F$21+'int. presets cp_5d+wd'!H42*SIN($I$18*PI()/180)*$I$21)*$C$25*1000)^2+(0.001*$C$25*1000*$F$21)^2)/$C$30+(-'int. presets cp_5d+wd'!H33*COS($F$18*PI()/180)*$F$21-'int. presets cp_5d+wd'!H42*COS($I$18*PI()/180)*$I$21)*$C$25*1000)/9.81*$G$47/$I$47*$F$101*'int. presets cp_5d+wd'!$H$246-$H$47/$I$47*$C$20*$F$21</f>
        <v>10.334728165523906</v>
      </c>
      <c r="J94" s="997">
        <f t="shared" ca="1" si="66"/>
        <v>10.334728165523906</v>
      </c>
      <c r="K94" s="1072">
        <f t="shared" ca="1" si="24"/>
        <v>22.784148408277311</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433</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951"/>
      <c r="C98" s="525"/>
      <c r="D98" s="338"/>
      <c r="E98" s="338"/>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573" t="s">
        <v>436</v>
      </c>
      <c r="C99" s="332" t="s">
        <v>437</v>
      </c>
      <c r="D99" s="1576" t="s">
        <v>434</v>
      </c>
      <c r="E99" s="1577"/>
      <c r="F99" s="1578" t="s">
        <v>435</v>
      </c>
      <c r="G99" s="1579"/>
      <c r="H99" s="538"/>
      <c r="I99" s="538"/>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574"/>
      <c r="C100" s="59" t="s">
        <v>438</v>
      </c>
      <c r="D100" s="60">
        <f>IF($C$31&gt;7,"Fehler",$C$31)</f>
        <v>1.1934894239820351</v>
      </c>
      <c r="E100" s="61" t="s">
        <v>5</v>
      </c>
      <c r="F100" s="60">
        <f>IF($C$31&gt;7,"Fehler",$C$31)</f>
        <v>1.1934894239820351</v>
      </c>
      <c r="G100" s="62" t="s">
        <v>5</v>
      </c>
      <c r="H100" s="19"/>
      <c r="I100" s="19"/>
      <c r="J100" s="63"/>
      <c r="K100" s="63"/>
      <c r="M100" s="1"/>
      <c r="N100" s="1"/>
      <c r="O100" s="1"/>
      <c r="P100" s="57"/>
      <c r="Q100" s="57"/>
      <c r="R100" s="57"/>
      <c r="S100" s="57"/>
      <c r="T100" s="57"/>
      <c r="U100" s="57"/>
      <c r="V100" s="57"/>
      <c r="W100" s="57"/>
      <c r="X100" s="57"/>
      <c r="Y100" s="57"/>
      <c r="Z100" s="605"/>
      <c r="AA100" s="605"/>
      <c r="AB100" s="605"/>
      <c r="AC100" s="605"/>
      <c r="AD100" s="605"/>
      <c r="AE100" s="605"/>
      <c r="AF100" s="605"/>
      <c r="AG100" s="605"/>
      <c r="AH100" s="605"/>
      <c r="AI100" s="605"/>
      <c r="AJ100" s="605"/>
      <c r="AK100" s="605"/>
      <c r="AL100" s="605"/>
      <c r="AM100" s="605"/>
      <c r="AN100" s="605"/>
      <c r="AO100" s="605"/>
      <c r="AP100" s="605"/>
      <c r="AQ100" s="605"/>
      <c r="AR100" s="605"/>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575"/>
      <c r="C101" s="64" t="s">
        <v>439</v>
      </c>
      <c r="D101" s="65">
        <f>IF($D$100="Fehler","",IF($J$32=$B$105,1,IF($J$32=$B$106,1/(COS(D100/180*PI())),"Fehler")))</f>
        <v>1.0002169903464837</v>
      </c>
      <c r="E101" s="66" t="s">
        <v>6</v>
      </c>
      <c r="F101" s="67">
        <f>IF($D$100="Fehler","",IF($J$32=$B$105,1,IF($J$32=$B$106,$C$30/($C$30*COS(F100/180*PI())-SIN(F100/180*PI())),"FEHLER")))</f>
        <v>1.0487712131788371</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335</v>
      </c>
      <c r="D103" s="70" t="s">
        <v>126</v>
      </c>
      <c r="E103" s="70" t="s">
        <v>440</v>
      </c>
      <c r="F103" s="71" t="s">
        <v>366</v>
      </c>
      <c r="G103" s="173" t="s">
        <v>441</v>
      </c>
      <c r="H103" s="194" t="s">
        <v>442</v>
      </c>
      <c r="I103" s="193" t="s">
        <v>443</v>
      </c>
      <c r="J103" s="193" t="s">
        <v>444</v>
      </c>
      <c r="K103" s="1052"/>
    </row>
    <row r="104" spans="2:118" s="178" customFormat="1" ht="13.5" customHeight="1" x14ac:dyDescent="0.25">
      <c r="C104" s="168" t="str">
        <f>'building data'!Q10</f>
        <v>USA</v>
      </c>
      <c r="D104" s="169" t="str">
        <f>'building data'!R10</f>
        <v>ASCE/SEI 7-10</v>
      </c>
      <c r="E104" s="72">
        <f>'ASCE 7-10 (US)'!C19</f>
        <v>1.0384922145487721</v>
      </c>
      <c r="F104" s="79" t="str">
        <f>'ASCE 7-10 (US)'!C24</f>
        <v>Exp. B</v>
      </c>
      <c r="G104" s="175">
        <f>'ASCE 7-10 (US)'!H13</f>
        <v>1</v>
      </c>
      <c r="H104" s="195">
        <f>'ASCE 7-10 (US)'!J13</f>
        <v>1</v>
      </c>
      <c r="I104" s="184">
        <f>'ASCE 7-10 (US)'!K13</f>
        <v>0.9</v>
      </c>
      <c r="J104" s="184">
        <f>'ASCE 7-10 (US)'!L13</f>
        <v>0.9</v>
      </c>
      <c r="K104" s="1081"/>
    </row>
    <row r="105" spans="2:118" s="178" customFormat="1" ht="13.5" customHeight="1" x14ac:dyDescent="0.25">
      <c r="B105" s="178" t="s">
        <v>20</v>
      </c>
      <c r="C105" s="168" t="str">
        <f>'building data'!Q11</f>
        <v>USA II</v>
      </c>
      <c r="D105" s="76" t="str">
        <f>'building data'!R11</f>
        <v>ASCE/SEI 7-05</v>
      </c>
      <c r="E105" s="77">
        <f>'ASCE 7-05 (US)'!C19</f>
        <v>1.0384922145487721</v>
      </c>
      <c r="F105" s="172" t="str">
        <f>'ASCE 7-05 (US)'!C24</f>
        <v>Exp. B</v>
      </c>
      <c r="G105" s="174">
        <f>'ASCE 7-05 (US)'!H13</f>
        <v>1.6</v>
      </c>
      <c r="H105" s="196">
        <f>'ASCE 7-05 (US)'!J13</f>
        <v>1.6</v>
      </c>
      <c r="I105" s="185">
        <f>'ASCE 7-05 (US)'!K13</f>
        <v>0.9</v>
      </c>
      <c r="J105" s="185">
        <f>'ASCE 7-05 (US)'!L13</f>
        <v>0.9</v>
      </c>
      <c r="K105" s="1081"/>
    </row>
    <row r="106" spans="2:118" ht="13.5" customHeight="1" x14ac:dyDescent="0.2">
      <c r="B106" s="178" t="s">
        <v>19</v>
      </c>
      <c r="C106" s="168"/>
      <c r="D106" s="76"/>
      <c r="E106" s="77"/>
      <c r="F106" s="172"/>
      <c r="G106" s="176"/>
      <c r="H106" s="196"/>
      <c r="I106" s="185"/>
      <c r="J106" s="185"/>
      <c r="K106" s="1081"/>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081"/>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453</v>
      </c>
      <c r="C108" s="168"/>
      <c r="D108" s="76"/>
      <c r="E108" s="77"/>
      <c r="F108" s="172"/>
      <c r="G108" s="176"/>
      <c r="H108" s="196"/>
      <c r="I108" s="185"/>
      <c r="J108" s="185"/>
      <c r="K108" s="1081"/>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081"/>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081"/>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30"/>
      <c r="C111" s="168"/>
      <c r="D111" s="76"/>
      <c r="E111" s="77"/>
      <c r="F111" s="172"/>
      <c r="G111" s="176"/>
      <c r="H111" s="196"/>
      <c r="I111" s="185"/>
      <c r="J111" s="185"/>
      <c r="K111" s="1081"/>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081"/>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081"/>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081"/>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081"/>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081"/>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081"/>
    </row>
    <row r="118" spans="2:117" x14ac:dyDescent="0.2">
      <c r="B118" s="281"/>
      <c r="C118" s="202"/>
      <c r="D118" s="203"/>
      <c r="E118" s="204"/>
      <c r="F118" s="205"/>
      <c r="G118" s="196"/>
      <c r="H118" s="206"/>
      <c r="I118" s="207"/>
      <c r="J118" s="207"/>
      <c r="K118" s="1081"/>
    </row>
    <row r="119" spans="2:117" ht="13.5" thickBot="1" x14ac:dyDescent="0.25">
      <c r="B119" s="281"/>
      <c r="C119" s="171"/>
      <c r="D119" s="78"/>
      <c r="E119" s="108"/>
      <c r="F119" s="55"/>
      <c r="G119" s="177"/>
      <c r="H119" s="197"/>
      <c r="I119" s="186"/>
      <c r="J119" s="186"/>
      <c r="K119" s="1081"/>
    </row>
  </sheetData>
  <mergeCells count="360">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 ref="C9:D9"/>
    <mergeCell ref="B16:J16"/>
    <mergeCell ref="V16:BE20"/>
    <mergeCell ref="O21:P25"/>
    <mergeCell ref="BJ21:BK25"/>
    <mergeCell ref="F9:G9"/>
    <mergeCell ref="F10:G10"/>
    <mergeCell ref="F11:G11"/>
    <mergeCell ref="F12:G12"/>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M32:CQ33"/>
    <mergeCell ref="B32:I34"/>
    <mergeCell ref="J32:J34"/>
    <mergeCell ref="Q32:U33"/>
    <mergeCell ref="V32:Z33"/>
    <mergeCell ref="AA32:AE33"/>
    <mergeCell ref="AF32:AJ33"/>
    <mergeCell ref="Q34:U36"/>
    <mergeCell ref="V34:Z36"/>
    <mergeCell ref="AA34:AE36"/>
    <mergeCell ref="AF34:AJ36"/>
    <mergeCell ref="AK34:AO36"/>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AZ37:BD39"/>
    <mergeCell ref="BE37:BI39"/>
    <mergeCell ref="BS37:BW39"/>
    <mergeCell ref="BX37:CB39"/>
    <mergeCell ref="AU40:AY42"/>
    <mergeCell ref="AZ40:BD42"/>
    <mergeCell ref="BE40:BI42"/>
    <mergeCell ref="BS40:BW42"/>
    <mergeCell ref="BX40:CB42"/>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CC63:CG65"/>
    <mergeCell ref="AP63:AT65"/>
    <mergeCell ref="AU63:AY65"/>
    <mergeCell ref="AZ63:BD65"/>
    <mergeCell ref="BE63:BI65"/>
    <mergeCell ref="BS63:BW65"/>
    <mergeCell ref="BX63:CB65"/>
    <mergeCell ref="CM60:CQ62"/>
    <mergeCell ref="CR60:CV62"/>
    <mergeCell ref="CW74:DM74"/>
    <mergeCell ref="CM66:CQ68"/>
    <mergeCell ref="CR66:CV68"/>
    <mergeCell ref="CW66:DA68"/>
    <mergeCell ref="DB66:DF68"/>
    <mergeCell ref="DG66:DK68"/>
    <mergeCell ref="AZ66:BD68"/>
    <mergeCell ref="BE66:BI68"/>
    <mergeCell ref="BS66:BW68"/>
    <mergeCell ref="BX66:CB68"/>
    <mergeCell ref="CC66:CG68"/>
    <mergeCell ref="CH66:CL68"/>
    <mergeCell ref="B66:D67"/>
    <mergeCell ref="Q66:U68"/>
    <mergeCell ref="V66:Z68"/>
    <mergeCell ref="AA66:AE68"/>
    <mergeCell ref="AF66:AJ68"/>
    <mergeCell ref="AK66:AO68"/>
    <mergeCell ref="AP66:AT68"/>
    <mergeCell ref="AU66:AY68"/>
    <mergeCell ref="CC75:CL75"/>
    <mergeCell ref="CC74:CL74"/>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O76:AE76"/>
    <mergeCell ref="AF76:AO76"/>
    <mergeCell ref="AP76:AY76"/>
    <mergeCell ref="AZ76:BK76"/>
    <mergeCell ref="BQ76:CB76"/>
    <mergeCell ref="B75:D76"/>
    <mergeCell ref="O75:AE75"/>
    <mergeCell ref="AF75:AO75"/>
    <mergeCell ref="AP75:AY75"/>
    <mergeCell ref="AZ75:BK75"/>
    <mergeCell ref="BQ75:CB75"/>
    <mergeCell ref="B99:B101"/>
    <mergeCell ref="D99:E99"/>
    <mergeCell ref="F99:G99"/>
    <mergeCell ref="B84:D85"/>
    <mergeCell ref="B87:D88"/>
    <mergeCell ref="B89:D90"/>
    <mergeCell ref="B91:D92"/>
    <mergeCell ref="B93:D94"/>
    <mergeCell ref="B78:D79"/>
    <mergeCell ref="B80:D81"/>
    <mergeCell ref="B82:D83"/>
    <mergeCell ref="B86:J86"/>
  </mergeCells>
  <dataValidations disablePrompts="1"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475</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807 E Main</v>
      </c>
      <c r="D9" s="1713"/>
      <c r="E9" s="134" t="s">
        <v>319</v>
      </c>
      <c r="F9" s="135" t="str">
        <f>'building data'!H9</f>
        <v>English</v>
      </c>
    </row>
    <row r="10" spans="1:17" ht="15" customHeight="1" x14ac:dyDescent="0.25">
      <c r="B10" s="136" t="s">
        <v>311</v>
      </c>
      <c r="C10" s="1714">
        <f>'building data'!C10</f>
        <v>27332</v>
      </c>
      <c r="D10" s="1714"/>
      <c r="E10" s="137" t="s">
        <v>320</v>
      </c>
      <c r="F10" s="138" t="str">
        <f>'building data'!H10</f>
        <v>807 E Main St</v>
      </c>
      <c r="G10" s="331"/>
      <c r="H10" s="331"/>
      <c r="I10" s="331"/>
      <c r="J10" s="331"/>
    </row>
    <row r="11" spans="1:17" ht="15" customHeight="1" x14ac:dyDescent="0.25">
      <c r="B11" s="136" t="s">
        <v>312</v>
      </c>
      <c r="C11" s="1714" t="str">
        <f>'building data'!C11</f>
        <v>Ted Bleecker</v>
      </c>
      <c r="D11" s="1714"/>
      <c r="E11" s="139" t="s">
        <v>321</v>
      </c>
      <c r="F11" s="138" t="str">
        <f>'building data'!H12</f>
        <v>ASCE/SEI 7-10</v>
      </c>
      <c r="G11" s="331"/>
      <c r="H11" s="331"/>
      <c r="I11" s="331"/>
      <c r="J11" s="331"/>
    </row>
    <row r="12" spans="1:17" ht="15" customHeight="1" thickBot="1" x14ac:dyDescent="0.3">
      <c r="B12" s="140" t="s">
        <v>313</v>
      </c>
      <c r="C12" s="1715">
        <f ca="1">'building data'!C12</f>
        <v>42649</v>
      </c>
      <c r="D12" s="1715"/>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
        <v>327</v>
      </c>
      <c r="G14" s="424">
        <f>'building data'!C20</f>
        <v>91.44</v>
      </c>
      <c r="H14" s="212" t="s">
        <v>0</v>
      </c>
    </row>
    <row r="15" spans="1:17" ht="15" customHeight="1" x14ac:dyDescent="0.25">
      <c r="A15" s="456"/>
      <c r="B15" s="143" t="s">
        <v>420</v>
      </c>
      <c r="C15" s="357"/>
      <c r="D15" s="445" t="s">
        <v>59</v>
      </c>
      <c r="E15" s="357"/>
      <c r="F15" s="213" t="s">
        <v>328</v>
      </c>
      <c r="G15" s="424">
        <f>'building data'!C21</f>
        <v>91.44</v>
      </c>
      <c r="H15" s="212" t="s">
        <v>0</v>
      </c>
    </row>
    <row r="16" spans="1:17" ht="15" customHeight="1" x14ac:dyDescent="0.25">
      <c r="A16" s="341"/>
      <c r="B16" s="209" t="s">
        <v>423</v>
      </c>
      <c r="C16" s="358">
        <f>'wind load calc_5d'!C40</f>
        <v>9</v>
      </c>
      <c r="D16" s="446">
        <f>G17*G18*C16</f>
        <v>17.947299589199996</v>
      </c>
      <c r="E16" s="357"/>
      <c r="F16" s="213" t="s">
        <v>324</v>
      </c>
      <c r="G16" s="424">
        <f>'building data'!C16</f>
        <v>7.3152000000000008</v>
      </c>
      <c r="H16" s="212" t="s">
        <v>0</v>
      </c>
    </row>
    <row r="17" spans="1:18" ht="15" customHeight="1" x14ac:dyDescent="0.25">
      <c r="A17" s="341"/>
      <c r="C17" s="215"/>
      <c r="D17" s="215"/>
      <c r="E17" s="215"/>
      <c r="F17" s="213" t="s">
        <v>405</v>
      </c>
      <c r="G17" s="424">
        <f>'wind load calc_5d'!F20</f>
        <v>1.9926299999999999</v>
      </c>
      <c r="H17" s="212" t="s">
        <v>0</v>
      </c>
    </row>
    <row r="18" spans="1:18" ht="15" customHeight="1" x14ac:dyDescent="0.25">
      <c r="A18" s="341"/>
      <c r="B18" s="143" t="s">
        <v>421</v>
      </c>
      <c r="C18" s="215"/>
      <c r="D18" s="445" t="s">
        <v>59</v>
      </c>
      <c r="E18" s="357"/>
      <c r="F18" s="213" t="s">
        <v>404</v>
      </c>
      <c r="G18" s="424">
        <f>'wind load calc_5d'!F19</f>
        <v>1.0007599999999999</v>
      </c>
      <c r="H18" s="212" t="s">
        <v>0</v>
      </c>
      <c r="K18" s="455"/>
    </row>
    <row r="19" spans="1:18" ht="15" customHeight="1" x14ac:dyDescent="0.25">
      <c r="A19" s="341"/>
      <c r="B19" s="209" t="s">
        <v>423</v>
      </c>
      <c r="C19" s="358">
        <f>'wind load calc_5d'!G40</f>
        <v>48</v>
      </c>
      <c r="D19" s="446">
        <f>G17*G18*C19</f>
        <v>95.718931142399981</v>
      </c>
      <c r="E19" s="357"/>
      <c r="F19" s="213" t="s">
        <v>45</v>
      </c>
      <c r="G19" s="424">
        <f>MIN('building data'!C18/'building data'!C16,0.2)</f>
        <v>1.7361111111111108E-2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476</v>
      </c>
      <c r="D26" s="460">
        <f ca="1">D50</f>
        <v>-0.19700260492019969</v>
      </c>
      <c r="E26" s="480">
        <f t="shared" ref="E26:M33" ca="1" si="0">E50</f>
        <v>-0.22302822205835282</v>
      </c>
      <c r="F26" s="463">
        <f t="shared" ca="1" si="0"/>
        <v>-0.16893912048756801</v>
      </c>
      <c r="G26" s="542">
        <f t="shared" ca="1" si="0"/>
        <v>-0.17263283450070147</v>
      </c>
      <c r="H26" s="468">
        <f t="shared" ca="1" si="0"/>
        <v>-0.17387030656757835</v>
      </c>
      <c r="I26" s="460">
        <f ca="1">I50</f>
        <v>-0.32901145701825896</v>
      </c>
      <c r="J26" s="480">
        <f t="shared" ca="1" si="0"/>
        <v>-0.4121080295863252</v>
      </c>
      <c r="K26" s="463">
        <f t="shared" ca="1" si="0"/>
        <v>-0.28644492646374708</v>
      </c>
      <c r="L26" s="542">
        <f t="shared" ca="1" si="0"/>
        <v>-0.24959191987918411</v>
      </c>
      <c r="M26" s="469">
        <f t="shared" ca="1" si="0"/>
        <v>-0.25702081796115911</v>
      </c>
      <c r="R26"/>
    </row>
    <row r="27" spans="1:18" ht="15" customHeight="1" thickBot="1" x14ac:dyDescent="0.3">
      <c r="B27" s="1717"/>
      <c r="C27" s="275" t="s">
        <v>462</v>
      </c>
      <c r="D27" s="461">
        <f t="shared" ref="D27:H33" ca="1" si="1">D51</f>
        <v>-0.15</v>
      </c>
      <c r="E27" s="482">
        <f t="shared" ca="1" si="1"/>
        <v>-0.20209943110023135</v>
      </c>
      <c r="F27" s="466">
        <f t="shared" ca="1" si="1"/>
        <v>-0.1559161120744437</v>
      </c>
      <c r="G27" s="543">
        <f t="shared" ca="1" si="1"/>
        <v>-0.16361529003093364</v>
      </c>
      <c r="H27" s="464">
        <f t="shared" ca="1" si="1"/>
        <v>-0.17870892179151812</v>
      </c>
      <c r="I27" s="461">
        <f t="shared" ca="1" si="0"/>
        <v>-0.25628602116013754</v>
      </c>
      <c r="J27" s="482">
        <f t="shared" ca="1" si="0"/>
        <v>-0.38580587725741877</v>
      </c>
      <c r="K27" s="466">
        <f t="shared" ca="1" si="0"/>
        <v>-0.2146896808215441</v>
      </c>
      <c r="L27" s="543">
        <f t="shared" ca="1" si="0"/>
        <v>-0.23819174419277514</v>
      </c>
      <c r="M27" s="471">
        <f t="shared" ca="1" si="0"/>
        <v>-0.25702081796115911</v>
      </c>
      <c r="R27"/>
    </row>
    <row r="28" spans="1:18" ht="15" customHeight="1" x14ac:dyDescent="0.25">
      <c r="B28" s="1716" t="s">
        <v>477</v>
      </c>
      <c r="C28" s="241" t="s">
        <v>476</v>
      </c>
      <c r="D28" s="460">
        <f t="shared" ca="1" si="1"/>
        <v>-0.18540313070608122</v>
      </c>
      <c r="E28" s="480">
        <f t="shared" ca="1" si="1"/>
        <v>-0.22757658922866755</v>
      </c>
      <c r="F28" s="463">
        <f t="shared" ca="1" si="1"/>
        <v>-0.17000494597255378</v>
      </c>
      <c r="G28" s="542">
        <f t="shared" ca="1" si="1"/>
        <v>-0.17915940140084177</v>
      </c>
      <c r="H28" s="468">
        <f t="shared" ca="1" si="1"/>
        <v>-0.17922535507802873</v>
      </c>
      <c r="I28" s="460">
        <f t="shared" ca="1" si="0"/>
        <v>-0.27013541713259681</v>
      </c>
      <c r="J28" s="480">
        <f t="shared" ca="1" si="0"/>
        <v>-0.29157888628640072</v>
      </c>
      <c r="K28" s="463">
        <f t="shared" ca="1" si="0"/>
        <v>-0.23432132301306846</v>
      </c>
      <c r="L28" s="542">
        <f t="shared" ca="1" si="0"/>
        <v>-0.21979595993959206</v>
      </c>
      <c r="M28" s="469">
        <f t="shared" ca="1" si="0"/>
        <v>-0.23530758405437743</v>
      </c>
      <c r="R28"/>
    </row>
    <row r="29" spans="1:18" ht="15" customHeight="1" thickBot="1" x14ac:dyDescent="0.3">
      <c r="B29" s="1717"/>
      <c r="C29" s="524" t="s">
        <v>462</v>
      </c>
      <c r="D29" s="462">
        <f t="shared" ca="1" si="1"/>
        <v>-0.15</v>
      </c>
      <c r="E29" s="483">
        <f t="shared" ca="1" si="1"/>
        <v>-0.21871156334851691</v>
      </c>
      <c r="F29" s="467">
        <f t="shared" ca="1" si="1"/>
        <v>-0.15055172220738045</v>
      </c>
      <c r="G29" s="544">
        <f t="shared" ca="1" si="1"/>
        <v>-0.1541691740185602</v>
      </c>
      <c r="H29" s="465">
        <f t="shared" ca="1" si="1"/>
        <v>-0.16077577854268627</v>
      </c>
      <c r="I29" s="462">
        <f t="shared" ca="1" si="0"/>
        <v>-0.2085957248453599</v>
      </c>
      <c r="J29" s="483">
        <f t="shared" ca="1" si="0"/>
        <v>-0.27821668820142481</v>
      </c>
      <c r="K29" s="467">
        <f t="shared" ca="1" si="0"/>
        <v>-0.1591022574908941</v>
      </c>
      <c r="L29" s="544">
        <f t="shared" ca="1" si="0"/>
        <v>-0.17732186637994851</v>
      </c>
      <c r="M29" s="470">
        <f t="shared" ca="1" si="0"/>
        <v>-0.1916752361966538</v>
      </c>
      <c r="R29"/>
    </row>
    <row r="30" spans="1:18" ht="15" customHeight="1" x14ac:dyDescent="0.25">
      <c r="B30" s="1716" t="s">
        <v>478</v>
      </c>
      <c r="C30" s="241" t="s">
        <v>476</v>
      </c>
      <c r="D30" s="460">
        <f t="shared" ca="1" si="1"/>
        <v>-0.15859828186401426</v>
      </c>
      <c r="E30" s="480">
        <f t="shared" ca="1" si="1"/>
        <v>-0.19703140274762021</v>
      </c>
      <c r="F30" s="463">
        <f t="shared" ca="1" si="1"/>
        <v>-0.14554966724466623</v>
      </c>
      <c r="G30" s="542">
        <f t="shared" ca="1" si="1"/>
        <v>-0.15672350913163197</v>
      </c>
      <c r="H30" s="468">
        <f t="shared" ca="1" si="1"/>
        <v>-0.14000000000000001</v>
      </c>
      <c r="I30" s="460">
        <f t="shared" ca="1" si="0"/>
        <v>-0.27943498844426617</v>
      </c>
      <c r="J30" s="480">
        <f t="shared" ca="1" si="0"/>
        <v>-0.25067913229920674</v>
      </c>
      <c r="K30" s="463">
        <f t="shared" ca="1" si="0"/>
        <v>-0.20645323958996015</v>
      </c>
      <c r="L30" s="542">
        <f t="shared" ca="1" si="0"/>
        <v>-0.19817753164645441</v>
      </c>
      <c r="M30" s="469">
        <f t="shared" ca="1" si="0"/>
        <v>-0.12</v>
      </c>
      <c r="R30"/>
    </row>
    <row r="31" spans="1:18" ht="15" customHeight="1" thickBot="1" x14ac:dyDescent="0.3">
      <c r="B31" s="1717"/>
      <c r="C31" s="524" t="s">
        <v>462</v>
      </c>
      <c r="D31" s="462">
        <f t="shared" ca="1" si="1"/>
        <v>-0.15</v>
      </c>
      <c r="E31" s="483">
        <f t="shared" ca="1" si="1"/>
        <v>-0.20294733630104622</v>
      </c>
      <c r="F31" s="467">
        <f t="shared" ca="1" si="1"/>
        <v>-0.13</v>
      </c>
      <c r="G31" s="544">
        <f t="shared" ca="1" si="1"/>
        <v>-0.14000000000000001</v>
      </c>
      <c r="H31" s="465">
        <f t="shared" ca="1" si="1"/>
        <v>-0.14000000000000001</v>
      </c>
      <c r="I31" s="462">
        <f t="shared" ca="1" si="0"/>
        <v>-0.16692404114049589</v>
      </c>
      <c r="J31" s="483">
        <f t="shared" ca="1" si="0"/>
        <v>-0.24958313878246352</v>
      </c>
      <c r="K31" s="467">
        <f t="shared" ca="1" si="0"/>
        <v>-0.15619658579439863</v>
      </c>
      <c r="L31" s="544">
        <f t="shared" ca="1" si="0"/>
        <v>-0.14519358047041556</v>
      </c>
      <c r="M31" s="470">
        <f t="shared" ca="1" si="0"/>
        <v>-0.12</v>
      </c>
      <c r="R31"/>
    </row>
    <row r="32" spans="1:18" ht="15" customHeight="1" x14ac:dyDescent="0.25">
      <c r="B32" s="1716" t="s">
        <v>465</v>
      </c>
      <c r="C32" s="241" t="s">
        <v>476</v>
      </c>
      <c r="D32" s="460">
        <f t="shared" ca="1" si="1"/>
        <v>-0.17347161663633265</v>
      </c>
      <c r="E32" s="480">
        <f t="shared" ca="1" si="1"/>
        <v>-0.19270165282333807</v>
      </c>
      <c r="F32" s="463">
        <f t="shared" ca="1" si="1"/>
        <v>-0.16013463940487116</v>
      </c>
      <c r="G32" s="542">
        <f t="shared" ca="1" si="1"/>
        <v>-0.14836175456581599</v>
      </c>
      <c r="H32" s="468">
        <f t="shared" ca="1" si="1"/>
        <v>-0.14000000000000001</v>
      </c>
      <c r="I32" s="460">
        <f t="shared" ca="1" si="0"/>
        <v>-0.24285476220291077</v>
      </c>
      <c r="J32" s="480">
        <f t="shared" ca="1" si="0"/>
        <v>-0.2313422528117996</v>
      </c>
      <c r="K32" s="463">
        <f t="shared" ca="1" si="0"/>
        <v>-0.21407745849022475</v>
      </c>
      <c r="L32" s="542">
        <f t="shared" ca="1" si="0"/>
        <v>-0.17416342290199252</v>
      </c>
      <c r="M32" s="469">
        <f t="shared" ca="1" si="0"/>
        <v>-0.12452334376229594</v>
      </c>
      <c r="R32"/>
    </row>
    <row r="33" spans="2:18" ht="15" customHeight="1" thickBot="1" x14ac:dyDescent="0.3">
      <c r="B33" s="1717"/>
      <c r="C33" s="524" t="s">
        <v>462</v>
      </c>
      <c r="D33" s="462">
        <f t="shared" ca="1" si="1"/>
        <v>-0.15</v>
      </c>
      <c r="E33" s="483">
        <f t="shared" ca="1" si="1"/>
        <v>-0.19608750393160157</v>
      </c>
      <c r="F33" s="467">
        <f t="shared" ca="1" si="1"/>
        <v>-0.13</v>
      </c>
      <c r="G33" s="544">
        <f t="shared" ca="1" si="1"/>
        <v>-0.13</v>
      </c>
      <c r="H33" s="465">
        <f t="shared" ca="1" si="1"/>
        <v>-0.14000000000000001</v>
      </c>
      <c r="I33" s="462">
        <f t="shared" ca="1" si="0"/>
        <v>-0.17232789560562783</v>
      </c>
      <c r="J33" s="483">
        <f t="shared" ca="1" si="0"/>
        <v>-0.21869791016064341</v>
      </c>
      <c r="K33" s="467">
        <f t="shared" ca="1" si="0"/>
        <v>-0.16056268342679841</v>
      </c>
      <c r="L33" s="544">
        <f t="shared" ca="1" si="0"/>
        <v>-0.13779037070562333</v>
      </c>
      <c r="M33" s="470">
        <f t="shared" ca="1" si="0"/>
        <v>-0.12</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1st-10th module</v>
      </c>
      <c r="D35" s="460">
        <f ca="1">D59</f>
        <v>-5.1511488083914895E-3</v>
      </c>
      <c r="E35" s="480">
        <f t="shared" ref="E35:M42" ca="1" si="2">E59</f>
        <v>3.6688387498149587E-2</v>
      </c>
      <c r="F35" s="463">
        <f t="shared" ca="1" si="2"/>
        <v>7.1972433760657525E-2</v>
      </c>
      <c r="G35" s="542">
        <f t="shared" ca="1" si="2"/>
        <v>1.0567451240171073E-2</v>
      </c>
      <c r="H35" s="468">
        <f t="shared" ca="1" si="2"/>
        <v>1.4911139492671142E-2</v>
      </c>
      <c r="I35" s="460">
        <f t="shared" ca="1" si="2"/>
        <v>-0.36139215690620818</v>
      </c>
      <c r="J35" s="480">
        <f t="shared" ca="1" si="2"/>
        <v>0.13671622488929014</v>
      </c>
      <c r="K35" s="463">
        <f t="shared" ca="1" si="2"/>
        <v>0.27868374555096848</v>
      </c>
      <c r="L35" s="542">
        <f t="shared" ca="1" si="2"/>
        <v>-1.5041990675863856E-2</v>
      </c>
      <c r="M35" s="469">
        <f t="shared" ca="1" si="2"/>
        <v>0.18210534286733593</v>
      </c>
      <c r="R35"/>
    </row>
    <row r="36" spans="2:18" ht="15" customHeight="1" thickBot="1" x14ac:dyDescent="0.3">
      <c r="B36" s="1717"/>
      <c r="C36" s="278" t="str">
        <f>$C$27</f>
        <v>Interior modules</v>
      </c>
      <c r="D36" s="461">
        <f t="shared" ref="D36:H42" ca="1" si="3">D60</f>
        <v>1.7265662984144219E-2</v>
      </c>
      <c r="E36" s="482">
        <f t="shared" ca="1" si="3"/>
        <v>4.4357842132075762E-2</v>
      </c>
      <c r="F36" s="466">
        <f t="shared" ca="1" si="3"/>
        <v>6.8944606051849752E-2</v>
      </c>
      <c r="G36" s="543">
        <f t="shared" ca="1" si="3"/>
        <v>3.5893651954334936E-2</v>
      </c>
      <c r="H36" s="464">
        <f t="shared" ca="1" si="3"/>
        <v>1.5468085491114456E-2</v>
      </c>
      <c r="I36" s="461">
        <f t="shared" ca="1" si="2"/>
        <v>-0.24783150718401609</v>
      </c>
      <c r="J36" s="482">
        <f t="shared" ca="1" si="2"/>
        <v>6.4981229604872473E-2</v>
      </c>
      <c r="K36" s="466">
        <f t="shared" ca="1" si="2"/>
        <v>0.14551395945180159</v>
      </c>
      <c r="L36" s="543">
        <f t="shared" ca="1" si="2"/>
        <v>0.1205214998658596</v>
      </c>
      <c r="M36" s="471">
        <f t="shared" ca="1" si="2"/>
        <v>0.15348578470717331</v>
      </c>
      <c r="R36"/>
    </row>
    <row r="37" spans="2:18" ht="15" customHeight="1" x14ac:dyDescent="0.25">
      <c r="B37" s="1716" t="str">
        <f>$B$28</f>
        <v>Inner rows, 2nd to 4th row from north</v>
      </c>
      <c r="C37" s="183" t="str">
        <f>$C$26</f>
        <v>1st-10th module</v>
      </c>
      <c r="D37" s="460">
        <f t="shared" ca="1" si="3"/>
        <v>5.1743896961319411E-2</v>
      </c>
      <c r="E37" s="480">
        <f t="shared" ca="1" si="3"/>
        <v>3.8106083085550239E-2</v>
      </c>
      <c r="F37" s="463">
        <f t="shared" ca="1" si="3"/>
        <v>6.475471099781599E-2</v>
      </c>
      <c r="G37" s="542">
        <f t="shared" ca="1" si="3"/>
        <v>5.2467936480042124E-3</v>
      </c>
      <c r="H37" s="468">
        <f t="shared" ca="1" si="3"/>
        <v>2.0229284671253768E-3</v>
      </c>
      <c r="I37" s="460">
        <f t="shared" ca="1" si="2"/>
        <v>0.12701208472876624</v>
      </c>
      <c r="J37" s="480">
        <f t="shared" ca="1" si="2"/>
        <v>0.12575443911706355</v>
      </c>
      <c r="K37" s="463">
        <f t="shared" ca="1" si="2"/>
        <v>-9.0611378784955565E-2</v>
      </c>
      <c r="L37" s="542">
        <f t="shared" ca="1" si="2"/>
        <v>0.14562116908815917</v>
      </c>
      <c r="M37" s="469">
        <f t="shared" ca="1" si="2"/>
        <v>-6.2362238002940593E-2</v>
      </c>
      <c r="R37"/>
    </row>
    <row r="38" spans="2:18" ht="15" customHeight="1" thickBot="1" x14ac:dyDescent="0.3">
      <c r="B38" s="1717"/>
      <c r="C38" s="278" t="str">
        <f>$C$27</f>
        <v>Interior modules</v>
      </c>
      <c r="D38" s="462">
        <f t="shared" ca="1" si="3"/>
        <v>1.7265662984144219E-2</v>
      </c>
      <c r="E38" s="483">
        <f t="shared" ca="1" si="3"/>
        <v>3.8746027760233344E-2</v>
      </c>
      <c r="F38" s="467">
        <f t="shared" ca="1" si="3"/>
        <v>5.4029286231111244E-2</v>
      </c>
      <c r="G38" s="544">
        <f t="shared" ca="1" si="3"/>
        <v>8.4422023112491161E-3</v>
      </c>
      <c r="H38" s="465">
        <f t="shared" ca="1" si="3"/>
        <v>-1.0069933727048825E-4</v>
      </c>
      <c r="I38" s="462">
        <f t="shared" ca="1" si="2"/>
        <v>-0.22887233501652407</v>
      </c>
      <c r="J38" s="483">
        <f t="shared" ca="1" si="2"/>
        <v>0.10340788963337254</v>
      </c>
      <c r="K38" s="467">
        <f t="shared" ca="1" si="2"/>
        <v>0.16979605680504839</v>
      </c>
      <c r="L38" s="544">
        <f t="shared" ca="1" si="2"/>
        <v>6.6222412849202578E-2</v>
      </c>
      <c r="M38" s="470">
        <f t="shared" ca="1" si="2"/>
        <v>0.14232746587326398</v>
      </c>
      <c r="R38"/>
    </row>
    <row r="39" spans="2:18" ht="15" customHeight="1" x14ac:dyDescent="0.25">
      <c r="B39" s="1716" t="str">
        <f>$B$30</f>
        <v>Inner rows, from 5th row from north</v>
      </c>
      <c r="C39" s="183" t="str">
        <f>$C$26</f>
        <v>1st-10th module</v>
      </c>
      <c r="D39" s="460">
        <f t="shared" ca="1" si="3"/>
        <v>1.8255363230189361E-2</v>
      </c>
      <c r="E39" s="480">
        <f t="shared" ca="1" si="3"/>
        <v>3.0508060434244613E-2</v>
      </c>
      <c r="F39" s="463">
        <f t="shared" ca="1" si="3"/>
        <v>5.8107114915166812E-2</v>
      </c>
      <c r="G39" s="542">
        <f t="shared" ca="1" si="3"/>
        <v>4.8466006751388653E-3</v>
      </c>
      <c r="H39" s="468">
        <f t="shared" ca="1" si="3"/>
        <v>-2.4920832742785864E-3</v>
      </c>
      <c r="I39" s="460">
        <f t="shared" ca="1" si="2"/>
        <v>0.15164440073492272</v>
      </c>
      <c r="J39" s="480">
        <f t="shared" ca="1" si="2"/>
        <v>0.20286660212400529</v>
      </c>
      <c r="K39" s="463">
        <f t="shared" ca="1" si="2"/>
        <v>3.3087988297098705E-2</v>
      </c>
      <c r="L39" s="542">
        <f t="shared" ca="1" si="2"/>
        <v>0.13923056319612548</v>
      </c>
      <c r="M39" s="469">
        <f t="shared" ca="1" si="2"/>
        <v>-2.8223803871824861E-2</v>
      </c>
      <c r="R39"/>
    </row>
    <row r="40" spans="2:18" ht="15" customHeight="1" thickBot="1" x14ac:dyDescent="0.3">
      <c r="B40" s="1717"/>
      <c r="C40" s="278" t="str">
        <f>$C$27</f>
        <v>Interior modules</v>
      </c>
      <c r="D40" s="462">
        <f t="shared" ca="1" si="3"/>
        <v>1.7265662984144219E-2</v>
      </c>
      <c r="E40" s="483">
        <f t="shared" ca="1" si="3"/>
        <v>3.7587971257739695E-2</v>
      </c>
      <c r="F40" s="467">
        <f t="shared" ca="1" si="3"/>
        <v>7.0783680764698056E-2</v>
      </c>
      <c r="G40" s="544">
        <f t="shared" ca="1" si="3"/>
        <v>2.2369735345524604E-2</v>
      </c>
      <c r="H40" s="465">
        <f t="shared" ca="1" si="3"/>
        <v>-2.4920832742785864E-3</v>
      </c>
      <c r="I40" s="462">
        <f t="shared" ca="1" si="2"/>
        <v>0.13187631405116734</v>
      </c>
      <c r="J40" s="483">
        <f t="shared" ca="1" si="2"/>
        <v>0.19401804350278007</v>
      </c>
      <c r="K40" s="467">
        <f t="shared" ca="1" si="2"/>
        <v>0.17136374500011592</v>
      </c>
      <c r="L40" s="544">
        <f t="shared" ca="1" si="2"/>
        <v>0.12040018275083529</v>
      </c>
      <c r="M40" s="470">
        <f t="shared" ca="1" si="2"/>
        <v>-2.8223803871824861E-2</v>
      </c>
      <c r="R40"/>
    </row>
    <row r="41" spans="2:18" ht="15" customHeight="1" x14ac:dyDescent="0.25">
      <c r="B41" s="1716" t="str">
        <f>$B$32</f>
        <v>South row</v>
      </c>
      <c r="C41" s="183" t="str">
        <f>$C$26</f>
        <v>1st-10th module</v>
      </c>
      <c r="D41" s="460">
        <f t="shared" ca="1" si="3"/>
        <v>2.4819898441123558E-2</v>
      </c>
      <c r="E41" s="480">
        <f t="shared" ca="1" si="3"/>
        <v>3.8147495955747034E-2</v>
      </c>
      <c r="F41" s="463">
        <f t="shared" ca="1" si="3"/>
        <v>6.3739068631938969E-2</v>
      </c>
      <c r="G41" s="542">
        <f t="shared" ca="1" si="3"/>
        <v>2.3332210254121511E-2</v>
      </c>
      <c r="H41" s="468">
        <f t="shared" ca="1" si="3"/>
        <v>-2.4920832742785864E-3</v>
      </c>
      <c r="I41" s="460">
        <f t="shared" ca="1" si="2"/>
        <v>0.37411273081864599</v>
      </c>
      <c r="J41" s="480">
        <f t="shared" ca="1" si="2"/>
        <v>-9.1908760293275844E-3</v>
      </c>
      <c r="K41" s="463">
        <f t="shared" ca="1" si="2"/>
        <v>0.16151473558966439</v>
      </c>
      <c r="L41" s="542">
        <f t="shared" ca="1" si="2"/>
        <v>0.17891149003509216</v>
      </c>
      <c r="M41" s="469">
        <f t="shared" ca="1" si="2"/>
        <v>-2.2404772857911752E-2</v>
      </c>
      <c r="R41"/>
    </row>
    <row r="42" spans="2:18" ht="15" customHeight="1" thickBot="1" x14ac:dyDescent="0.3">
      <c r="B42" s="1717"/>
      <c r="C42" s="278" t="str">
        <f>$C$27</f>
        <v>Interior modules</v>
      </c>
      <c r="D42" s="462">
        <f t="shared" ca="1" si="3"/>
        <v>1.7265662984144219E-2</v>
      </c>
      <c r="E42" s="483">
        <f t="shared" ca="1" si="3"/>
        <v>3.6323216316738932E-2</v>
      </c>
      <c r="F42" s="467">
        <f t="shared" ca="1" si="3"/>
        <v>7.0783680764698056E-2</v>
      </c>
      <c r="G42" s="544">
        <f t="shared" ca="1" si="3"/>
        <v>7.0783680764698056E-2</v>
      </c>
      <c r="H42" s="465">
        <f t="shared" ca="1" si="3"/>
        <v>-2.4920832742785864E-3</v>
      </c>
      <c r="I42" s="462">
        <f ca="1">I66</f>
        <v>2.5084089076183983E-2</v>
      </c>
      <c r="J42" s="483">
        <f t="shared" ca="1" si="2"/>
        <v>5.5600696927049567E-2</v>
      </c>
      <c r="K42" s="467">
        <f t="shared" ca="1" si="2"/>
        <v>0.18495285751799867</v>
      </c>
      <c r="L42" s="544">
        <f t="shared" ca="1" si="2"/>
        <v>0.18129439413206938</v>
      </c>
      <c r="M42" s="470">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13" customFormat="1" ht="15" customHeight="1" thickBot="1" x14ac:dyDescent="0.3">
      <c r="B44" s="611"/>
      <c r="C44" s="612"/>
      <c r="D44" s="380"/>
      <c r="E44" s="380"/>
      <c r="F44" s="380"/>
      <c r="G44" s="380"/>
      <c r="H44" s="380"/>
      <c r="I44" s="380"/>
      <c r="J44" s="380"/>
      <c r="K44" s="380"/>
      <c r="L44" s="380"/>
      <c r="M44" s="380"/>
      <c r="N44" s="380"/>
      <c r="O44" s="380"/>
      <c r="P44" s="380"/>
      <c r="Q44" s="380"/>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1st-10th module</v>
      </c>
      <c r="D50" s="189">
        <f ca="1">D101</f>
        <v>-0.19700260492019969</v>
      </c>
      <c r="E50" s="190">
        <f t="shared" ref="E50:M57" ca="1" si="4">E101</f>
        <v>-0.22302822205835282</v>
      </c>
      <c r="F50" s="190">
        <f t="shared" ca="1" si="4"/>
        <v>-0.16893912048756801</v>
      </c>
      <c r="G50" s="573">
        <f t="shared" ca="1" si="4"/>
        <v>-0.17263283450070147</v>
      </c>
      <c r="H50" s="573">
        <f t="shared" ca="1" si="4"/>
        <v>-0.17387030656757835</v>
      </c>
      <c r="I50" s="189">
        <f ca="1">I101</f>
        <v>-0.32901145701825896</v>
      </c>
      <c r="J50" s="190">
        <f t="shared" ca="1" si="4"/>
        <v>-0.4121080295863252</v>
      </c>
      <c r="K50" s="190">
        <f t="shared" ca="1" si="4"/>
        <v>-0.28644492646374708</v>
      </c>
      <c r="L50" s="190">
        <f t="shared" ca="1" si="4"/>
        <v>-0.24959191987918411</v>
      </c>
      <c r="M50" s="191">
        <f t="shared" ca="1" si="4"/>
        <v>-0.25702081796115911</v>
      </c>
      <c r="R50"/>
    </row>
    <row r="51" spans="2:18" ht="15" customHeight="1" thickBot="1" x14ac:dyDescent="0.3">
      <c r="B51" s="1717"/>
      <c r="C51" s="278" t="str">
        <f>$C$27</f>
        <v>Interior modules</v>
      </c>
      <c r="D51" s="578">
        <f t="shared" ref="D51:D57" ca="1" si="5">D102</f>
        <v>-0.15</v>
      </c>
      <c r="E51" s="579">
        <f t="shared" ca="1" si="4"/>
        <v>-0.20209943110023135</v>
      </c>
      <c r="F51" s="579">
        <f t="shared" ca="1" si="4"/>
        <v>-0.1559161120744437</v>
      </c>
      <c r="G51" s="580">
        <f t="shared" ca="1" si="4"/>
        <v>-0.16361529003093364</v>
      </c>
      <c r="H51" s="580">
        <f t="shared" ca="1" si="4"/>
        <v>-0.17870892179151812</v>
      </c>
      <c r="I51" s="578">
        <f t="shared" ca="1" si="4"/>
        <v>-0.25628602116013754</v>
      </c>
      <c r="J51" s="579">
        <f t="shared" ca="1" si="4"/>
        <v>-0.38580587725741877</v>
      </c>
      <c r="K51" s="579">
        <f t="shared" ca="1" si="4"/>
        <v>-0.2146896808215441</v>
      </c>
      <c r="L51" s="579">
        <f t="shared" ca="1" si="4"/>
        <v>-0.23819174419277514</v>
      </c>
      <c r="M51" s="581">
        <f t="shared" ca="1" si="4"/>
        <v>-0.25702081796115911</v>
      </c>
      <c r="R51"/>
    </row>
    <row r="52" spans="2:18" ht="15" customHeight="1" x14ac:dyDescent="0.25">
      <c r="B52" s="1716" t="str">
        <f>$B$28</f>
        <v>Inner rows, 2nd to 4th row from north</v>
      </c>
      <c r="C52" s="183" t="str">
        <f>$C$26</f>
        <v>1st-10th module</v>
      </c>
      <c r="D52" s="189">
        <f t="shared" ca="1" si="5"/>
        <v>-0.18540313070608122</v>
      </c>
      <c r="E52" s="190">
        <f t="shared" ca="1" si="4"/>
        <v>-0.22757658922866755</v>
      </c>
      <c r="F52" s="190">
        <f t="shared" ca="1" si="4"/>
        <v>-0.17000494597255378</v>
      </c>
      <c r="G52" s="573">
        <f t="shared" ca="1" si="4"/>
        <v>-0.17915940140084177</v>
      </c>
      <c r="H52" s="573">
        <f t="shared" ca="1" si="4"/>
        <v>-0.17922535507802873</v>
      </c>
      <c r="I52" s="189">
        <f t="shared" ca="1" si="4"/>
        <v>-0.27013541713259681</v>
      </c>
      <c r="J52" s="190">
        <f t="shared" ca="1" si="4"/>
        <v>-0.29157888628640072</v>
      </c>
      <c r="K52" s="190">
        <f t="shared" ca="1" si="4"/>
        <v>-0.23432132301306846</v>
      </c>
      <c r="L52" s="190">
        <f t="shared" ca="1" si="4"/>
        <v>-0.21979595993959206</v>
      </c>
      <c r="M52" s="191">
        <f t="shared" ca="1" si="4"/>
        <v>-0.23530758405437743</v>
      </c>
      <c r="R52"/>
    </row>
    <row r="53" spans="2:18" ht="15" customHeight="1" thickBot="1" x14ac:dyDescent="0.3">
      <c r="B53" s="1717"/>
      <c r="C53" s="278" t="str">
        <f>$C$27</f>
        <v>Interior modules</v>
      </c>
      <c r="D53" s="578">
        <f t="shared" ca="1" si="5"/>
        <v>-0.15</v>
      </c>
      <c r="E53" s="579">
        <f t="shared" ca="1" si="4"/>
        <v>-0.21871156334851691</v>
      </c>
      <c r="F53" s="579">
        <f t="shared" ca="1" si="4"/>
        <v>-0.15055172220738045</v>
      </c>
      <c r="G53" s="580">
        <f t="shared" ca="1" si="4"/>
        <v>-0.1541691740185602</v>
      </c>
      <c r="H53" s="580">
        <f t="shared" ca="1" si="4"/>
        <v>-0.16077577854268627</v>
      </c>
      <c r="I53" s="578">
        <f t="shared" ca="1" si="4"/>
        <v>-0.2085957248453599</v>
      </c>
      <c r="J53" s="579">
        <f t="shared" ca="1" si="4"/>
        <v>-0.27821668820142481</v>
      </c>
      <c r="K53" s="579">
        <f t="shared" ca="1" si="4"/>
        <v>-0.1591022574908941</v>
      </c>
      <c r="L53" s="579">
        <f t="shared" ca="1" si="4"/>
        <v>-0.17732186637994851</v>
      </c>
      <c r="M53" s="581">
        <f t="shared" ca="1" si="4"/>
        <v>-0.1916752361966538</v>
      </c>
      <c r="R53"/>
    </row>
    <row r="54" spans="2:18" ht="15" customHeight="1" x14ac:dyDescent="0.25">
      <c r="B54" s="1716" t="str">
        <f>$B$30</f>
        <v>Inner rows, from 5th row from north</v>
      </c>
      <c r="C54" s="183" t="str">
        <f>$C$26</f>
        <v>1st-10th module</v>
      </c>
      <c r="D54" s="189">
        <f t="shared" ca="1" si="5"/>
        <v>-0.15859828186401426</v>
      </c>
      <c r="E54" s="190">
        <f t="shared" ca="1" si="4"/>
        <v>-0.19703140274762021</v>
      </c>
      <c r="F54" s="190">
        <f t="shared" ca="1" si="4"/>
        <v>-0.14554966724466623</v>
      </c>
      <c r="G54" s="573">
        <f t="shared" ca="1" si="4"/>
        <v>-0.15672350913163197</v>
      </c>
      <c r="H54" s="573">
        <f t="shared" ca="1" si="4"/>
        <v>-0.14000000000000001</v>
      </c>
      <c r="I54" s="189">
        <f t="shared" ca="1" si="4"/>
        <v>-0.27943498844426617</v>
      </c>
      <c r="J54" s="190">
        <f t="shared" ca="1" si="4"/>
        <v>-0.25067913229920674</v>
      </c>
      <c r="K54" s="190">
        <f t="shared" ca="1" si="4"/>
        <v>-0.20645323958996015</v>
      </c>
      <c r="L54" s="190">
        <f t="shared" ca="1" si="4"/>
        <v>-0.19817753164645441</v>
      </c>
      <c r="M54" s="191">
        <f t="shared" ca="1" si="4"/>
        <v>-0.12</v>
      </c>
      <c r="R54"/>
    </row>
    <row r="55" spans="2:18" ht="15" customHeight="1" thickBot="1" x14ac:dyDescent="0.3">
      <c r="B55" s="1717"/>
      <c r="C55" s="278" t="str">
        <f>$C$27</f>
        <v>Interior modules</v>
      </c>
      <c r="D55" s="582">
        <f t="shared" ca="1" si="5"/>
        <v>-0.15</v>
      </c>
      <c r="E55" s="583">
        <f t="shared" ca="1" si="4"/>
        <v>-0.20294733630104622</v>
      </c>
      <c r="F55" s="583">
        <f t="shared" ca="1" si="4"/>
        <v>-0.13</v>
      </c>
      <c r="G55" s="584">
        <f t="shared" ca="1" si="4"/>
        <v>-0.14000000000000001</v>
      </c>
      <c r="H55" s="584">
        <f t="shared" ca="1" si="4"/>
        <v>-0.14000000000000001</v>
      </c>
      <c r="I55" s="582">
        <f t="shared" ca="1" si="4"/>
        <v>-0.16692404114049589</v>
      </c>
      <c r="J55" s="583">
        <f t="shared" ca="1" si="4"/>
        <v>-0.24958313878246352</v>
      </c>
      <c r="K55" s="583">
        <f t="shared" ca="1" si="4"/>
        <v>-0.15619658579439863</v>
      </c>
      <c r="L55" s="583">
        <f t="shared" ca="1" si="4"/>
        <v>-0.14519358047041556</v>
      </c>
      <c r="M55" s="585">
        <f t="shared" ca="1" si="4"/>
        <v>-0.12</v>
      </c>
      <c r="R55"/>
    </row>
    <row r="56" spans="2:18" ht="15" customHeight="1" x14ac:dyDescent="0.25">
      <c r="B56" s="1716" t="str">
        <f>$B$32</f>
        <v>South row</v>
      </c>
      <c r="C56" s="183" t="str">
        <f>$C$26</f>
        <v>1st-10th module</v>
      </c>
      <c r="D56" s="189">
        <f t="shared" ca="1" si="5"/>
        <v>-0.17347161663633265</v>
      </c>
      <c r="E56" s="190">
        <f t="shared" ca="1" si="4"/>
        <v>-0.19270165282333807</v>
      </c>
      <c r="F56" s="190">
        <f t="shared" ca="1" si="4"/>
        <v>-0.16013463940487116</v>
      </c>
      <c r="G56" s="573">
        <f t="shared" ca="1" si="4"/>
        <v>-0.14836175456581599</v>
      </c>
      <c r="H56" s="573">
        <f t="shared" ca="1" si="4"/>
        <v>-0.14000000000000001</v>
      </c>
      <c r="I56" s="189">
        <f t="shared" ca="1" si="4"/>
        <v>-0.24285476220291077</v>
      </c>
      <c r="J56" s="190">
        <f t="shared" ca="1" si="4"/>
        <v>-0.2313422528117996</v>
      </c>
      <c r="K56" s="190">
        <f t="shared" ca="1" si="4"/>
        <v>-0.21407745849022475</v>
      </c>
      <c r="L56" s="190">
        <f t="shared" ca="1" si="4"/>
        <v>-0.17416342290199252</v>
      </c>
      <c r="M56" s="191">
        <f t="shared" ca="1" si="4"/>
        <v>-0.12452334376229594</v>
      </c>
      <c r="R56"/>
    </row>
    <row r="57" spans="2:18" ht="15" customHeight="1" thickBot="1" x14ac:dyDescent="0.3">
      <c r="B57" s="1717"/>
      <c r="C57" s="278" t="str">
        <f>$C$27</f>
        <v>Interior modules</v>
      </c>
      <c r="D57" s="578">
        <f t="shared" ca="1" si="5"/>
        <v>-0.15</v>
      </c>
      <c r="E57" s="579">
        <f t="shared" ca="1" si="4"/>
        <v>-0.19608750393160157</v>
      </c>
      <c r="F57" s="579">
        <f t="shared" ca="1" si="4"/>
        <v>-0.13</v>
      </c>
      <c r="G57" s="580">
        <f t="shared" ca="1" si="4"/>
        <v>-0.13</v>
      </c>
      <c r="H57" s="580">
        <f ca="1">H108</f>
        <v>-0.14000000000000001</v>
      </c>
      <c r="I57" s="578">
        <f ca="1">I108</f>
        <v>-0.17232789560562783</v>
      </c>
      <c r="J57" s="579">
        <f t="shared" ca="1" si="4"/>
        <v>-0.21869791016064341</v>
      </c>
      <c r="K57" s="579">
        <f t="shared" ca="1" si="4"/>
        <v>-0.16056268342679841</v>
      </c>
      <c r="L57" s="579">
        <f t="shared" ca="1" si="4"/>
        <v>-0.13779037070562333</v>
      </c>
      <c r="M57" s="581">
        <f ca="1">M108</f>
        <v>-0.12</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1st-10th module</v>
      </c>
      <c r="D59" s="189">
        <f ca="1">D73</f>
        <v>-5.1511488083914895E-3</v>
      </c>
      <c r="E59" s="190">
        <f t="shared" ref="E59:M66" ca="1" si="6">E73</f>
        <v>3.6688387498149587E-2</v>
      </c>
      <c r="F59" s="190">
        <f t="shared" ca="1" si="6"/>
        <v>7.1972433760657525E-2</v>
      </c>
      <c r="G59" s="573">
        <f t="shared" ca="1" si="6"/>
        <v>1.0567451240171073E-2</v>
      </c>
      <c r="H59" s="573">
        <f t="shared" ca="1" si="6"/>
        <v>1.4911139492671142E-2</v>
      </c>
      <c r="I59" s="189">
        <f ca="1">I73</f>
        <v>-0.36139215690620818</v>
      </c>
      <c r="J59" s="190">
        <f t="shared" ca="1" si="6"/>
        <v>0.13671622488929014</v>
      </c>
      <c r="K59" s="190">
        <f t="shared" ca="1" si="6"/>
        <v>0.27868374555096848</v>
      </c>
      <c r="L59" s="190">
        <f t="shared" ca="1" si="6"/>
        <v>-1.5041990675863856E-2</v>
      </c>
      <c r="M59" s="191">
        <f t="shared" ca="1" si="6"/>
        <v>0.18210534286733593</v>
      </c>
      <c r="R59"/>
    </row>
    <row r="60" spans="2:18" ht="15" customHeight="1" thickBot="1" x14ac:dyDescent="0.3">
      <c r="B60" s="1717"/>
      <c r="C60" s="278" t="str">
        <f>$C$27</f>
        <v>Interior modules</v>
      </c>
      <c r="D60" s="578">
        <f t="shared" ref="D60:H66" ca="1" si="7">D74</f>
        <v>1.7265662984144219E-2</v>
      </c>
      <c r="E60" s="579">
        <f t="shared" ca="1" si="7"/>
        <v>4.4357842132075762E-2</v>
      </c>
      <c r="F60" s="579">
        <f t="shared" ca="1" si="7"/>
        <v>6.8944606051849752E-2</v>
      </c>
      <c r="G60" s="580">
        <f t="shared" ca="1" si="7"/>
        <v>3.5893651954334936E-2</v>
      </c>
      <c r="H60" s="580">
        <f t="shared" ca="1" si="7"/>
        <v>1.5468085491114456E-2</v>
      </c>
      <c r="I60" s="578">
        <f t="shared" ca="1" si="6"/>
        <v>-0.24783150718401609</v>
      </c>
      <c r="J60" s="579">
        <f t="shared" ca="1" si="6"/>
        <v>6.4981229604872473E-2</v>
      </c>
      <c r="K60" s="579">
        <f t="shared" ca="1" si="6"/>
        <v>0.14551395945180159</v>
      </c>
      <c r="L60" s="579">
        <f t="shared" ca="1" si="6"/>
        <v>0.1205214998658596</v>
      </c>
      <c r="M60" s="581">
        <f t="shared" ca="1" si="6"/>
        <v>0.15348578470717331</v>
      </c>
      <c r="R60"/>
    </row>
    <row r="61" spans="2:18" ht="15" customHeight="1" x14ac:dyDescent="0.25">
      <c r="B61" s="1716" t="str">
        <f>$B$28</f>
        <v>Inner rows, 2nd to 4th row from north</v>
      </c>
      <c r="C61" s="183" t="str">
        <f>$C$26</f>
        <v>1st-10th module</v>
      </c>
      <c r="D61" s="189">
        <f t="shared" ca="1" si="7"/>
        <v>5.1743896961319411E-2</v>
      </c>
      <c r="E61" s="190">
        <f t="shared" ca="1" si="7"/>
        <v>3.8106083085550239E-2</v>
      </c>
      <c r="F61" s="190">
        <f t="shared" ca="1" si="7"/>
        <v>6.475471099781599E-2</v>
      </c>
      <c r="G61" s="573">
        <f t="shared" ca="1" si="7"/>
        <v>5.2467936480042124E-3</v>
      </c>
      <c r="H61" s="573">
        <f t="shared" ca="1" si="7"/>
        <v>2.0229284671253768E-3</v>
      </c>
      <c r="I61" s="189">
        <f t="shared" ca="1" si="6"/>
        <v>0.12701208472876624</v>
      </c>
      <c r="J61" s="190">
        <f t="shared" ca="1" si="6"/>
        <v>0.12575443911706355</v>
      </c>
      <c r="K61" s="190">
        <f t="shared" ca="1" si="6"/>
        <v>-9.0611378784955565E-2</v>
      </c>
      <c r="L61" s="190">
        <f t="shared" ca="1" si="6"/>
        <v>0.14562116908815917</v>
      </c>
      <c r="M61" s="191">
        <f t="shared" ca="1" si="6"/>
        <v>-6.2362238002940593E-2</v>
      </c>
      <c r="R61"/>
    </row>
    <row r="62" spans="2:18" ht="15" customHeight="1" thickBot="1" x14ac:dyDescent="0.3">
      <c r="B62" s="1717"/>
      <c r="C62" s="278" t="str">
        <f>$C$27</f>
        <v>Interior modules</v>
      </c>
      <c r="D62" s="578">
        <f t="shared" ca="1" si="7"/>
        <v>1.7265662984144219E-2</v>
      </c>
      <c r="E62" s="579">
        <f t="shared" ca="1" si="7"/>
        <v>3.8746027760233344E-2</v>
      </c>
      <c r="F62" s="579">
        <f t="shared" ca="1" si="7"/>
        <v>5.4029286231111244E-2</v>
      </c>
      <c r="G62" s="580">
        <f t="shared" ca="1" si="7"/>
        <v>8.4422023112491161E-3</v>
      </c>
      <c r="H62" s="580">
        <f t="shared" ca="1" si="7"/>
        <v>-1.0069933727048825E-4</v>
      </c>
      <c r="I62" s="578">
        <f t="shared" ca="1" si="6"/>
        <v>-0.22887233501652407</v>
      </c>
      <c r="J62" s="579">
        <f t="shared" ca="1" si="6"/>
        <v>0.10340788963337254</v>
      </c>
      <c r="K62" s="579">
        <f t="shared" ca="1" si="6"/>
        <v>0.16979605680504839</v>
      </c>
      <c r="L62" s="579">
        <f t="shared" ca="1" si="6"/>
        <v>6.6222412849202578E-2</v>
      </c>
      <c r="M62" s="581">
        <f t="shared" ca="1" si="6"/>
        <v>0.14232746587326398</v>
      </c>
      <c r="R62"/>
    </row>
    <row r="63" spans="2:18" ht="15" customHeight="1" x14ac:dyDescent="0.25">
      <c r="B63" s="1716" t="str">
        <f>$B$30</f>
        <v>Inner rows, from 5th row from north</v>
      </c>
      <c r="C63" s="183" t="str">
        <f>$C$26</f>
        <v>1st-10th module</v>
      </c>
      <c r="D63" s="189">
        <f t="shared" ca="1" si="7"/>
        <v>1.8255363230189361E-2</v>
      </c>
      <c r="E63" s="190">
        <f t="shared" ca="1" si="7"/>
        <v>3.0508060434244613E-2</v>
      </c>
      <c r="F63" s="190">
        <f t="shared" ca="1" si="7"/>
        <v>5.8107114915166812E-2</v>
      </c>
      <c r="G63" s="573">
        <f t="shared" ca="1" si="7"/>
        <v>4.8466006751388653E-3</v>
      </c>
      <c r="H63" s="573">
        <f t="shared" ca="1" si="7"/>
        <v>-2.4920832742785864E-3</v>
      </c>
      <c r="I63" s="189">
        <f t="shared" ca="1" si="6"/>
        <v>0.15164440073492272</v>
      </c>
      <c r="J63" s="190">
        <f t="shared" ca="1" si="6"/>
        <v>0.20286660212400529</v>
      </c>
      <c r="K63" s="190">
        <f t="shared" ca="1" si="6"/>
        <v>3.3087988297098705E-2</v>
      </c>
      <c r="L63" s="190">
        <f t="shared" ca="1" si="6"/>
        <v>0.13923056319612548</v>
      </c>
      <c r="M63" s="191">
        <f t="shared" ca="1" si="6"/>
        <v>-2.8223803871824861E-2</v>
      </c>
      <c r="R63"/>
    </row>
    <row r="64" spans="2:18" ht="15" customHeight="1" thickBot="1" x14ac:dyDescent="0.3">
      <c r="B64" s="1717"/>
      <c r="C64" s="278" t="str">
        <f>$C$27</f>
        <v>Interior modules</v>
      </c>
      <c r="D64" s="582">
        <f t="shared" ca="1" si="7"/>
        <v>1.7265662984144219E-2</v>
      </c>
      <c r="E64" s="583">
        <f t="shared" ca="1" si="7"/>
        <v>3.7587971257739695E-2</v>
      </c>
      <c r="F64" s="583">
        <f t="shared" ca="1" si="7"/>
        <v>7.0783680764698056E-2</v>
      </c>
      <c r="G64" s="584">
        <f t="shared" ca="1" si="7"/>
        <v>2.2369735345524604E-2</v>
      </c>
      <c r="H64" s="584">
        <f t="shared" ca="1" si="7"/>
        <v>-2.4920832742785864E-3</v>
      </c>
      <c r="I64" s="582">
        <f t="shared" ca="1" si="6"/>
        <v>0.13187631405116734</v>
      </c>
      <c r="J64" s="583">
        <f t="shared" ca="1" si="6"/>
        <v>0.19401804350278007</v>
      </c>
      <c r="K64" s="583">
        <f t="shared" ca="1" si="6"/>
        <v>0.17136374500011592</v>
      </c>
      <c r="L64" s="583">
        <f t="shared" ca="1" si="6"/>
        <v>0.12040018275083529</v>
      </c>
      <c r="M64" s="585">
        <f t="shared" ca="1" si="6"/>
        <v>-2.8223803871824861E-2</v>
      </c>
      <c r="R64"/>
    </row>
    <row r="65" spans="2:18" ht="15" customHeight="1" x14ac:dyDescent="0.25">
      <c r="B65" s="1716" t="str">
        <f>$B$32</f>
        <v>South row</v>
      </c>
      <c r="C65" s="183" t="str">
        <f>$C$26</f>
        <v>1st-10th module</v>
      </c>
      <c r="D65" s="189">
        <f t="shared" ca="1" si="7"/>
        <v>2.4819898441123558E-2</v>
      </c>
      <c r="E65" s="190">
        <f t="shared" ca="1" si="7"/>
        <v>3.8147495955747034E-2</v>
      </c>
      <c r="F65" s="190">
        <f t="shared" ca="1" si="7"/>
        <v>6.3739068631938969E-2</v>
      </c>
      <c r="G65" s="573">
        <f t="shared" ca="1" si="7"/>
        <v>2.3332210254121511E-2</v>
      </c>
      <c r="H65" s="573">
        <f t="shared" ca="1" si="7"/>
        <v>-2.4920832742785864E-3</v>
      </c>
      <c r="I65" s="189">
        <f t="shared" ca="1" si="6"/>
        <v>0.37411273081864599</v>
      </c>
      <c r="J65" s="190">
        <f t="shared" ca="1" si="6"/>
        <v>-9.1908760293275844E-3</v>
      </c>
      <c r="K65" s="190">
        <f t="shared" ca="1" si="6"/>
        <v>0.16151473558966439</v>
      </c>
      <c r="L65" s="190">
        <f t="shared" ca="1" si="6"/>
        <v>0.17891149003509216</v>
      </c>
      <c r="M65" s="191">
        <f ca="1">M79</f>
        <v>-2.2404772857911752E-2</v>
      </c>
      <c r="R65"/>
    </row>
    <row r="66" spans="2:18" ht="15" customHeight="1" thickBot="1" x14ac:dyDescent="0.3">
      <c r="B66" s="1717"/>
      <c r="C66" s="278" t="str">
        <f>$C$27</f>
        <v>Interior modules</v>
      </c>
      <c r="D66" s="578">
        <f t="shared" ca="1" si="7"/>
        <v>1.7265662984144219E-2</v>
      </c>
      <c r="E66" s="579">
        <f t="shared" ca="1" si="7"/>
        <v>3.6323216316738932E-2</v>
      </c>
      <c r="F66" s="579">
        <f t="shared" ca="1" si="7"/>
        <v>7.0783680764698056E-2</v>
      </c>
      <c r="G66" s="580">
        <f t="shared" ca="1" si="7"/>
        <v>7.0783680764698056E-2</v>
      </c>
      <c r="H66" s="580">
        <f ca="1">H80</f>
        <v>-2.4920832742785864E-3</v>
      </c>
      <c r="I66" s="578">
        <f t="shared" ca="1" si="6"/>
        <v>2.5084089076183983E-2</v>
      </c>
      <c r="J66" s="579">
        <f t="shared" ca="1" si="6"/>
        <v>5.5600696927049567E-2</v>
      </c>
      <c r="K66" s="579">
        <f t="shared" ca="1" si="6"/>
        <v>0.18495285751799867</v>
      </c>
      <c r="L66" s="579">
        <f t="shared" ca="1" si="6"/>
        <v>0.18129439413206938</v>
      </c>
      <c r="M66" s="581">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1st-10th module</v>
      </c>
      <c r="D73" s="586">
        <f ca="1">(9.81*(D115+40)/1000/1.5+D101*(SIN(PI()/180*5)*3.842/0.5+COS(PI()/180*5)*3.842))/(SIN(PI()/180*67.9)*0.476/0.5-COS(PI()/180*67.9)*0.476)</f>
        <v>-5.1511488083914895E-3</v>
      </c>
      <c r="E73" s="190">
        <f t="shared" ref="E73:H73" ca="1" si="8">(9.81*(E115+40)/1000/1.5+E101*(SIN(PI()/180*5)*3.842/0.5+COS(PI()/180*5)*3.842))/(SIN(PI()/180*67.9)*0.476/0.5-COS(PI()/180*67.9)*0.476)</f>
        <v>3.6688387498149587E-2</v>
      </c>
      <c r="F73" s="190">
        <f t="shared" ca="1" si="8"/>
        <v>7.1972433760657525E-2</v>
      </c>
      <c r="G73" s="190">
        <f t="shared" ca="1" si="8"/>
        <v>1.0567451240171073E-2</v>
      </c>
      <c r="H73" s="573">
        <f t="shared" ca="1" si="8"/>
        <v>1.4911139492671142E-2</v>
      </c>
      <c r="I73" s="189">
        <f ca="1">(-9.81*(I115+40)/1000/1.5-I101*COS(PI()/180*5)*3.842)/(COS(PI()/180*67.9)*0.476)</f>
        <v>-0.36139215690620818</v>
      </c>
      <c r="J73" s="190">
        <f t="shared" ref="J73:M73" ca="1" si="9">(-9.81*(J115+40)/1000/1.5-J101*COS(PI()/180*5)*3.842)/(COS(PI()/180*67.9)*0.476)</f>
        <v>0.13671622488929014</v>
      </c>
      <c r="K73" s="190">
        <f t="shared" ca="1" si="9"/>
        <v>0.27868374555096848</v>
      </c>
      <c r="L73" s="190">
        <f t="shared" ca="1" si="9"/>
        <v>-1.5041990675863856E-2</v>
      </c>
      <c r="M73" s="191">
        <f t="shared" ca="1" si="9"/>
        <v>0.18210534286733593</v>
      </c>
    </row>
    <row r="74" spans="2:18" ht="15" customHeight="1" thickBot="1" x14ac:dyDescent="0.25">
      <c r="B74" s="1717"/>
      <c r="C74" s="278" t="str">
        <f>$C$27</f>
        <v>Interior modules</v>
      </c>
      <c r="D74" s="574">
        <f ca="1">(9.81*(D116+40)/1000/1.5+D102*(SIN(PI()/180*5)*3.842/0.5+COS(PI()/180*5)*3.842))/(SIN(PI()/180*67.9)*0.476/0.5-COS(PI()/180*67.9)*0.476)</f>
        <v>1.7265662984144219E-2</v>
      </c>
      <c r="E74" s="575">
        <f t="shared" ref="E74:H74" ca="1" si="10">(9.81*(E116+40)/1000/1.5+E102*(SIN(PI()/180*5)*3.842/0.5+COS(PI()/180*5)*3.842))/(SIN(PI()/180*67.9)*0.476/0.5-COS(PI()/180*67.9)*0.476)</f>
        <v>4.4357842132075762E-2</v>
      </c>
      <c r="F74" s="575">
        <f t="shared" ca="1" si="10"/>
        <v>6.8944606051849752E-2</v>
      </c>
      <c r="G74" s="575">
        <f t="shared" ca="1" si="10"/>
        <v>3.5893651954334936E-2</v>
      </c>
      <c r="H74" s="576">
        <f t="shared" ca="1" si="10"/>
        <v>1.5468085491114456E-2</v>
      </c>
      <c r="I74" s="574">
        <f t="shared" ref="I74:M74" ca="1" si="11">(-9.81*(I116+40)/1000/1.5-I102*COS(PI()/180*5)*3.842)/(COS(PI()/180*67.9)*0.476)</f>
        <v>-0.24783150718401609</v>
      </c>
      <c r="J74" s="575">
        <f t="shared" ca="1" si="11"/>
        <v>6.4981229604872473E-2</v>
      </c>
      <c r="K74" s="575">
        <f t="shared" ca="1" si="11"/>
        <v>0.14551395945180159</v>
      </c>
      <c r="L74" s="575">
        <f t="shared" ca="1" si="11"/>
        <v>0.1205214998658596</v>
      </c>
      <c r="M74" s="577">
        <f t="shared" ca="1" si="11"/>
        <v>0.15348578470717331</v>
      </c>
    </row>
    <row r="75" spans="2:18" ht="15" customHeight="1" x14ac:dyDescent="0.2">
      <c r="B75" s="1716" t="str">
        <f>$B$28</f>
        <v>Inner rows, 2nd to 4th row from north</v>
      </c>
      <c r="C75" s="183" t="str">
        <f>$C$26</f>
        <v>1st-10th module</v>
      </c>
      <c r="D75" s="189">
        <f t="shared" ref="D75:H75" ca="1" si="12">(9.81*(D117+40)/1000/1.5+D103*(SIN(PI()/180*5)*3.842/0.5+COS(PI()/180*5)*3.842))/(SIN(PI()/180*67.9)*0.476/0.5-COS(PI()/180*67.9)*0.476)</f>
        <v>5.1743896961319411E-2</v>
      </c>
      <c r="E75" s="190">
        <f t="shared" ca="1" si="12"/>
        <v>3.8106083085550239E-2</v>
      </c>
      <c r="F75" s="190">
        <f t="shared" ca="1" si="12"/>
        <v>6.475471099781599E-2</v>
      </c>
      <c r="G75" s="190">
        <f t="shared" ca="1" si="12"/>
        <v>5.2467936480042124E-3</v>
      </c>
      <c r="H75" s="573">
        <f t="shared" ca="1" si="12"/>
        <v>2.0229284671253768E-3</v>
      </c>
      <c r="I75" s="189">
        <f t="shared" ref="I75:M75" ca="1" si="13">(-9.81*(I117+40)/1000/1.5-I103*COS(PI()/180*5)*3.842)/(COS(PI()/180*67.9)*0.476)</f>
        <v>0.12701208472876624</v>
      </c>
      <c r="J75" s="190">
        <f t="shared" ca="1" si="13"/>
        <v>0.12575443911706355</v>
      </c>
      <c r="K75" s="190">
        <f t="shared" ca="1" si="13"/>
        <v>-9.0611378784955565E-2</v>
      </c>
      <c r="L75" s="190">
        <f t="shared" ca="1" si="13"/>
        <v>0.14562116908815917</v>
      </c>
      <c r="M75" s="191">
        <f t="shared" ca="1" si="13"/>
        <v>-6.2362238002940593E-2</v>
      </c>
    </row>
    <row r="76" spans="2:18" ht="15" customHeight="1" thickBot="1" x14ac:dyDescent="0.25">
      <c r="B76" s="1717"/>
      <c r="C76" s="278" t="str">
        <f>$C$27</f>
        <v>Interior modules</v>
      </c>
      <c r="D76" s="578">
        <f t="shared" ref="D76:H76" ca="1" si="14">(9.81*(D118+40)/1000/1.5+D104*(SIN(PI()/180*5)*3.842/0.5+COS(PI()/180*5)*3.842))/(SIN(PI()/180*67.9)*0.476/0.5-COS(PI()/180*67.9)*0.476)</f>
        <v>1.7265662984144219E-2</v>
      </c>
      <c r="E76" s="579">
        <f t="shared" ca="1" si="14"/>
        <v>3.8746027760233344E-2</v>
      </c>
      <c r="F76" s="579">
        <f t="shared" ca="1" si="14"/>
        <v>5.4029286231111244E-2</v>
      </c>
      <c r="G76" s="579">
        <f t="shared" ca="1" si="14"/>
        <v>8.4422023112491161E-3</v>
      </c>
      <c r="H76" s="580">
        <f t="shared" ca="1" si="14"/>
        <v>-1.0069933727048825E-4</v>
      </c>
      <c r="I76" s="578">
        <f t="shared" ref="I76:M76" ca="1" si="15">(-9.81*(I118+40)/1000/1.5-I104*COS(PI()/180*5)*3.842)/(COS(PI()/180*67.9)*0.476)</f>
        <v>-0.22887233501652407</v>
      </c>
      <c r="J76" s="579">
        <f t="shared" ca="1" si="15"/>
        <v>0.10340788963337254</v>
      </c>
      <c r="K76" s="579">
        <f t="shared" ca="1" si="15"/>
        <v>0.16979605680504839</v>
      </c>
      <c r="L76" s="579">
        <f t="shared" ca="1" si="15"/>
        <v>6.6222412849202578E-2</v>
      </c>
      <c r="M76" s="581">
        <f t="shared" ca="1" si="15"/>
        <v>0.14232746587326398</v>
      </c>
    </row>
    <row r="77" spans="2:18" ht="15" customHeight="1" x14ac:dyDescent="0.2">
      <c r="B77" s="1716" t="str">
        <f>$B$30</f>
        <v>Inner rows, from 5th row from north</v>
      </c>
      <c r="C77" s="183" t="str">
        <f>$C$26</f>
        <v>1st-10th module</v>
      </c>
      <c r="D77" s="189">
        <f t="shared" ref="D77:H77" ca="1" si="16">(9.81*(D119+40)/1000/1.5+D105*(SIN(PI()/180*5)*3.842/0.5+COS(PI()/180*5)*3.842))/(SIN(PI()/180*67.9)*0.476/0.5-COS(PI()/180*67.9)*0.476)</f>
        <v>1.8255363230189361E-2</v>
      </c>
      <c r="E77" s="190">
        <f t="shared" ca="1" si="16"/>
        <v>3.0508060434244613E-2</v>
      </c>
      <c r="F77" s="190">
        <f t="shared" ca="1" si="16"/>
        <v>5.8107114915166812E-2</v>
      </c>
      <c r="G77" s="190">
        <f t="shared" ca="1" si="16"/>
        <v>4.8466006751388653E-3</v>
      </c>
      <c r="H77" s="190">
        <f t="shared" ca="1" si="16"/>
        <v>-2.4920832742785864E-3</v>
      </c>
      <c r="I77" s="189">
        <f t="shared" ref="I77:L77" ca="1" si="17">(-9.81*(I119+40)/1000/1.5-I105*COS(PI()/180*5)*3.842)/(COS(PI()/180*67.9)*0.476)</f>
        <v>0.15164440073492272</v>
      </c>
      <c r="J77" s="190">
        <f t="shared" ca="1" si="17"/>
        <v>0.20286660212400529</v>
      </c>
      <c r="K77" s="190">
        <f t="shared" ca="1" si="17"/>
        <v>3.3087988297098705E-2</v>
      </c>
      <c r="L77" s="190">
        <f t="shared" ca="1" si="17"/>
        <v>0.13923056319612548</v>
      </c>
      <c r="M77" s="191">
        <f ca="1">(-9.81*(M119+40)/1000/1.5-M105*COS(PI()/180*5)*3.842)/(COS(PI()/180*67.9)*0.476)</f>
        <v>-2.8223803871824861E-2</v>
      </c>
    </row>
    <row r="78" spans="2:18" ht="15" customHeight="1" thickBot="1" x14ac:dyDescent="0.25">
      <c r="B78" s="1717"/>
      <c r="C78" s="278" t="str">
        <f>$C$27</f>
        <v>Interior modules</v>
      </c>
      <c r="D78" s="582">
        <f t="shared" ref="D78:H78" ca="1" si="18">(9.81*(D120+40)/1000/1.5+D106*(SIN(PI()/180*5)*3.842/0.5+COS(PI()/180*5)*3.842))/(SIN(PI()/180*67.9)*0.476/0.5-COS(PI()/180*67.9)*0.476)</f>
        <v>1.7265662984144219E-2</v>
      </c>
      <c r="E78" s="583">
        <f t="shared" ca="1" si="18"/>
        <v>3.7587971257739695E-2</v>
      </c>
      <c r="F78" s="583">
        <f t="shared" ca="1" si="18"/>
        <v>7.0783680764698056E-2</v>
      </c>
      <c r="G78" s="583">
        <f t="shared" ca="1" si="18"/>
        <v>2.2369735345524604E-2</v>
      </c>
      <c r="H78" s="583">
        <f t="shared" ca="1" si="18"/>
        <v>-2.4920832742785864E-3</v>
      </c>
      <c r="I78" s="582">
        <f t="shared" ref="I78:M78" ca="1" si="19">(-9.81*(I120+40)/1000/1.5-I106*COS(PI()/180*5)*3.842)/(COS(PI()/180*67.9)*0.476)</f>
        <v>0.13187631405116734</v>
      </c>
      <c r="J78" s="583">
        <f t="shared" ca="1" si="19"/>
        <v>0.19401804350278007</v>
      </c>
      <c r="K78" s="583">
        <f t="shared" ca="1" si="19"/>
        <v>0.17136374500011592</v>
      </c>
      <c r="L78" s="583">
        <f t="shared" ca="1" si="19"/>
        <v>0.12040018275083529</v>
      </c>
      <c r="M78" s="585">
        <f t="shared" ca="1" si="19"/>
        <v>-2.8223803871824861E-2</v>
      </c>
    </row>
    <row r="79" spans="2:18" ht="15" customHeight="1" x14ac:dyDescent="0.2">
      <c r="B79" s="1716" t="str">
        <f>$B$32</f>
        <v>South row</v>
      </c>
      <c r="C79" s="183" t="str">
        <f>$C$26</f>
        <v>1st-10th module</v>
      </c>
      <c r="D79" s="189">
        <f t="shared" ref="D79:H79" ca="1" si="20">(9.81*(D121+40)/1000/1.5+D107*(SIN(PI()/180*5)*3.842/0.5+COS(PI()/180*5)*3.842))/(SIN(PI()/180*67.9)*0.476/0.5-COS(PI()/180*67.9)*0.476)</f>
        <v>2.4819898441123558E-2</v>
      </c>
      <c r="E79" s="190">
        <f t="shared" ca="1" si="20"/>
        <v>3.8147495955747034E-2</v>
      </c>
      <c r="F79" s="190">
        <f t="shared" ca="1" si="20"/>
        <v>6.3739068631938969E-2</v>
      </c>
      <c r="G79" s="190">
        <f t="shared" ca="1" si="20"/>
        <v>2.3332210254121511E-2</v>
      </c>
      <c r="H79" s="573">
        <f t="shared" ca="1" si="20"/>
        <v>-2.4920832742785864E-3</v>
      </c>
      <c r="I79" s="189">
        <f t="shared" ref="I79:M79" ca="1" si="21">(-9.81*(I121+40)/1000/1.5-I107*COS(PI()/180*5)*3.842)/(COS(PI()/180*67.9)*0.476)</f>
        <v>0.37411273081864599</v>
      </c>
      <c r="J79" s="190">
        <f t="shared" ca="1" si="21"/>
        <v>-9.1908760293275844E-3</v>
      </c>
      <c r="K79" s="190">
        <f t="shared" ca="1" si="21"/>
        <v>0.16151473558966439</v>
      </c>
      <c r="L79" s="190">
        <f t="shared" ca="1" si="21"/>
        <v>0.17891149003509216</v>
      </c>
      <c r="M79" s="191">
        <f t="shared" ca="1" si="21"/>
        <v>-2.2404772857911752E-2</v>
      </c>
    </row>
    <row r="80" spans="2:18" ht="15" customHeight="1" thickBot="1" x14ac:dyDescent="0.25">
      <c r="B80" s="1717"/>
      <c r="C80" s="278" t="str">
        <f>$C$27</f>
        <v>Interior modules</v>
      </c>
      <c r="D80" s="578">
        <f t="shared" ref="D80:G80" ca="1" si="22">(9.81*(D122+40)/1000/1.5+D108*(SIN(PI()/180*5)*3.842/0.5+COS(PI()/180*5)*3.842))/(SIN(PI()/180*67.9)*0.476/0.5-COS(PI()/180*67.9)*0.476)</f>
        <v>1.7265662984144219E-2</v>
      </c>
      <c r="E80" s="579">
        <f t="shared" ca="1" si="22"/>
        <v>3.6323216316738932E-2</v>
      </c>
      <c r="F80" s="579">
        <f t="shared" ca="1" si="22"/>
        <v>7.0783680764698056E-2</v>
      </c>
      <c r="G80" s="579">
        <f t="shared" ca="1" si="22"/>
        <v>7.0783680764698056E-2</v>
      </c>
      <c r="H80" s="580">
        <f ca="1">(9.81*(H122+40)/1000/1.5+H108*(SIN(PI()/180*5)*3.842/0.5+COS(PI()/180*5)*3.842))/(SIN(PI()/180*67.9)*0.476/0.5-COS(PI()/180*67.9)*0.476)</f>
        <v>-2.4920832742785864E-3</v>
      </c>
      <c r="I80" s="578">
        <f t="shared" ref="I80:L80" ca="1" si="23">(-9.81*(I122+40)/1000/1.5-I108*COS(PI()/180*5)*3.842)/(COS(PI()/180*67.9)*0.476)</f>
        <v>2.5084089076183983E-2</v>
      </c>
      <c r="J80" s="579">
        <f t="shared" ca="1" si="23"/>
        <v>5.5600696927049567E-2</v>
      </c>
      <c r="K80" s="579">
        <f t="shared" ca="1" si="23"/>
        <v>0.18495285751799867</v>
      </c>
      <c r="L80" s="579">
        <f t="shared" ca="1" si="23"/>
        <v>0.18129439413206938</v>
      </c>
      <c r="M80" s="581">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607"/>
      <c r="O84" s="609"/>
      <c r="P84" s="609" t="s">
        <v>62</v>
      </c>
      <c r="Q84" s="609"/>
      <c r="R84" s="610"/>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1st-10th module</v>
      </c>
      <c r="D87" s="189">
        <f>IF(N87=-2,1000*($G$17*$G$18*$C$19)/625,1000*($G$17*$G$18*$C$19)/(MAX(150,MIN($G$16*MAX($G$14:$G$15),4*$G$16^2,4*(MIN($G$14:$G$15))^2))*(MAX(6.12,$G$16)/12.5)^N87))</f>
        <v>261.69873999999987</v>
      </c>
      <c r="E87" s="190">
        <f t="shared" ref="E87:H94" si="24">IF(O87=-2,1000*($G$17*$G$18*$C$19)/625,1000*($G$17*$G$18*$C$19)/(MAX(150,MIN($G$16*MAX($G$14:$G$15),4*$G$16^2,4*(MIN($G$14:$G$15))^2))*(MAX(6.12,$G$16)/12.5)^O87))</f>
        <v>342.09248668821152</v>
      </c>
      <c r="F87" s="190">
        <f t="shared" si="24"/>
        <v>228.89203455827396</v>
      </c>
      <c r="G87" s="190">
        <f t="shared" si="24"/>
        <v>200.19799668972843</v>
      </c>
      <c r="H87" s="573">
        <f t="shared" si="24"/>
        <v>153.15028982783997</v>
      </c>
      <c r="I87" s="189">
        <f>IF(N87=-2,1000*($G$17*$G$18*$C$16)/625,1000*($G$17*$G$18*$C$16)/(MAX(150,MIN($G$16*MAX($G$14:$G$15),4*$G$16^2,4*(MIN($G$14:$G$15))^2))*(MAX(6.12,$G$16)/12.5)^N87))</f>
        <v>49.068513749999987</v>
      </c>
      <c r="J87" s="190">
        <f t="shared" ref="J87:M94" si="25">IF(O87=-2,1000*($G$17*$G$18*$C$16)/625,1000*($G$17*$G$18*$C$16)/(MAX(150,MIN($G$16*MAX($G$14:$G$15),4*$G$16^2,4*(MIN($G$14:$G$15))^2))*(MAX(6.12,$G$16)/12.5)^O87))</f>
        <v>64.142341254039664</v>
      </c>
      <c r="K87" s="190">
        <f t="shared" si="25"/>
        <v>42.917256479676368</v>
      </c>
      <c r="L87" s="190">
        <f t="shared" si="25"/>
        <v>37.537124379324084</v>
      </c>
      <c r="M87" s="573">
        <f t="shared" si="25"/>
        <v>28.715679342719994</v>
      </c>
      <c r="N87" s="189">
        <v>-1</v>
      </c>
      <c r="O87" s="190">
        <v>-0.5</v>
      </c>
      <c r="P87" s="190">
        <v>-1.25</v>
      </c>
      <c r="Q87" s="190">
        <v>-1.5</v>
      </c>
      <c r="R87" s="191">
        <v>-2</v>
      </c>
    </row>
    <row r="88" spans="2:31" ht="15" customHeight="1" thickBot="1" x14ac:dyDescent="0.25">
      <c r="B88" s="1717"/>
      <c r="C88" s="278" t="str">
        <f>$C$27</f>
        <v>Interior modules</v>
      </c>
      <c r="D88" s="574">
        <f t="shared" ref="D88:D94" si="26">IF(N88=-2,1000*($G$17*$G$18*$C$19)/625,1000*($G$17*$G$18*$C$19)/(MAX(150,MIN($G$16*MAX($G$14:$G$15),4*$G$16^2,4*(MIN($G$14:$G$15))^2))*(MAX(6.12,$G$16)/12.5)^N88))</f>
        <v>261.69873999999987</v>
      </c>
      <c r="E88" s="575">
        <f t="shared" si="24"/>
        <v>342.09248668821152</v>
      </c>
      <c r="F88" s="575">
        <f t="shared" si="24"/>
        <v>228.89203455827396</v>
      </c>
      <c r="G88" s="575">
        <f t="shared" si="24"/>
        <v>200.19799668972843</v>
      </c>
      <c r="H88" s="576">
        <f t="shared" si="24"/>
        <v>153.15028982783997</v>
      </c>
      <c r="I88" s="574">
        <f t="shared" ref="I88:I94" si="27">IF(N88=-2,1000*($G$17*$G$18*$C$16)/625,1000*($G$17*$G$18*$C$16)/(MAX(150,MIN($G$16*MAX($G$14:$G$15),4*$G$16^2,4*(MIN($G$14:$G$15))^2))*(MAX(6.12,$G$16)/12.5)^N88))</f>
        <v>49.068513749999987</v>
      </c>
      <c r="J88" s="575">
        <f t="shared" si="25"/>
        <v>64.142341254039664</v>
      </c>
      <c r="K88" s="575">
        <f t="shared" si="25"/>
        <v>42.917256479676368</v>
      </c>
      <c r="L88" s="575">
        <f t="shared" si="25"/>
        <v>37.537124379324084</v>
      </c>
      <c r="M88" s="576">
        <f t="shared" si="25"/>
        <v>28.715679342719994</v>
      </c>
      <c r="N88" s="574">
        <v>-1</v>
      </c>
      <c r="O88" s="575">
        <v>-0.5</v>
      </c>
      <c r="P88" s="575">
        <v>-1.25</v>
      </c>
      <c r="Q88" s="575">
        <v>-1.5</v>
      </c>
      <c r="R88" s="577">
        <v>-2</v>
      </c>
    </row>
    <row r="89" spans="2:31" ht="15" customHeight="1" x14ac:dyDescent="0.2">
      <c r="B89" s="1716" t="str">
        <f>$B$28</f>
        <v>Inner rows, 2nd to 4th row from north</v>
      </c>
      <c r="C89" s="241" t="str">
        <f>$C$26</f>
        <v>1st-10th module</v>
      </c>
      <c r="D89" s="190">
        <f t="shared" si="26"/>
        <v>447.183159722222</v>
      </c>
      <c r="E89" s="190">
        <f t="shared" si="24"/>
        <v>299.20757465306878</v>
      </c>
      <c r="F89" s="190">
        <f t="shared" si="24"/>
        <v>228.89203455827396</v>
      </c>
      <c r="G89" s="190">
        <f t="shared" si="24"/>
        <v>200.19799668972843</v>
      </c>
      <c r="H89" s="573">
        <f t="shared" si="24"/>
        <v>153.15028982783997</v>
      </c>
      <c r="I89" s="189">
        <f t="shared" si="27"/>
        <v>83.846842447916629</v>
      </c>
      <c r="J89" s="190">
        <f t="shared" si="25"/>
        <v>56.101420247450392</v>
      </c>
      <c r="K89" s="190">
        <f t="shared" si="25"/>
        <v>42.917256479676368</v>
      </c>
      <c r="L89" s="190">
        <f t="shared" si="25"/>
        <v>37.537124379324084</v>
      </c>
      <c r="M89" s="573">
        <f t="shared" si="25"/>
        <v>28.715679342719994</v>
      </c>
      <c r="N89" s="189">
        <v>0</v>
      </c>
      <c r="O89" s="190">
        <v>-0.75</v>
      </c>
      <c r="P89" s="190">
        <v>-1.25</v>
      </c>
      <c r="Q89" s="190">
        <v>-1.5</v>
      </c>
      <c r="R89" s="191">
        <v>-2</v>
      </c>
    </row>
    <row r="90" spans="2:31" ht="15" customHeight="1" thickBot="1" x14ac:dyDescent="0.25">
      <c r="B90" s="1717"/>
      <c r="C90" s="524" t="str">
        <f>$C$27</f>
        <v>Interior modules</v>
      </c>
      <c r="D90" s="578">
        <f t="shared" si="26"/>
        <v>447.183159722222</v>
      </c>
      <c r="E90" s="579">
        <f t="shared" si="24"/>
        <v>299.20757465306878</v>
      </c>
      <c r="F90" s="579">
        <f t="shared" si="24"/>
        <v>228.89203455827396</v>
      </c>
      <c r="G90" s="579">
        <f t="shared" si="24"/>
        <v>200.19799668972843</v>
      </c>
      <c r="H90" s="580">
        <f t="shared" si="24"/>
        <v>153.15028982783997</v>
      </c>
      <c r="I90" s="578">
        <f t="shared" si="27"/>
        <v>83.846842447916629</v>
      </c>
      <c r="J90" s="579">
        <f t="shared" si="25"/>
        <v>56.101420247450392</v>
      </c>
      <c r="K90" s="579">
        <f t="shared" si="25"/>
        <v>42.917256479676368</v>
      </c>
      <c r="L90" s="579">
        <f t="shared" si="25"/>
        <v>37.537124379324084</v>
      </c>
      <c r="M90" s="580">
        <f t="shared" si="25"/>
        <v>28.715679342719994</v>
      </c>
      <c r="N90" s="578">
        <v>0</v>
      </c>
      <c r="O90" s="579">
        <v>-0.75</v>
      </c>
      <c r="P90" s="579">
        <v>-1.25</v>
      </c>
      <c r="Q90" s="579">
        <v>-1.5</v>
      </c>
      <c r="R90" s="581">
        <v>-2</v>
      </c>
    </row>
    <row r="91" spans="2:31" ht="15" customHeight="1" x14ac:dyDescent="0.2">
      <c r="B91" s="1716" t="str">
        <f>$B$30</f>
        <v>Inner rows, from 5th row from north</v>
      </c>
      <c r="C91" s="183" t="str">
        <f>$C$26</f>
        <v>1st-10th module</v>
      </c>
      <c r="D91" s="189">
        <f t="shared" si="26"/>
        <v>447.183159722222</v>
      </c>
      <c r="E91" s="190">
        <f t="shared" si="24"/>
        <v>299.20757465306878</v>
      </c>
      <c r="F91" s="190">
        <f t="shared" si="24"/>
        <v>228.89203455827396</v>
      </c>
      <c r="G91" s="190">
        <f t="shared" si="24"/>
        <v>200.19799668972843</v>
      </c>
      <c r="H91" s="573">
        <f t="shared" si="24"/>
        <v>200.19799668972843</v>
      </c>
      <c r="I91" s="189">
        <f t="shared" si="27"/>
        <v>83.846842447916629</v>
      </c>
      <c r="J91" s="190">
        <f t="shared" si="25"/>
        <v>56.101420247450392</v>
      </c>
      <c r="K91" s="190">
        <f t="shared" si="25"/>
        <v>42.917256479676368</v>
      </c>
      <c r="L91" s="190">
        <f t="shared" si="25"/>
        <v>37.537124379324084</v>
      </c>
      <c r="M91" s="573">
        <f t="shared" si="25"/>
        <v>37.537124379324084</v>
      </c>
      <c r="N91" s="189">
        <v>0</v>
      </c>
      <c r="O91" s="190">
        <v>-0.75</v>
      </c>
      <c r="P91" s="190">
        <v>-1.25</v>
      </c>
      <c r="Q91" s="190">
        <v>-1.5</v>
      </c>
      <c r="R91" s="191">
        <v>-1.5</v>
      </c>
    </row>
    <row r="92" spans="2:31" ht="15" customHeight="1" thickBot="1" x14ac:dyDescent="0.25">
      <c r="B92" s="1717"/>
      <c r="C92" s="278" t="str">
        <f>$C$27</f>
        <v>Interior modules</v>
      </c>
      <c r="D92" s="582">
        <f t="shared" si="26"/>
        <v>447.183159722222</v>
      </c>
      <c r="E92" s="583">
        <f t="shared" si="24"/>
        <v>299.20757465306878</v>
      </c>
      <c r="F92" s="583">
        <f t="shared" si="24"/>
        <v>228.89203455827396</v>
      </c>
      <c r="G92" s="583">
        <f t="shared" si="24"/>
        <v>200.19799668972843</v>
      </c>
      <c r="H92" s="584">
        <f t="shared" si="24"/>
        <v>200.19799668972843</v>
      </c>
      <c r="I92" s="582">
        <f t="shared" si="27"/>
        <v>83.846842447916629</v>
      </c>
      <c r="J92" s="583">
        <f t="shared" si="25"/>
        <v>56.101420247450392</v>
      </c>
      <c r="K92" s="583">
        <f t="shared" si="25"/>
        <v>42.917256479676368</v>
      </c>
      <c r="L92" s="583">
        <f t="shared" si="25"/>
        <v>37.537124379324084</v>
      </c>
      <c r="M92" s="584">
        <f t="shared" si="25"/>
        <v>37.537124379324084</v>
      </c>
      <c r="N92" s="582">
        <v>0</v>
      </c>
      <c r="O92" s="583">
        <v>-0.75</v>
      </c>
      <c r="P92" s="583">
        <v>-1.25</v>
      </c>
      <c r="Q92" s="583">
        <v>-1.5</v>
      </c>
      <c r="R92" s="585">
        <v>-1.5</v>
      </c>
    </row>
    <row r="93" spans="2:31" ht="15" customHeight="1" x14ac:dyDescent="0.2">
      <c r="B93" s="1716" t="str">
        <f>$B$32</f>
        <v>South row</v>
      </c>
      <c r="C93" s="183" t="str">
        <f>$C$26</f>
        <v>1st-10th module</v>
      </c>
      <c r="D93" s="189">
        <f t="shared" si="26"/>
        <v>447.183159722222</v>
      </c>
      <c r="E93" s="190">
        <f t="shared" si="24"/>
        <v>299.20757465306878</v>
      </c>
      <c r="F93" s="190">
        <f t="shared" si="24"/>
        <v>228.89203455827396</v>
      </c>
      <c r="G93" s="190">
        <f t="shared" si="24"/>
        <v>200.19799668972843</v>
      </c>
      <c r="H93" s="573">
        <f t="shared" si="24"/>
        <v>200.19799668972843</v>
      </c>
      <c r="I93" s="189">
        <f t="shared" si="27"/>
        <v>83.846842447916629</v>
      </c>
      <c r="J93" s="190">
        <f t="shared" si="25"/>
        <v>56.101420247450392</v>
      </c>
      <c r="K93" s="190">
        <f t="shared" si="25"/>
        <v>42.917256479676368</v>
      </c>
      <c r="L93" s="190">
        <f t="shared" si="25"/>
        <v>37.537124379324084</v>
      </c>
      <c r="M93" s="573">
        <f t="shared" si="25"/>
        <v>37.537124379324084</v>
      </c>
      <c r="N93" s="189">
        <v>0</v>
      </c>
      <c r="O93" s="190">
        <v>-0.75</v>
      </c>
      <c r="P93" s="190">
        <v>-1.25</v>
      </c>
      <c r="Q93" s="190">
        <v>-1.5</v>
      </c>
      <c r="R93" s="191">
        <v>-1.5</v>
      </c>
    </row>
    <row r="94" spans="2:31" ht="15" customHeight="1" thickBot="1" x14ac:dyDescent="0.25">
      <c r="B94" s="1717"/>
      <c r="C94" s="278" t="str">
        <f>$C$27</f>
        <v>Interior modules</v>
      </c>
      <c r="D94" s="578">
        <f t="shared" si="26"/>
        <v>447.183159722222</v>
      </c>
      <c r="E94" s="579">
        <f t="shared" si="24"/>
        <v>299.20757465306878</v>
      </c>
      <c r="F94" s="579">
        <f t="shared" si="24"/>
        <v>228.89203455827396</v>
      </c>
      <c r="G94" s="579">
        <f t="shared" si="24"/>
        <v>200.19799668972843</v>
      </c>
      <c r="H94" s="580">
        <f>IF(R94=-2,1000*($G$17*$G$18*$C$19)/625,1000*($G$17*$G$18*$C$19)/(MAX(150,MIN($G$16*MAX($G$14:$G$15),4*$G$16^2,4*(MIN($G$14:$G$15))^2))*(MAX(6.12,$G$16)/12.5)^R94))</f>
        <v>200.19799668972843</v>
      </c>
      <c r="I94" s="578">
        <f t="shared" si="27"/>
        <v>83.846842447916629</v>
      </c>
      <c r="J94" s="579">
        <f t="shared" si="25"/>
        <v>56.101420247450392</v>
      </c>
      <c r="K94" s="579">
        <f t="shared" si="25"/>
        <v>42.917256479676368</v>
      </c>
      <c r="L94" s="579">
        <f t="shared" si="25"/>
        <v>37.537124379324084</v>
      </c>
      <c r="M94" s="580">
        <f>IF(R94=-2,1000*($G$17*$G$18*$C$16)/625,1000*($G$17*$G$18*$C$16)/(MAX(150,MIN($G$16*MAX($G$14:$G$15),4*$G$16^2,4*(MIN($G$14:$G$15))^2))*(MAX(6.12,$G$16)/12.5)^R94))</f>
        <v>37.537124379324084</v>
      </c>
      <c r="N94" s="578">
        <v>0</v>
      </c>
      <c r="O94" s="579">
        <v>-0.75</v>
      </c>
      <c r="P94" s="579">
        <v>-1.25</v>
      </c>
      <c r="Q94" s="579">
        <v>-1.5</v>
      </c>
      <c r="R94" s="581">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81</v>
      </c>
      <c r="J100" s="438" t="s">
        <v>81</v>
      </c>
      <c r="K100" s="438" t="s">
        <v>81</v>
      </c>
      <c r="L100" s="438" t="s">
        <v>81</v>
      </c>
      <c r="M100" s="439" t="s">
        <v>81</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1st-10th module</v>
      </c>
      <c r="D101" s="189">
        <f ca="1">AF101+(AP101-AF101)/(LOG(BJ101)-LOG(AZ101))*(LOG(D87)-LOG(AZ101))</f>
        <v>-0.19700260492019969</v>
      </c>
      <c r="E101" s="190">
        <f t="shared" ref="E101:M101" ca="1" si="28">AG101+(AQ101-AG101)/(LOG(BK101)-LOG(BA101))*(LOG(E87)-LOG(BA101))</f>
        <v>-0.22302822205835282</v>
      </c>
      <c r="F101" s="190">
        <f t="shared" ca="1" si="28"/>
        <v>-0.16893912048756801</v>
      </c>
      <c r="G101" s="190">
        <f t="shared" ca="1" si="28"/>
        <v>-0.17263283450070147</v>
      </c>
      <c r="H101" s="573">
        <f t="shared" ca="1" si="28"/>
        <v>-0.17387030656757835</v>
      </c>
      <c r="I101" s="189">
        <f t="shared" ca="1" si="28"/>
        <v>-0.32901145701825896</v>
      </c>
      <c r="J101" s="190">
        <f t="shared" ca="1" si="28"/>
        <v>-0.4121080295863252</v>
      </c>
      <c r="K101" s="190">
        <f t="shared" ca="1" si="28"/>
        <v>-0.28644492646374708</v>
      </c>
      <c r="L101" s="190">
        <f t="shared" ca="1" si="28"/>
        <v>-0.24959191987918411</v>
      </c>
      <c r="M101" s="191">
        <f t="shared" ca="1" si="28"/>
        <v>-0.25702081796115911</v>
      </c>
      <c r="S101">
        <v>0</v>
      </c>
      <c r="T101" s="621"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73"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73">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73">
        <f t="shared" ca="1" si="31"/>
        <v>-0.14000000000000001</v>
      </c>
      <c r="AU101" s="189">
        <f t="shared" ca="1" si="31"/>
        <v>-0.26</v>
      </c>
      <c r="AV101" s="190">
        <f t="shared" ca="1" si="31"/>
        <v>-0.34</v>
      </c>
      <c r="AW101" s="190">
        <f t="shared" ca="1" si="31"/>
        <v>-0.27</v>
      </c>
      <c r="AX101" s="190">
        <f t="shared" ca="1" si="31"/>
        <v>-0.19</v>
      </c>
      <c r="AY101" s="191">
        <f t="shared" ca="1" si="31"/>
        <v>-0.21</v>
      </c>
      <c r="AZ101" s="641">
        <f ca="1">INDEX(OFFSET(INDIRECT(V101),0,0),MATCH(D87,INDIRECT(V101),1))</f>
        <v>70</v>
      </c>
      <c r="BA101" s="642">
        <f t="shared" ref="BA101:BI101" ca="1" si="32">INDEX(OFFSET(INDIRECT(W101),0,0),MATCH(E87,INDIRECT(W101),1))</f>
        <v>121</v>
      </c>
      <c r="BB101" s="642">
        <f t="shared" ca="1" si="32"/>
        <v>55</v>
      </c>
      <c r="BC101" s="642">
        <f t="shared" ca="1" si="32"/>
        <v>123</v>
      </c>
      <c r="BD101" s="643">
        <f t="shared" ca="1" si="32"/>
        <v>55</v>
      </c>
      <c r="BE101" s="641">
        <f t="shared" ca="1" si="32"/>
        <v>25</v>
      </c>
      <c r="BF101" s="642">
        <f t="shared" ca="1" si="32"/>
        <v>1</v>
      </c>
      <c r="BG101" s="642">
        <f t="shared" ca="1" si="32"/>
        <v>9</v>
      </c>
      <c r="BH101" s="642">
        <f t="shared" ca="1" si="32"/>
        <v>25</v>
      </c>
      <c r="BI101" s="644">
        <f t="shared" ca="1" si="32"/>
        <v>24</v>
      </c>
      <c r="BJ101" s="641">
        <f ca="1">INDEX(OFFSET(INDIRECT(V101),0,0),MATCH(D87,INDIRECT(V101),1)+1)</f>
        <v>700</v>
      </c>
      <c r="BK101" s="642">
        <f t="shared" ref="BK101:BS101" ca="1" si="33">INDEX(OFFSET(INDIRECT(W101),0,0),MATCH(E87,INDIRECT(W101),1)+1)</f>
        <v>700</v>
      </c>
      <c r="BL101" s="642">
        <f t="shared" ca="1" si="33"/>
        <v>500</v>
      </c>
      <c r="BM101" s="642">
        <f t="shared" ca="1" si="33"/>
        <v>500</v>
      </c>
      <c r="BN101" s="643">
        <f t="shared" ca="1" si="33"/>
        <v>400</v>
      </c>
      <c r="BO101" s="641">
        <f t="shared" ca="1" si="33"/>
        <v>70</v>
      </c>
      <c r="BP101" s="642">
        <f t="shared" ca="1" si="33"/>
        <v>98</v>
      </c>
      <c r="BQ101" s="642">
        <f t="shared" ca="1" si="33"/>
        <v>55</v>
      </c>
      <c r="BR101" s="642">
        <f t="shared" ca="1" si="33"/>
        <v>123</v>
      </c>
      <c r="BS101" s="644">
        <f t="shared" ca="1" si="33"/>
        <v>55</v>
      </c>
    </row>
    <row r="102" spans="2:71" ht="15" customHeight="1" thickBot="1" x14ac:dyDescent="0.3">
      <c r="B102" s="1717"/>
      <c r="C102" s="278" t="str">
        <f>$C$27</f>
        <v>Interior modules</v>
      </c>
      <c r="D102" s="574">
        <f t="shared" ref="D102:M102" ca="1" si="34">AF102+(AP102-AF102)/(LOG(BJ102)-LOG(AZ102))*(LOG(D88)-LOG(AZ102))</f>
        <v>-0.15</v>
      </c>
      <c r="E102" s="575">
        <f t="shared" ca="1" si="34"/>
        <v>-0.20209943110023135</v>
      </c>
      <c r="F102" s="575">
        <f t="shared" ca="1" si="34"/>
        <v>-0.1559161120744437</v>
      </c>
      <c r="G102" s="575">
        <f t="shared" ca="1" si="34"/>
        <v>-0.16361529003093364</v>
      </c>
      <c r="H102" s="576">
        <f t="shared" ca="1" si="34"/>
        <v>-0.17870892179151812</v>
      </c>
      <c r="I102" s="574">
        <f t="shared" ca="1" si="34"/>
        <v>-0.25628602116013754</v>
      </c>
      <c r="J102" s="575">
        <f t="shared" ca="1" si="34"/>
        <v>-0.38580587725741877</v>
      </c>
      <c r="K102" s="575">
        <f t="shared" ca="1" si="34"/>
        <v>-0.2146896808215441</v>
      </c>
      <c r="L102" s="575">
        <f t="shared" ca="1" si="34"/>
        <v>-0.23819174419277514</v>
      </c>
      <c r="M102" s="577">
        <f t="shared" ca="1" si="34"/>
        <v>-0.25702081796115911</v>
      </c>
      <c r="S102">
        <v>7</v>
      </c>
      <c r="T102" s="622"/>
      <c r="U102" s="277" t="str">
        <f>$C$27</f>
        <v>Interior modules</v>
      </c>
      <c r="V102" s="574" t="str">
        <f t="shared" si="29"/>
        <v>C135:C139</v>
      </c>
      <c r="W102" s="575" t="str">
        <f t="shared" si="29"/>
        <v>F135:F139</v>
      </c>
      <c r="X102" s="575" t="str">
        <f t="shared" si="29"/>
        <v>I135:I139</v>
      </c>
      <c r="Y102" s="575" t="str">
        <f t="shared" si="29"/>
        <v>L135:L139</v>
      </c>
      <c r="Z102" s="576" t="str">
        <f t="shared" si="29"/>
        <v>O135:O139</v>
      </c>
      <c r="AA102" s="574" t="str">
        <f t="shared" si="29"/>
        <v>C193:C197</v>
      </c>
      <c r="AB102" s="575" t="str">
        <f t="shared" si="29"/>
        <v>F193:F197</v>
      </c>
      <c r="AC102" s="575" t="str">
        <f t="shared" si="29"/>
        <v>I193:I197</v>
      </c>
      <c r="AD102" s="575" t="str">
        <f t="shared" si="29"/>
        <v>L193:L197</v>
      </c>
      <c r="AE102" s="577" t="str">
        <f t="shared" si="29"/>
        <v>O193:O197</v>
      </c>
      <c r="AF102" s="574">
        <f t="shared" ref="AF102:AO108" ca="1" si="35">INDEX(OFFSET(INDIRECT(V102),0,1),MATCH(D88,INDIRECT(V102),1))</f>
        <v>-0.15</v>
      </c>
      <c r="AG102" s="575">
        <f t="shared" ca="1" si="35"/>
        <v>-0.28999999999999998</v>
      </c>
      <c r="AH102" s="575">
        <f t="shared" ca="1" si="35"/>
        <v>-0.18</v>
      </c>
      <c r="AI102" s="575">
        <f t="shared" ca="1" si="35"/>
        <v>-0.19</v>
      </c>
      <c r="AJ102" s="576">
        <f t="shared" ca="1" si="35"/>
        <v>-0.22</v>
      </c>
      <c r="AK102" s="574">
        <f t="shared" ca="1" si="35"/>
        <v>-0.42</v>
      </c>
      <c r="AL102" s="575">
        <f t="shared" ca="1" si="35"/>
        <v>-1.1299999999999999</v>
      </c>
      <c r="AM102" s="575">
        <f t="shared" ca="1" si="35"/>
        <v>-0.3</v>
      </c>
      <c r="AN102" s="575">
        <f t="shared" ca="1" si="35"/>
        <v>-0.25</v>
      </c>
      <c r="AO102" s="577">
        <f t="shared" ca="1" si="35"/>
        <v>-0.27</v>
      </c>
      <c r="AP102" s="574">
        <f t="shared" ref="AP102:AY108" ca="1" si="36">INDEX(OFFSET(INDIRECT(V102),0,1),MATCH(D88,INDIRECT(V102),1)+1)</f>
        <v>-0.15</v>
      </c>
      <c r="AQ102" s="575">
        <f t="shared" ca="1" si="36"/>
        <v>-0.17</v>
      </c>
      <c r="AR102" s="575">
        <f t="shared" ca="1" si="36"/>
        <v>-0.13</v>
      </c>
      <c r="AS102" s="575">
        <f t="shared" ca="1" si="36"/>
        <v>-0.14000000000000001</v>
      </c>
      <c r="AT102" s="576">
        <f t="shared" ca="1" si="36"/>
        <v>-0.14000000000000001</v>
      </c>
      <c r="AU102" s="574">
        <f t="shared" ca="1" si="36"/>
        <v>-0.24</v>
      </c>
      <c r="AV102" s="575">
        <f t="shared" ca="1" si="36"/>
        <v>-0.31</v>
      </c>
      <c r="AW102" s="575">
        <f t="shared" ca="1" si="36"/>
        <v>-0.18</v>
      </c>
      <c r="AX102" s="575">
        <f t="shared" ca="1" si="36"/>
        <v>-0.19</v>
      </c>
      <c r="AY102" s="577">
        <f t="shared" ca="1" si="36"/>
        <v>-0.21</v>
      </c>
      <c r="AZ102" s="645">
        <f t="shared" ref="AZ102:BI108" ca="1" si="37">INDEX(OFFSET(INDIRECT(V102),0,0),MATCH(D88,INDIRECT(V102),1))</f>
        <v>164</v>
      </c>
      <c r="BA102" s="646">
        <f t="shared" ca="1" si="37"/>
        <v>121</v>
      </c>
      <c r="BB102" s="646">
        <f t="shared" ca="1" si="37"/>
        <v>81</v>
      </c>
      <c r="BC102" s="646">
        <f t="shared" ca="1" si="37"/>
        <v>72</v>
      </c>
      <c r="BD102" s="647">
        <f t="shared" ca="1" si="37"/>
        <v>55</v>
      </c>
      <c r="BE102" s="645">
        <f t="shared" ca="1" si="37"/>
        <v>13</v>
      </c>
      <c r="BF102" s="646">
        <f t="shared" ca="1" si="37"/>
        <v>1</v>
      </c>
      <c r="BG102" s="646">
        <f t="shared" ca="1" si="37"/>
        <v>9</v>
      </c>
      <c r="BH102" s="646">
        <f t="shared" ca="1" si="37"/>
        <v>32</v>
      </c>
      <c r="BI102" s="648">
        <f t="shared" ca="1" si="37"/>
        <v>24</v>
      </c>
      <c r="BJ102" s="645">
        <f t="shared" ref="BJ102:BS108" ca="1" si="38">INDEX(OFFSET(INDIRECT(V102),0,0),MATCH(D88,INDIRECT(V102),1)+1)</f>
        <v>10000</v>
      </c>
      <c r="BK102" s="646">
        <f t="shared" ca="1" si="38"/>
        <v>500</v>
      </c>
      <c r="BL102" s="646">
        <f t="shared" ca="1" si="38"/>
        <v>700</v>
      </c>
      <c r="BM102" s="646">
        <f t="shared" ca="1" si="38"/>
        <v>500</v>
      </c>
      <c r="BN102" s="647">
        <f t="shared" ca="1" si="38"/>
        <v>400</v>
      </c>
      <c r="BO102" s="645">
        <f t="shared" ca="1" si="38"/>
        <v>56</v>
      </c>
      <c r="BP102" s="646">
        <f t="shared" ca="1" si="38"/>
        <v>98</v>
      </c>
      <c r="BQ102" s="646">
        <f t="shared" ca="1" si="38"/>
        <v>81</v>
      </c>
      <c r="BR102" s="646">
        <f t="shared" ca="1" si="38"/>
        <v>72</v>
      </c>
      <c r="BS102" s="648">
        <f t="shared" ca="1" si="38"/>
        <v>55</v>
      </c>
    </row>
    <row r="103" spans="2:71" ht="15" customHeight="1" x14ac:dyDescent="0.25">
      <c r="B103" s="1716" t="str">
        <f>$B$28</f>
        <v>Inner rows, 2nd to 4th row from north</v>
      </c>
      <c r="C103" s="183" t="str">
        <f>$C$26</f>
        <v>1st-10th module</v>
      </c>
      <c r="D103" s="189">
        <f t="shared" ref="D103:M103" ca="1" si="39">AF103+(AP103-AF103)/(LOG(BJ103)-LOG(AZ103))*(LOG(D89)-LOG(AZ103))</f>
        <v>-0.18540313070608122</v>
      </c>
      <c r="E103" s="190">
        <f t="shared" ca="1" si="39"/>
        <v>-0.22757658922866755</v>
      </c>
      <c r="F103" s="190">
        <f t="shared" ca="1" si="39"/>
        <v>-0.17000494597255378</v>
      </c>
      <c r="G103" s="190">
        <f t="shared" ca="1" si="39"/>
        <v>-0.17915940140084177</v>
      </c>
      <c r="H103" s="573">
        <f t="shared" ca="1" si="39"/>
        <v>-0.17922535507802873</v>
      </c>
      <c r="I103" s="189">
        <f t="shared" ca="1" si="39"/>
        <v>-0.27013541713259681</v>
      </c>
      <c r="J103" s="190">
        <f t="shared" ca="1" si="39"/>
        <v>-0.29157888628640072</v>
      </c>
      <c r="K103" s="190">
        <f t="shared" ca="1" si="39"/>
        <v>-0.23432132301306846</v>
      </c>
      <c r="L103" s="190">
        <f t="shared" ca="1" si="39"/>
        <v>-0.21979595993959206</v>
      </c>
      <c r="M103" s="191">
        <f t="shared" ca="1" si="39"/>
        <v>-0.23530758405437743</v>
      </c>
      <c r="S103">
        <v>14</v>
      </c>
      <c r="T103" s="621"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73"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73">
        <f t="shared" ca="1" si="35"/>
        <v>-0.28000000000000003</v>
      </c>
      <c r="AK103" s="189">
        <f t="shared" ca="1" si="35"/>
        <v>-0.28000000000000003</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73">
        <f t="shared" ca="1" si="36"/>
        <v>-0.14000000000000001</v>
      </c>
      <c r="AU103" s="189">
        <f t="shared" ca="1" si="36"/>
        <v>-0.15</v>
      </c>
      <c r="AV103" s="190">
        <f t="shared" ca="1" si="36"/>
        <v>-0.24</v>
      </c>
      <c r="AW103" s="190">
        <f t="shared" ca="1" si="36"/>
        <v>-0.2</v>
      </c>
      <c r="AX103" s="190">
        <f t="shared" ca="1" si="36"/>
        <v>-0.19</v>
      </c>
      <c r="AY103" s="191">
        <f t="shared" ca="1" si="36"/>
        <v>-0.12</v>
      </c>
      <c r="AZ103" s="641">
        <f t="shared" ca="1" si="37"/>
        <v>69</v>
      </c>
      <c r="BA103" s="642">
        <f t="shared" ca="1" si="37"/>
        <v>204</v>
      </c>
      <c r="BB103" s="642">
        <f t="shared" ca="1" si="37"/>
        <v>99</v>
      </c>
      <c r="BC103" s="642">
        <f t="shared" ca="1" si="37"/>
        <v>123</v>
      </c>
      <c r="BD103" s="643">
        <f t="shared" ca="1" si="37"/>
        <v>13</v>
      </c>
      <c r="BE103" s="641">
        <f t="shared" ca="1" si="37"/>
        <v>69</v>
      </c>
      <c r="BF103" s="642">
        <f t="shared" ca="1" si="37"/>
        <v>13</v>
      </c>
      <c r="BG103" s="642">
        <f t="shared" ca="1" si="37"/>
        <v>18</v>
      </c>
      <c r="BH103" s="642">
        <f t="shared" ca="1" si="37"/>
        <v>25</v>
      </c>
      <c r="BI103" s="644">
        <f t="shared" ca="1" si="37"/>
        <v>13</v>
      </c>
      <c r="BJ103" s="641">
        <f t="shared" ca="1" si="38"/>
        <v>900</v>
      </c>
      <c r="BK103" s="642">
        <f t="shared" ca="1" si="38"/>
        <v>800</v>
      </c>
      <c r="BL103" s="642">
        <f t="shared" ca="1" si="38"/>
        <v>700</v>
      </c>
      <c r="BM103" s="642">
        <f t="shared" ca="1" si="38"/>
        <v>500</v>
      </c>
      <c r="BN103" s="643">
        <f t="shared" ca="1" si="38"/>
        <v>400</v>
      </c>
      <c r="BO103" s="641">
        <f t="shared" ca="1" si="38"/>
        <v>900</v>
      </c>
      <c r="BP103" s="642">
        <f t="shared" ca="1" si="38"/>
        <v>204</v>
      </c>
      <c r="BQ103" s="642">
        <f t="shared" ca="1" si="38"/>
        <v>99</v>
      </c>
      <c r="BR103" s="642">
        <f t="shared" ca="1" si="38"/>
        <v>123</v>
      </c>
      <c r="BS103" s="644">
        <f t="shared" ca="1" si="38"/>
        <v>400</v>
      </c>
    </row>
    <row r="104" spans="2:71" ht="15" customHeight="1" thickBot="1" x14ac:dyDescent="0.3">
      <c r="B104" s="1717"/>
      <c r="C104" s="278" t="str">
        <f>$C$27</f>
        <v>Interior modules</v>
      </c>
      <c r="D104" s="578">
        <f t="shared" ref="D104:M104" ca="1" si="40">AF104+(AP104-AF104)/(LOG(BJ104)-LOG(AZ104))*(LOG(D90)-LOG(AZ104))</f>
        <v>-0.15</v>
      </c>
      <c r="E104" s="579">
        <f t="shared" ca="1" si="40"/>
        <v>-0.21871156334851691</v>
      </c>
      <c r="F104" s="579">
        <f t="shared" ca="1" si="40"/>
        <v>-0.15055172220738045</v>
      </c>
      <c r="G104" s="579">
        <f t="shared" ca="1" si="40"/>
        <v>-0.1541691740185602</v>
      </c>
      <c r="H104" s="580">
        <f t="shared" ca="1" si="40"/>
        <v>-0.16077577854268627</v>
      </c>
      <c r="I104" s="578">
        <f t="shared" ca="1" si="40"/>
        <v>-0.2085957248453599</v>
      </c>
      <c r="J104" s="579">
        <f t="shared" ca="1" si="40"/>
        <v>-0.27821668820142481</v>
      </c>
      <c r="K104" s="579">
        <f t="shared" ca="1" si="40"/>
        <v>-0.1591022574908941</v>
      </c>
      <c r="L104" s="579">
        <f t="shared" ca="1" si="40"/>
        <v>-0.17732186637994851</v>
      </c>
      <c r="M104" s="581">
        <f t="shared" ca="1" si="40"/>
        <v>-0.1916752361966538</v>
      </c>
      <c r="S104">
        <v>21</v>
      </c>
      <c r="T104" s="622"/>
      <c r="U104" s="278" t="str">
        <f>$C$27</f>
        <v>Interior modules</v>
      </c>
      <c r="V104" s="578" t="str">
        <f t="shared" si="29"/>
        <v>C149:C153</v>
      </c>
      <c r="W104" s="579" t="str">
        <f t="shared" si="29"/>
        <v>F149:F153</v>
      </c>
      <c r="X104" s="579" t="str">
        <f t="shared" si="29"/>
        <v>I149:I153</v>
      </c>
      <c r="Y104" s="579" t="str">
        <f t="shared" si="29"/>
        <v>L149:L153</v>
      </c>
      <c r="Z104" s="580" t="str">
        <f t="shared" si="29"/>
        <v>O149:O153</v>
      </c>
      <c r="AA104" s="578" t="str">
        <f t="shared" si="29"/>
        <v>C207:C211</v>
      </c>
      <c r="AB104" s="579" t="str">
        <f t="shared" si="29"/>
        <v>F207:F211</v>
      </c>
      <c r="AC104" s="579" t="str">
        <f t="shared" si="29"/>
        <v>I207:I211</v>
      </c>
      <c r="AD104" s="579" t="str">
        <f t="shared" si="29"/>
        <v>L207:L211</v>
      </c>
      <c r="AE104" s="581" t="str">
        <f t="shared" si="29"/>
        <v>O207:O211</v>
      </c>
      <c r="AF104" s="578">
        <f t="shared" ca="1" si="35"/>
        <v>-0.15</v>
      </c>
      <c r="AG104" s="579">
        <f t="shared" ca="1" si="35"/>
        <v>-0.26</v>
      </c>
      <c r="AH104" s="579">
        <f t="shared" ca="1" si="35"/>
        <v>-0.16</v>
      </c>
      <c r="AI104" s="579">
        <f t="shared" ca="1" si="35"/>
        <v>-0.17</v>
      </c>
      <c r="AJ104" s="580">
        <f t="shared" ca="1" si="35"/>
        <v>-0.17</v>
      </c>
      <c r="AK104" s="578">
        <f t="shared" ca="1" si="35"/>
        <v>-0.22</v>
      </c>
      <c r="AL104" s="579">
        <f t="shared" ca="1" si="35"/>
        <v>-0.33</v>
      </c>
      <c r="AM104" s="579">
        <f t="shared" ca="1" si="35"/>
        <v>-0.16</v>
      </c>
      <c r="AN104" s="579">
        <f t="shared" ca="1" si="35"/>
        <v>-0.2</v>
      </c>
      <c r="AO104" s="581">
        <f t="shared" ca="1" si="35"/>
        <v>-0.25</v>
      </c>
      <c r="AP104" s="578">
        <f t="shared" ca="1" si="36"/>
        <v>-0.15</v>
      </c>
      <c r="AQ104" s="579">
        <f t="shared" ca="1" si="36"/>
        <v>-0.17</v>
      </c>
      <c r="AR104" s="579">
        <f t="shared" ca="1" si="36"/>
        <v>-0.15</v>
      </c>
      <c r="AS104" s="579">
        <f t="shared" ca="1" si="36"/>
        <v>-0.14000000000000001</v>
      </c>
      <c r="AT104" s="580">
        <f t="shared" ca="1" si="36"/>
        <v>-0.14000000000000001</v>
      </c>
      <c r="AU104" s="578">
        <f t="shared" ca="1" si="36"/>
        <v>-0.15</v>
      </c>
      <c r="AV104" s="579">
        <f t="shared" ca="1" si="36"/>
        <v>-0.25</v>
      </c>
      <c r="AW104" s="579">
        <f t="shared" ca="1" si="36"/>
        <v>-0.15</v>
      </c>
      <c r="AX104" s="579">
        <f t="shared" ca="1" si="36"/>
        <v>-0.16</v>
      </c>
      <c r="AY104" s="581">
        <f t="shared" ca="1" si="36"/>
        <v>-0.17</v>
      </c>
      <c r="AZ104" s="649">
        <f t="shared" ca="1" si="37"/>
        <v>246</v>
      </c>
      <c r="BA104" s="650">
        <f t="shared" ca="1" si="37"/>
        <v>130</v>
      </c>
      <c r="BB104" s="650">
        <f t="shared" ca="1" si="37"/>
        <v>36</v>
      </c>
      <c r="BC104" s="650">
        <f t="shared" ca="1" si="37"/>
        <v>72</v>
      </c>
      <c r="BD104" s="651">
        <f t="shared" ca="1" si="37"/>
        <v>100</v>
      </c>
      <c r="BE104" s="649">
        <f t="shared" ca="1" si="37"/>
        <v>68</v>
      </c>
      <c r="BF104" s="650">
        <f t="shared" ca="1" si="37"/>
        <v>12</v>
      </c>
      <c r="BG104" s="650">
        <f t="shared" ca="1" si="37"/>
        <v>36</v>
      </c>
      <c r="BH104" s="650">
        <f t="shared" ca="1" si="37"/>
        <v>16</v>
      </c>
      <c r="BI104" s="652">
        <f t="shared" ca="1" si="37"/>
        <v>1</v>
      </c>
      <c r="BJ104" s="649">
        <f t="shared" ca="1" si="38"/>
        <v>10000</v>
      </c>
      <c r="BK104" s="650">
        <f t="shared" ca="1" si="38"/>
        <v>800</v>
      </c>
      <c r="BL104" s="650">
        <f t="shared" ca="1" si="38"/>
        <v>255</v>
      </c>
      <c r="BM104" s="650">
        <f t="shared" ca="1" si="38"/>
        <v>500</v>
      </c>
      <c r="BN104" s="651">
        <f t="shared" ca="1" si="38"/>
        <v>400</v>
      </c>
      <c r="BO104" s="649">
        <f t="shared" ca="1" si="38"/>
        <v>246</v>
      </c>
      <c r="BP104" s="650">
        <f t="shared" ca="1" si="38"/>
        <v>130</v>
      </c>
      <c r="BQ104" s="650">
        <f t="shared" ca="1" si="38"/>
        <v>255</v>
      </c>
      <c r="BR104" s="650">
        <f t="shared" ca="1" si="38"/>
        <v>72</v>
      </c>
      <c r="BS104" s="652">
        <f t="shared" ca="1" si="38"/>
        <v>100</v>
      </c>
    </row>
    <row r="105" spans="2:71" ht="15" customHeight="1" x14ac:dyDescent="0.25">
      <c r="B105" s="1716" t="str">
        <f>$B$30</f>
        <v>Inner rows, from 5th row from north</v>
      </c>
      <c r="C105" s="183" t="str">
        <f>$C$26</f>
        <v>1st-10th module</v>
      </c>
      <c r="D105" s="189">
        <f t="shared" ref="D105:M105" ca="1" si="41">AF105+(AP105-AF105)/(LOG(BJ105)-LOG(AZ105))*(LOG(D91)-LOG(AZ105))</f>
        <v>-0.15859828186401426</v>
      </c>
      <c r="E105" s="190">
        <f t="shared" ca="1" si="41"/>
        <v>-0.19703140274762021</v>
      </c>
      <c r="F105" s="190">
        <f t="shared" ca="1" si="41"/>
        <v>-0.14554966724466623</v>
      </c>
      <c r="G105" s="190">
        <f t="shared" ca="1" si="41"/>
        <v>-0.15672350913163197</v>
      </c>
      <c r="H105" s="190">
        <f t="shared" ca="1" si="41"/>
        <v>-0.14000000000000001</v>
      </c>
      <c r="I105" s="189">
        <f t="shared" ca="1" si="41"/>
        <v>-0.27943498844426617</v>
      </c>
      <c r="J105" s="190">
        <f t="shared" ca="1" si="41"/>
        <v>-0.25067913229920674</v>
      </c>
      <c r="K105" s="190">
        <f t="shared" ca="1" si="41"/>
        <v>-0.20645323958996015</v>
      </c>
      <c r="L105" s="190">
        <f t="shared" ca="1" si="41"/>
        <v>-0.19817753164645441</v>
      </c>
      <c r="M105" s="191">
        <f t="shared" ca="1" si="41"/>
        <v>-0.12</v>
      </c>
      <c r="S105">
        <v>28</v>
      </c>
      <c r="T105" s="621"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-0.31</v>
      </c>
      <c r="AL105" s="190">
        <f t="shared" ca="1" si="35"/>
        <v>-0.31</v>
      </c>
      <c r="AM105" s="190">
        <f t="shared" ca="1" si="35"/>
        <v>-0.27</v>
      </c>
      <c r="AN105" s="190">
        <f t="shared" ca="1" si="35"/>
        <v>-0.25</v>
      </c>
      <c r="AO105" s="191">
        <f t="shared" ca="1" si="35"/>
        <v>-0.12</v>
      </c>
      <c r="AP105" s="189">
        <f t="shared" ca="1" si="36"/>
        <v>-0.15</v>
      </c>
      <c r="AQ105" s="190">
        <f t="shared" ca="1" si="36"/>
        <v>-0.17</v>
      </c>
      <c r="AR105" s="190">
        <f t="shared" ca="1" si="36"/>
        <v>-0.13</v>
      </c>
      <c r="AS105" s="190">
        <f t="shared" ca="1" si="36"/>
        <v>-0.14000000000000001</v>
      </c>
      <c r="AT105" s="190">
        <f t="shared" ca="1" si="36"/>
        <v>-0.14000000000000001</v>
      </c>
      <c r="AU105" s="189">
        <f t="shared" ca="1" si="36"/>
        <v>-0.15</v>
      </c>
      <c r="AV105" s="190">
        <f t="shared" ca="1" si="36"/>
        <v>-0.23</v>
      </c>
      <c r="AW105" s="190">
        <f t="shared" ca="1" si="36"/>
        <v>-0.16</v>
      </c>
      <c r="AX105" s="190">
        <f t="shared" ca="1" si="36"/>
        <v>-0.18</v>
      </c>
      <c r="AY105" s="191">
        <f t="shared" ca="1" si="36"/>
        <v>-0.12</v>
      </c>
      <c r="AZ105" s="641">
        <f t="shared" ca="1" si="37"/>
        <v>55</v>
      </c>
      <c r="BA105" s="642">
        <f t="shared" ca="1" si="37"/>
        <v>99</v>
      </c>
      <c r="BB105" s="642">
        <f t="shared" ca="1" si="37"/>
        <v>81</v>
      </c>
      <c r="BC105" s="642">
        <f t="shared" ca="1" si="37"/>
        <v>56</v>
      </c>
      <c r="BD105" s="642">
        <f t="shared" ca="1" si="37"/>
        <v>35</v>
      </c>
      <c r="BE105" s="641">
        <f t="shared" ca="1" si="37"/>
        <v>55</v>
      </c>
      <c r="BF105" s="642">
        <f t="shared" ca="1" si="37"/>
        <v>11</v>
      </c>
      <c r="BG105" s="642">
        <f t="shared" ca="1" si="37"/>
        <v>18</v>
      </c>
      <c r="BH105" s="642">
        <f t="shared" ca="1" si="37"/>
        <v>12</v>
      </c>
      <c r="BI105" s="644">
        <f t="shared" ca="1" si="37"/>
        <v>35</v>
      </c>
      <c r="BJ105" s="641">
        <f t="shared" ca="1" si="38"/>
        <v>500</v>
      </c>
      <c r="BK105" s="642">
        <f t="shared" ca="1" si="38"/>
        <v>600</v>
      </c>
      <c r="BL105" s="642">
        <f t="shared" ca="1" si="38"/>
        <v>700</v>
      </c>
      <c r="BM105" s="642">
        <f t="shared" ca="1" si="38"/>
        <v>500</v>
      </c>
      <c r="BN105" s="642">
        <f t="shared" ca="1" si="38"/>
        <v>10000</v>
      </c>
      <c r="BO105" s="641">
        <f t="shared" ca="1" si="38"/>
        <v>500</v>
      </c>
      <c r="BP105" s="642">
        <f t="shared" ca="1" si="38"/>
        <v>99</v>
      </c>
      <c r="BQ105" s="642">
        <f t="shared" ca="1" si="38"/>
        <v>81</v>
      </c>
      <c r="BR105" s="642">
        <f t="shared" ca="1" si="38"/>
        <v>56</v>
      </c>
      <c r="BS105" s="644">
        <f t="shared" ca="1" si="38"/>
        <v>10000</v>
      </c>
    </row>
    <row r="106" spans="2:71" ht="15" customHeight="1" thickBot="1" x14ac:dyDescent="0.3">
      <c r="B106" s="1717"/>
      <c r="C106" s="278" t="str">
        <f>$C$27</f>
        <v>Interior modules</v>
      </c>
      <c r="D106" s="582">
        <f t="shared" ref="D106:M106" ca="1" si="42">AF106+(AP106-AF106)/(LOG(BJ106)-LOG(AZ106))*(LOG(D92)-LOG(AZ106))</f>
        <v>-0.15</v>
      </c>
      <c r="E106" s="583">
        <f t="shared" ca="1" si="42"/>
        <v>-0.20294733630104622</v>
      </c>
      <c r="F106" s="583">
        <f t="shared" ca="1" si="42"/>
        <v>-0.13</v>
      </c>
      <c r="G106" s="583">
        <f t="shared" ca="1" si="42"/>
        <v>-0.14000000000000001</v>
      </c>
      <c r="H106" s="583">
        <f t="shared" ca="1" si="42"/>
        <v>-0.14000000000000001</v>
      </c>
      <c r="I106" s="582">
        <f t="shared" ca="1" si="42"/>
        <v>-0.16692404114049589</v>
      </c>
      <c r="J106" s="583">
        <f t="shared" ca="1" si="42"/>
        <v>-0.24958313878246352</v>
      </c>
      <c r="K106" s="583">
        <f t="shared" ca="1" si="42"/>
        <v>-0.15619658579439863</v>
      </c>
      <c r="L106" s="583">
        <f t="shared" ca="1" si="42"/>
        <v>-0.14519358047041556</v>
      </c>
      <c r="M106" s="585">
        <f t="shared" ca="1" si="42"/>
        <v>-0.12</v>
      </c>
      <c r="S106">
        <v>35</v>
      </c>
      <c r="T106" s="622"/>
      <c r="U106" s="277" t="str">
        <f>$C$27</f>
        <v>Interior modules</v>
      </c>
      <c r="V106" s="582" t="str">
        <f t="shared" si="29"/>
        <v>C163:C167</v>
      </c>
      <c r="W106" s="583" t="str">
        <f t="shared" si="29"/>
        <v>F163:F167</v>
      </c>
      <c r="X106" s="583" t="str">
        <f t="shared" si="29"/>
        <v>I163:I167</v>
      </c>
      <c r="Y106" s="583" t="str">
        <f t="shared" si="29"/>
        <v>L163:L167</v>
      </c>
      <c r="Z106" s="583" t="str">
        <f t="shared" si="29"/>
        <v>O163:O167</v>
      </c>
      <c r="AA106" s="582" t="str">
        <f t="shared" si="29"/>
        <v>C221:C225</v>
      </c>
      <c r="AB106" s="583" t="str">
        <f t="shared" si="29"/>
        <v>F221:F225</v>
      </c>
      <c r="AC106" s="583" t="str">
        <f t="shared" si="29"/>
        <v>I221:I225</v>
      </c>
      <c r="AD106" s="583" t="str">
        <f t="shared" si="29"/>
        <v>L221:L225</v>
      </c>
      <c r="AE106" s="585" t="str">
        <f t="shared" si="29"/>
        <v>O221:O225</v>
      </c>
      <c r="AF106" s="582">
        <f t="shared" ca="1" si="35"/>
        <v>-0.15</v>
      </c>
      <c r="AG106" s="583">
        <f t="shared" ca="1" si="35"/>
        <v>-0.24</v>
      </c>
      <c r="AH106" s="583">
        <f t="shared" ca="1" si="35"/>
        <v>-0.13</v>
      </c>
      <c r="AI106" s="583">
        <f t="shared" ca="1" si="35"/>
        <v>-0.14000000000000001</v>
      </c>
      <c r="AJ106" s="583">
        <f t="shared" ca="1" si="35"/>
        <v>-0.14000000000000001</v>
      </c>
      <c r="AK106" s="582">
        <f t="shared" ca="1" si="35"/>
        <v>-0.17</v>
      </c>
      <c r="AL106" s="583">
        <f t="shared" ca="1" si="35"/>
        <v>-0.3</v>
      </c>
      <c r="AM106" s="583">
        <f t="shared" ca="1" si="35"/>
        <v>-0.16</v>
      </c>
      <c r="AN106" s="583">
        <f t="shared" ca="1" si="35"/>
        <v>-0.16</v>
      </c>
      <c r="AO106" s="585">
        <f t="shared" ca="1" si="35"/>
        <v>-0.12</v>
      </c>
      <c r="AP106" s="582">
        <f t="shared" ca="1" si="36"/>
        <v>-0.15</v>
      </c>
      <c r="AQ106" s="583">
        <f t="shared" ca="1" si="36"/>
        <v>-0.17</v>
      </c>
      <c r="AR106" s="583">
        <f t="shared" ca="1" si="36"/>
        <v>-0.13</v>
      </c>
      <c r="AS106" s="583">
        <f t="shared" ca="1" si="36"/>
        <v>-0.14000000000000001</v>
      </c>
      <c r="AT106" s="583">
        <f t="shared" ca="1" si="36"/>
        <v>-0.14000000000000001</v>
      </c>
      <c r="AU106" s="582">
        <f t="shared" ca="1" si="36"/>
        <v>-0.15</v>
      </c>
      <c r="AV106" s="583">
        <f t="shared" ca="1" si="36"/>
        <v>-0.23</v>
      </c>
      <c r="AW106" s="583">
        <f t="shared" ca="1" si="36"/>
        <v>-0.13</v>
      </c>
      <c r="AX106" s="583">
        <f t="shared" ca="1" si="36"/>
        <v>-0.14000000000000001</v>
      </c>
      <c r="AY106" s="585">
        <f t="shared" ca="1" si="36"/>
        <v>-0.12</v>
      </c>
      <c r="AZ106" s="653">
        <f t="shared" ca="1" si="37"/>
        <v>245</v>
      </c>
      <c r="BA106" s="654">
        <f t="shared" ca="1" si="37"/>
        <v>99</v>
      </c>
      <c r="BB106" s="654">
        <f t="shared" ca="1" si="37"/>
        <v>144</v>
      </c>
      <c r="BC106" s="654">
        <f t="shared" ca="1" si="37"/>
        <v>56</v>
      </c>
      <c r="BD106" s="654">
        <f t="shared" ca="1" si="37"/>
        <v>35</v>
      </c>
      <c r="BE106" s="653">
        <f t="shared" ca="1" si="37"/>
        <v>69</v>
      </c>
      <c r="BF106" s="654">
        <f t="shared" ca="1" si="37"/>
        <v>13</v>
      </c>
      <c r="BG106" s="654">
        <f t="shared" ca="1" si="37"/>
        <v>36</v>
      </c>
      <c r="BH106" s="654">
        <f t="shared" ca="1" si="37"/>
        <v>12</v>
      </c>
      <c r="BI106" s="655">
        <f t="shared" ca="1" si="37"/>
        <v>35</v>
      </c>
      <c r="BJ106" s="653">
        <f t="shared" ca="1" si="38"/>
        <v>10000</v>
      </c>
      <c r="BK106" s="654">
        <f t="shared" ca="1" si="38"/>
        <v>800</v>
      </c>
      <c r="BL106" s="654">
        <f t="shared" ca="1" si="38"/>
        <v>700</v>
      </c>
      <c r="BM106" s="654">
        <f t="shared" ca="1" si="38"/>
        <v>500</v>
      </c>
      <c r="BN106" s="654">
        <f t="shared" ca="1" si="38"/>
        <v>10000</v>
      </c>
      <c r="BO106" s="653">
        <f t="shared" ca="1" si="38"/>
        <v>245</v>
      </c>
      <c r="BP106" s="654">
        <f t="shared" ca="1" si="38"/>
        <v>99</v>
      </c>
      <c r="BQ106" s="654">
        <f t="shared" ca="1" si="38"/>
        <v>144</v>
      </c>
      <c r="BR106" s="654">
        <f t="shared" ca="1" si="38"/>
        <v>56</v>
      </c>
      <c r="BS106" s="655">
        <f t="shared" ca="1" si="38"/>
        <v>10000</v>
      </c>
    </row>
    <row r="107" spans="2:71" ht="15" customHeight="1" x14ac:dyDescent="0.25">
      <c r="B107" s="1716" t="str">
        <f>$B$32</f>
        <v>South row</v>
      </c>
      <c r="C107" s="183" t="str">
        <f>$C$26</f>
        <v>1st-10th module</v>
      </c>
      <c r="D107" s="189">
        <f t="shared" ref="D107:M107" ca="1" si="43">AF107+(AP107-AF107)/(LOG(BJ107)-LOG(AZ107))*(LOG(D93)-LOG(AZ107))</f>
        <v>-0.17347161663633265</v>
      </c>
      <c r="E107" s="190">
        <f t="shared" ca="1" si="43"/>
        <v>-0.19270165282333807</v>
      </c>
      <c r="F107" s="190">
        <f t="shared" ca="1" si="43"/>
        <v>-0.16013463940487116</v>
      </c>
      <c r="G107" s="190">
        <f t="shared" ca="1" si="43"/>
        <v>-0.14836175456581599</v>
      </c>
      <c r="H107" s="573">
        <f t="shared" ca="1" si="43"/>
        <v>-0.14000000000000001</v>
      </c>
      <c r="I107" s="189">
        <f t="shared" ca="1" si="43"/>
        <v>-0.24285476220291077</v>
      </c>
      <c r="J107" s="190">
        <f t="shared" ca="1" si="43"/>
        <v>-0.2313422528117996</v>
      </c>
      <c r="K107" s="190">
        <f t="shared" ca="1" si="43"/>
        <v>-0.21407745849022475</v>
      </c>
      <c r="L107" s="190">
        <f t="shared" ca="1" si="43"/>
        <v>-0.17416342290199252</v>
      </c>
      <c r="M107" s="191">
        <f t="shared" ca="1" si="43"/>
        <v>-0.12452334376229594</v>
      </c>
      <c r="S107">
        <v>42</v>
      </c>
      <c r="T107" s="621" t="str">
        <f>$B$32</f>
        <v>South row</v>
      </c>
      <c r="U107" s="183" t="str">
        <f>$C$26</f>
        <v>1st-10th module</v>
      </c>
      <c r="V107" s="189" t="str">
        <f t="shared" si="29"/>
        <v>C170:C174</v>
      </c>
      <c r="W107" s="190" t="str">
        <f t="shared" si="29"/>
        <v>F170:F174</v>
      </c>
      <c r="X107" s="190" t="str">
        <f t="shared" si="29"/>
        <v>I170:I174</v>
      </c>
      <c r="Y107" s="190" t="str">
        <f t="shared" si="29"/>
        <v>L170:L174</v>
      </c>
      <c r="Z107" s="573"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73">
        <f t="shared" ca="1" si="35"/>
        <v>-0.14000000000000001</v>
      </c>
      <c r="AK107" s="189">
        <f t="shared" ca="1" si="35"/>
        <v>-0.41</v>
      </c>
      <c r="AL107" s="190">
        <f t="shared" ca="1" si="35"/>
        <v>-0.25</v>
      </c>
      <c r="AM107" s="190">
        <f t="shared" ca="1" si="35"/>
        <v>-0.22</v>
      </c>
      <c r="AN107" s="190">
        <f t="shared" ca="1" si="35"/>
        <v>-0.19</v>
      </c>
      <c r="AO107" s="191">
        <f t="shared" ca="1" si="35"/>
        <v>-0.2</v>
      </c>
      <c r="AP107" s="189">
        <f t="shared" ca="1" si="36"/>
        <v>-0.15</v>
      </c>
      <c r="AQ107" s="190">
        <f t="shared" ca="1" si="36"/>
        <v>-0.17</v>
      </c>
      <c r="AR107" s="190">
        <f t="shared" ca="1" si="36"/>
        <v>-0.13</v>
      </c>
      <c r="AS107" s="190">
        <f t="shared" ca="1" si="36"/>
        <v>-0.14000000000000001</v>
      </c>
      <c r="AT107" s="573">
        <f t="shared" ca="1" si="36"/>
        <v>-0.14000000000000001</v>
      </c>
      <c r="AU107" s="189">
        <f t="shared" ca="1" si="36"/>
        <v>-0.24</v>
      </c>
      <c r="AV107" s="190">
        <f t="shared" ca="1" si="36"/>
        <v>-0.17</v>
      </c>
      <c r="AW107" s="190">
        <f t="shared" ca="1" si="36"/>
        <v>-0.12</v>
      </c>
      <c r="AX107" s="190">
        <f t="shared" ca="1" si="36"/>
        <v>-0.16</v>
      </c>
      <c r="AY107" s="191">
        <f t="shared" ca="1" si="36"/>
        <v>-0.12</v>
      </c>
      <c r="AZ107" s="641">
        <f t="shared" ca="1" si="37"/>
        <v>86</v>
      </c>
      <c r="BA107" s="642">
        <f t="shared" ca="1" si="37"/>
        <v>25</v>
      </c>
      <c r="BB107" s="642">
        <f t="shared" ca="1" si="37"/>
        <v>36</v>
      </c>
      <c r="BC107" s="642">
        <f t="shared" ca="1" si="37"/>
        <v>56</v>
      </c>
      <c r="BD107" s="643">
        <f t="shared" ca="1" si="37"/>
        <v>40</v>
      </c>
      <c r="BE107" s="641">
        <f t="shared" ca="1" si="37"/>
        <v>19</v>
      </c>
      <c r="BF107" s="642">
        <f t="shared" ca="1" si="37"/>
        <v>25</v>
      </c>
      <c r="BG107" s="642">
        <f t="shared" ca="1" si="37"/>
        <v>36</v>
      </c>
      <c r="BH107" s="642">
        <f t="shared" ca="1" si="37"/>
        <v>24</v>
      </c>
      <c r="BI107" s="644">
        <f t="shared" ca="1" si="37"/>
        <v>13</v>
      </c>
      <c r="BJ107" s="641">
        <f t="shared" ca="1" si="38"/>
        <v>800</v>
      </c>
      <c r="BK107" s="642">
        <f t="shared" ca="1" si="38"/>
        <v>800</v>
      </c>
      <c r="BL107" s="642">
        <f t="shared" ca="1" si="38"/>
        <v>700</v>
      </c>
      <c r="BM107" s="642">
        <f t="shared" ca="1" si="38"/>
        <v>500</v>
      </c>
      <c r="BN107" s="643">
        <f t="shared" ca="1" si="38"/>
        <v>10000</v>
      </c>
      <c r="BO107" s="641">
        <f t="shared" ca="1" si="38"/>
        <v>86</v>
      </c>
      <c r="BP107" s="642">
        <f t="shared" ca="1" si="38"/>
        <v>800</v>
      </c>
      <c r="BQ107" s="642">
        <f t="shared" ca="1" si="38"/>
        <v>700</v>
      </c>
      <c r="BR107" s="642">
        <f t="shared" ca="1" si="38"/>
        <v>56</v>
      </c>
      <c r="BS107" s="644">
        <f t="shared" ca="1" si="38"/>
        <v>40</v>
      </c>
    </row>
    <row r="108" spans="2:71" ht="15" customHeight="1" thickBot="1" x14ac:dyDescent="0.3">
      <c r="B108" s="1717"/>
      <c r="C108" s="278" t="str">
        <f>$C$27</f>
        <v>Interior modules</v>
      </c>
      <c r="D108" s="578">
        <f t="shared" ref="D108:M108" ca="1" si="44">AF108+(AP108-AF108)/(LOG(BJ108)-LOG(AZ108))*(LOG(D94)-LOG(AZ108))</f>
        <v>-0.15</v>
      </c>
      <c r="E108" s="579">
        <f t="shared" ca="1" si="44"/>
        <v>-0.19608750393160157</v>
      </c>
      <c r="F108" s="579">
        <f t="shared" ca="1" si="44"/>
        <v>-0.13</v>
      </c>
      <c r="G108" s="579">
        <f t="shared" ca="1" si="44"/>
        <v>-0.13</v>
      </c>
      <c r="H108" s="580">
        <f t="shared" ca="1" si="44"/>
        <v>-0.14000000000000001</v>
      </c>
      <c r="I108" s="578">
        <f t="shared" ca="1" si="44"/>
        <v>-0.17232789560562783</v>
      </c>
      <c r="J108" s="579">
        <f t="shared" ca="1" si="44"/>
        <v>-0.21869791016064341</v>
      </c>
      <c r="K108" s="579">
        <f t="shared" ca="1" si="44"/>
        <v>-0.16056268342679841</v>
      </c>
      <c r="L108" s="579">
        <f t="shared" ca="1" si="44"/>
        <v>-0.13779037070562333</v>
      </c>
      <c r="M108" s="581">
        <f t="shared" ca="1" si="44"/>
        <v>-0.12</v>
      </c>
      <c r="S108">
        <v>49</v>
      </c>
      <c r="T108" s="622"/>
      <c r="U108" s="277" t="str">
        <f>$C$27</f>
        <v>Interior modules</v>
      </c>
      <c r="V108" s="578" t="str">
        <f t="shared" si="29"/>
        <v>C177:C181</v>
      </c>
      <c r="W108" s="579" t="str">
        <f t="shared" si="29"/>
        <v>F177:F181</v>
      </c>
      <c r="X108" s="579" t="str">
        <f t="shared" si="29"/>
        <v>I177:I181</v>
      </c>
      <c r="Y108" s="579" t="str">
        <f t="shared" si="29"/>
        <v>L177:L181</v>
      </c>
      <c r="Z108" s="580" t="str">
        <f t="shared" si="29"/>
        <v>O177:O181</v>
      </c>
      <c r="AA108" s="578" t="str">
        <f t="shared" si="29"/>
        <v>C235:C239</v>
      </c>
      <c r="AB108" s="579" t="str">
        <f t="shared" si="29"/>
        <v>F235:F239</v>
      </c>
      <c r="AC108" s="579" t="str">
        <f t="shared" si="29"/>
        <v>I235:I239</v>
      </c>
      <c r="AD108" s="579" t="str">
        <f t="shared" si="29"/>
        <v>L235:L239</v>
      </c>
      <c r="AE108" s="581" t="str">
        <f t="shared" si="29"/>
        <v>O235:O239</v>
      </c>
      <c r="AF108" s="578">
        <f t="shared" ca="1" si="35"/>
        <v>-0.15</v>
      </c>
      <c r="AG108" s="579">
        <f t="shared" ca="1" si="35"/>
        <v>-0.22</v>
      </c>
      <c r="AH108" s="579">
        <f t="shared" ca="1" si="35"/>
        <v>-0.13</v>
      </c>
      <c r="AI108" s="579">
        <f t="shared" ca="1" si="35"/>
        <v>-0.13</v>
      </c>
      <c r="AJ108" s="580">
        <f t="shared" ca="1" si="35"/>
        <v>-0.14000000000000001</v>
      </c>
      <c r="AK108" s="578">
        <f t="shared" ca="1" si="35"/>
        <v>-0.22</v>
      </c>
      <c r="AL108" s="579">
        <f t="shared" ca="1" si="35"/>
        <v>-0.26</v>
      </c>
      <c r="AM108" s="579">
        <f t="shared" ca="1" si="35"/>
        <v>-0.2</v>
      </c>
      <c r="AN108" s="579">
        <f t="shared" ca="1" si="35"/>
        <v>-0.16</v>
      </c>
      <c r="AO108" s="581">
        <f t="shared" ca="1" si="35"/>
        <v>-0.12</v>
      </c>
      <c r="AP108" s="578">
        <f t="shared" ca="1" si="36"/>
        <v>-0.15</v>
      </c>
      <c r="AQ108" s="579">
        <f t="shared" ca="1" si="36"/>
        <v>-0.17</v>
      </c>
      <c r="AR108" s="579">
        <f t="shared" ca="1" si="36"/>
        <v>-0.13</v>
      </c>
      <c r="AS108" s="579">
        <f t="shared" ca="1" si="36"/>
        <v>-0.13</v>
      </c>
      <c r="AT108" s="580">
        <f t="shared" ca="1" si="36"/>
        <v>-0.14000000000000001</v>
      </c>
      <c r="AU108" s="578">
        <f t="shared" ca="1" si="36"/>
        <v>-0.15</v>
      </c>
      <c r="AV108" s="579">
        <f t="shared" ca="1" si="36"/>
        <v>-0.2</v>
      </c>
      <c r="AW108" s="579">
        <f t="shared" ca="1" si="36"/>
        <v>-0.13</v>
      </c>
      <c r="AX108" s="579">
        <f t="shared" ca="1" si="36"/>
        <v>-0.13</v>
      </c>
      <c r="AY108" s="581">
        <f t="shared" ca="1" si="36"/>
        <v>-0.12</v>
      </c>
      <c r="AZ108" s="649">
        <f t="shared" ca="1" si="37"/>
        <v>120</v>
      </c>
      <c r="BA108" s="650">
        <f t="shared" ca="1" si="37"/>
        <v>99</v>
      </c>
      <c r="BB108" s="650">
        <f t="shared" ca="1" si="37"/>
        <v>144</v>
      </c>
      <c r="BC108" s="650">
        <f t="shared" ca="1" si="37"/>
        <v>56</v>
      </c>
      <c r="BD108" s="651">
        <f t="shared" ca="1" si="37"/>
        <v>25</v>
      </c>
      <c r="BE108" s="649">
        <f t="shared" ca="1" si="37"/>
        <v>39</v>
      </c>
      <c r="BF108" s="650">
        <f t="shared" ca="1" si="37"/>
        <v>16</v>
      </c>
      <c r="BG108" s="650">
        <f t="shared" ca="1" si="37"/>
        <v>9</v>
      </c>
      <c r="BH108" s="650">
        <f t="shared" ca="1" si="37"/>
        <v>12</v>
      </c>
      <c r="BI108" s="652">
        <f t="shared" ca="1" si="37"/>
        <v>25</v>
      </c>
      <c r="BJ108" s="649">
        <f t="shared" ca="1" si="38"/>
        <v>10000</v>
      </c>
      <c r="BK108" s="650">
        <f t="shared" ca="1" si="38"/>
        <v>1000</v>
      </c>
      <c r="BL108" s="650">
        <f t="shared" ca="1" si="38"/>
        <v>700</v>
      </c>
      <c r="BM108" s="650">
        <f t="shared" ca="1" si="38"/>
        <v>500</v>
      </c>
      <c r="BN108" s="651">
        <f t="shared" ca="1" si="38"/>
        <v>10000</v>
      </c>
      <c r="BO108" s="649">
        <f t="shared" ca="1" si="38"/>
        <v>120</v>
      </c>
      <c r="BP108" s="650">
        <f t="shared" ca="1" si="38"/>
        <v>99</v>
      </c>
      <c r="BQ108" s="650">
        <f t="shared" ca="1" si="38"/>
        <v>144</v>
      </c>
      <c r="BR108" s="650">
        <f t="shared" ca="1" si="38"/>
        <v>56</v>
      </c>
      <c r="BS108" s="652">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82</v>
      </c>
      <c r="J114" s="438" t="s">
        <v>82</v>
      </c>
      <c r="K114" s="438" t="s">
        <v>82</v>
      </c>
      <c r="L114" s="438" t="s">
        <v>82</v>
      </c>
      <c r="M114" s="439" t="s">
        <v>82</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1st-10th module</v>
      </c>
      <c r="D115" s="626">
        <f ca="1">AF115+(AP115-AF115)/(LOG(BJ115)-LOG(AZ115))*(LOG(D87)-LOG(AZ115))</f>
        <v>94.910748585581629</v>
      </c>
      <c r="E115" s="627">
        <f t="shared" ref="E115:M115" ca="1" si="45">AG115+(AQ115-AG115)/(LOG(BK115)-LOG(BA115))*(LOG(E87)-LOG(BA115))</f>
        <v>117.30393663994924</v>
      </c>
      <c r="F115" s="627">
        <f t="shared" ca="1" si="45"/>
        <v>83.903392336865181</v>
      </c>
      <c r="G115" s="627">
        <f t="shared" ca="1" si="45"/>
        <v>79.84298415049102</v>
      </c>
      <c r="H115" s="628">
        <f t="shared" ca="1" si="45"/>
        <v>81.160799164486775</v>
      </c>
      <c r="I115" s="626">
        <f t="shared" ca="1" si="45"/>
        <v>162.44204606622924</v>
      </c>
      <c r="J115" s="627">
        <f t="shared" ca="1" si="45"/>
        <v>197.43280202579905</v>
      </c>
      <c r="K115" s="627">
        <f t="shared" ca="1" si="45"/>
        <v>120.00399693211281</v>
      </c>
      <c r="L115" s="627">
        <f t="shared" ca="1" si="45"/>
        <v>106.47964691995946</v>
      </c>
      <c r="M115" s="629">
        <f t="shared" ca="1" si="45"/>
        <v>105.42881047734281</v>
      </c>
      <c r="S115">
        <v>0</v>
      </c>
      <c r="T115" s="621"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73"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41">
        <f ca="1">INDEX(OFFSET(INDIRECT(V115),0,2),MATCH(D87,INDIRECT(V115),1))</f>
        <v>135</v>
      </c>
      <c r="AG115" s="642">
        <f t="shared" ref="AG115:AO115" ca="1" si="47">INDEX(OFFSET(INDIRECT(W115),0,2),MATCH(E87,INDIRECT(W115),1))</f>
        <v>170</v>
      </c>
      <c r="AH115" s="642">
        <f t="shared" ca="1" si="47"/>
        <v>133</v>
      </c>
      <c r="AI115" s="642">
        <f t="shared" ca="1" si="47"/>
        <v>92</v>
      </c>
      <c r="AJ115" s="643">
        <f t="shared" ca="1" si="47"/>
        <v>108</v>
      </c>
      <c r="AK115" s="641">
        <f t="shared" ca="1" si="47"/>
        <v>243</v>
      </c>
      <c r="AL115" s="642">
        <f t="shared" ca="1" si="47"/>
        <v>614</v>
      </c>
      <c r="AM115" s="642">
        <f t="shared" ca="1" si="47"/>
        <v>183</v>
      </c>
      <c r="AN115" s="642">
        <f t="shared" ca="1" si="47"/>
        <v>120</v>
      </c>
      <c r="AO115" s="644">
        <f t="shared" ca="1" si="47"/>
        <v>113</v>
      </c>
      <c r="AP115" s="641">
        <f ca="1">INDEX(OFFSET(INDIRECT(V115),0,2),MATCH(D87,INDIRECT(V115),1)+1)</f>
        <v>65</v>
      </c>
      <c r="AQ115" s="642">
        <f t="shared" ref="AQ115:AY115" ca="1" si="48">INDEX(OFFSET(INDIRECT(W115),0,2),MATCH(E87,INDIRECT(W115),1)+1)</f>
        <v>81</v>
      </c>
      <c r="AR115" s="642">
        <f t="shared" ca="1" si="48"/>
        <v>57</v>
      </c>
      <c r="AS115" s="642">
        <f t="shared" ca="1" si="48"/>
        <v>57</v>
      </c>
      <c r="AT115" s="643">
        <f t="shared" ca="1" si="48"/>
        <v>56</v>
      </c>
      <c r="AU115" s="641">
        <f t="shared" ca="1" si="48"/>
        <v>120</v>
      </c>
      <c r="AV115" s="642">
        <f t="shared" ca="1" si="48"/>
        <v>155</v>
      </c>
      <c r="AW115" s="642">
        <f t="shared" ca="1" si="48"/>
        <v>110</v>
      </c>
      <c r="AX115" s="642">
        <f t="shared" ca="1" si="48"/>
        <v>67</v>
      </c>
      <c r="AY115" s="644">
        <f t="shared" ca="1" si="48"/>
        <v>78</v>
      </c>
      <c r="AZ115" s="641">
        <f ca="1">INDEX(OFFSET(INDIRECT(V115),0,0),MATCH(D87,INDIRECT(V115),1))</f>
        <v>70</v>
      </c>
      <c r="BA115" s="642">
        <f t="shared" ref="BA115:BI115" ca="1" si="49">INDEX(OFFSET(INDIRECT(W115),0,0),MATCH(E87,INDIRECT(W115),1))</f>
        <v>121</v>
      </c>
      <c r="BB115" s="642">
        <f t="shared" ca="1" si="49"/>
        <v>55</v>
      </c>
      <c r="BC115" s="642">
        <f t="shared" ca="1" si="49"/>
        <v>123</v>
      </c>
      <c r="BD115" s="643">
        <f t="shared" ca="1" si="49"/>
        <v>55</v>
      </c>
      <c r="BE115" s="641">
        <f t="shared" ca="1" si="49"/>
        <v>25</v>
      </c>
      <c r="BF115" s="642">
        <f t="shared" ca="1" si="49"/>
        <v>1</v>
      </c>
      <c r="BG115" s="642">
        <f t="shared" ca="1" si="49"/>
        <v>9</v>
      </c>
      <c r="BH115" s="642">
        <f t="shared" ca="1" si="49"/>
        <v>25</v>
      </c>
      <c r="BI115" s="644">
        <f t="shared" ca="1" si="49"/>
        <v>24</v>
      </c>
      <c r="BJ115" s="641">
        <f ca="1">INDEX(OFFSET(INDIRECT(V115),0,0),MATCH(D87,INDIRECT(V115),1)+1)</f>
        <v>700</v>
      </c>
      <c r="BK115" s="642">
        <f t="shared" ref="BK115:BS115" ca="1" si="50">INDEX(OFFSET(INDIRECT(W115),0,0),MATCH(E87,INDIRECT(W115),1)+1)</f>
        <v>700</v>
      </c>
      <c r="BL115" s="642">
        <f t="shared" ca="1" si="50"/>
        <v>500</v>
      </c>
      <c r="BM115" s="642">
        <f t="shared" ca="1" si="50"/>
        <v>500</v>
      </c>
      <c r="BN115" s="643">
        <f t="shared" ca="1" si="50"/>
        <v>400</v>
      </c>
      <c r="BO115" s="641">
        <f t="shared" ca="1" si="50"/>
        <v>70</v>
      </c>
      <c r="BP115" s="642">
        <f t="shared" ca="1" si="50"/>
        <v>98</v>
      </c>
      <c r="BQ115" s="642">
        <f t="shared" ca="1" si="50"/>
        <v>55</v>
      </c>
      <c r="BR115" s="642">
        <f t="shared" ca="1" si="50"/>
        <v>123</v>
      </c>
      <c r="BS115" s="644">
        <f t="shared" ca="1" si="50"/>
        <v>55</v>
      </c>
    </row>
    <row r="116" spans="2:71" ht="15" customHeight="1" thickBot="1" x14ac:dyDescent="0.3">
      <c r="B116" s="1717"/>
      <c r="C116" s="278" t="str">
        <f>$C$27</f>
        <v>Interior modules</v>
      </c>
      <c r="D116" s="630">
        <f t="shared" ref="D116:M116" ca="1" si="51">AF116+(AP116-AF116)/(LOG(BJ116)-LOG(AZ116))*(LOG(D88)-LOG(AZ116))</f>
        <v>65</v>
      </c>
      <c r="E116" s="631">
        <f t="shared" ca="1" si="51"/>
        <v>103.73709702933053</v>
      </c>
      <c r="F116" s="631">
        <f t="shared" ca="1" si="51"/>
        <v>74.622956210621709</v>
      </c>
      <c r="G116" s="631">
        <f t="shared" ca="1" si="51"/>
        <v>76.364537825365588</v>
      </c>
      <c r="H116" s="632">
        <f t="shared" ca="1" si="51"/>
        <v>84.547829821244619</v>
      </c>
      <c r="I116" s="630">
        <f t="shared" ca="1" si="51"/>
        <v>116.77161269608253</v>
      </c>
      <c r="J116" s="631">
        <f t="shared" ca="1" si="51"/>
        <v>184.00438728601381</v>
      </c>
      <c r="K116" s="631">
        <f t="shared" ca="1" si="51"/>
        <v>81.657485798874973</v>
      </c>
      <c r="L116" s="631">
        <f t="shared" ca="1" si="51"/>
        <v>96.095872096387566</v>
      </c>
      <c r="M116" s="633">
        <f t="shared" ca="1" si="51"/>
        <v>106.21249077669546</v>
      </c>
      <c r="S116">
        <v>7</v>
      </c>
      <c r="T116" s="622"/>
      <c r="U116" s="277" t="str">
        <f>$C$27</f>
        <v>Interior modules</v>
      </c>
      <c r="V116" s="574" t="str">
        <f t="shared" si="46"/>
        <v>C135:C139</v>
      </c>
      <c r="W116" s="575" t="str">
        <f t="shared" si="46"/>
        <v>F135:F139</v>
      </c>
      <c r="X116" s="575" t="str">
        <f t="shared" si="46"/>
        <v>I135:I139</v>
      </c>
      <c r="Y116" s="575" t="str">
        <f t="shared" si="46"/>
        <v>L135:L139</v>
      </c>
      <c r="Z116" s="576" t="str">
        <f t="shared" si="46"/>
        <v>O135:O139</v>
      </c>
      <c r="AA116" s="574" t="str">
        <f t="shared" si="46"/>
        <v>C193:C197</v>
      </c>
      <c r="AB116" s="575" t="str">
        <f t="shared" si="46"/>
        <v>F193:F197</v>
      </c>
      <c r="AC116" s="575" t="str">
        <f t="shared" si="46"/>
        <v>I193:I197</v>
      </c>
      <c r="AD116" s="575" t="str">
        <f t="shared" si="46"/>
        <v>L193:L197</v>
      </c>
      <c r="AE116" s="577" t="str">
        <f t="shared" si="46"/>
        <v>O193:O197</v>
      </c>
      <c r="AF116" s="645">
        <f t="shared" ref="AF116:AO122" ca="1" si="52">INDEX(OFFSET(INDIRECT(V116),0,2),MATCH(D88,INDIRECT(V116),1))</f>
        <v>65</v>
      </c>
      <c r="AG116" s="646">
        <f t="shared" ca="1" si="52"/>
        <v>166</v>
      </c>
      <c r="AH116" s="646">
        <f t="shared" ca="1" si="52"/>
        <v>91</v>
      </c>
      <c r="AI116" s="646">
        <f t="shared" ca="1" si="52"/>
        <v>98</v>
      </c>
      <c r="AJ116" s="647">
        <f t="shared" ca="1" si="52"/>
        <v>115</v>
      </c>
      <c r="AK116" s="645">
        <f t="shared" ca="1" si="52"/>
        <v>215</v>
      </c>
      <c r="AL116" s="646">
        <f t="shared" ca="1" si="52"/>
        <v>616</v>
      </c>
      <c r="AM116" s="646">
        <f t="shared" ca="1" si="52"/>
        <v>130</v>
      </c>
      <c r="AN116" s="646">
        <f t="shared" ca="1" si="52"/>
        <v>102</v>
      </c>
      <c r="AO116" s="648">
        <f t="shared" ca="1" si="52"/>
        <v>114</v>
      </c>
      <c r="AP116" s="645">
        <f t="shared" ref="AP116:AY122" ca="1" si="53">INDEX(OFFSET(INDIRECT(V116),0,2),MATCH(D88,INDIRECT(V116),1)+1)</f>
        <v>65</v>
      </c>
      <c r="AQ116" s="646">
        <f t="shared" ca="1" si="53"/>
        <v>81</v>
      </c>
      <c r="AR116" s="646">
        <f t="shared" ca="1" si="53"/>
        <v>57</v>
      </c>
      <c r="AS116" s="646">
        <f t="shared" ca="1" si="53"/>
        <v>57</v>
      </c>
      <c r="AT116" s="647">
        <f t="shared" ca="1" si="53"/>
        <v>56</v>
      </c>
      <c r="AU116" s="645">
        <f t="shared" ca="1" si="53"/>
        <v>107</v>
      </c>
      <c r="AV116" s="646">
        <f t="shared" ca="1" si="53"/>
        <v>140</v>
      </c>
      <c r="AW116" s="646">
        <f t="shared" ca="1" si="53"/>
        <v>62</v>
      </c>
      <c r="AX116" s="646">
        <f t="shared" ca="1" si="53"/>
        <v>72</v>
      </c>
      <c r="AY116" s="648">
        <f t="shared" ca="1" si="53"/>
        <v>78</v>
      </c>
      <c r="AZ116" s="645">
        <f t="shared" ref="AZ116:BI122" ca="1" si="54">INDEX(OFFSET(INDIRECT(V116),0,0),MATCH(D88,INDIRECT(V116),1))</f>
        <v>164</v>
      </c>
      <c r="BA116" s="646">
        <f t="shared" ca="1" si="54"/>
        <v>121</v>
      </c>
      <c r="BB116" s="646">
        <f t="shared" ca="1" si="54"/>
        <v>81</v>
      </c>
      <c r="BC116" s="646">
        <f t="shared" ca="1" si="54"/>
        <v>72</v>
      </c>
      <c r="BD116" s="647">
        <f t="shared" ca="1" si="54"/>
        <v>55</v>
      </c>
      <c r="BE116" s="645">
        <f t="shared" ca="1" si="54"/>
        <v>13</v>
      </c>
      <c r="BF116" s="646">
        <f t="shared" ca="1" si="54"/>
        <v>1</v>
      </c>
      <c r="BG116" s="646">
        <f t="shared" ca="1" si="54"/>
        <v>9</v>
      </c>
      <c r="BH116" s="646">
        <f t="shared" ca="1" si="54"/>
        <v>32</v>
      </c>
      <c r="BI116" s="648">
        <f t="shared" ca="1" si="54"/>
        <v>24</v>
      </c>
      <c r="BJ116" s="645">
        <f t="shared" ref="BJ116:BS122" ca="1" si="55">INDEX(OFFSET(INDIRECT(V116),0,0),MATCH(D88,INDIRECT(V116),1)+1)</f>
        <v>10000</v>
      </c>
      <c r="BK116" s="646">
        <f t="shared" ca="1" si="55"/>
        <v>500</v>
      </c>
      <c r="BL116" s="646">
        <f t="shared" ca="1" si="55"/>
        <v>700</v>
      </c>
      <c r="BM116" s="646">
        <f t="shared" ca="1" si="55"/>
        <v>500</v>
      </c>
      <c r="BN116" s="647">
        <f t="shared" ca="1" si="55"/>
        <v>400</v>
      </c>
      <c r="BO116" s="645">
        <f t="shared" ca="1" si="55"/>
        <v>56</v>
      </c>
      <c r="BP116" s="646">
        <f t="shared" ca="1" si="55"/>
        <v>98</v>
      </c>
      <c r="BQ116" s="646">
        <f t="shared" ca="1" si="55"/>
        <v>81</v>
      </c>
      <c r="BR116" s="646">
        <f t="shared" ca="1" si="55"/>
        <v>72</v>
      </c>
      <c r="BS116" s="648">
        <f t="shared" ca="1" si="55"/>
        <v>55</v>
      </c>
    </row>
    <row r="117" spans="2:71" ht="15" customHeight="1" x14ac:dyDescent="0.25">
      <c r="B117" s="1716" t="str">
        <f>$B$28</f>
        <v>Inner rows, 2nd to 4th row from north</v>
      </c>
      <c r="C117" s="183" t="str">
        <f>$C$26</f>
        <v>1st-10th module</v>
      </c>
      <c r="D117" s="626">
        <f t="shared" ref="D117:M117" ca="1" si="56">AF117+(AP117-AF117)/(LOG(BJ117)-LOG(AZ117))*(LOG(D89)-LOG(AZ117))</f>
        <v>93.050172790202822</v>
      </c>
      <c r="E117" s="627">
        <f t="shared" ca="1" si="56"/>
        <v>120.58390509470894</v>
      </c>
      <c r="F117" s="627">
        <f t="shared" ca="1" si="56"/>
        <v>83.860463724428968</v>
      </c>
      <c r="G117" s="627">
        <f t="shared" ca="1" si="56"/>
        <v>83.758924290575195</v>
      </c>
      <c r="H117" s="628">
        <f t="shared" ca="1" si="56"/>
        <v>83.457748554620082</v>
      </c>
      <c r="I117" s="626">
        <f t="shared" ca="1" si="56"/>
        <v>114.6124201262644</v>
      </c>
      <c r="J117" s="627">
        <f t="shared" ca="1" si="56"/>
        <v>127.19614004192039</v>
      </c>
      <c r="K117" s="627">
        <f t="shared" ca="1" si="56"/>
        <v>99.612184578896247</v>
      </c>
      <c r="L117" s="627">
        <f t="shared" ca="1" si="56"/>
        <v>84.642878968285828</v>
      </c>
      <c r="M117" s="629">
        <f t="shared" ca="1" si="56"/>
        <v>99.415833205597266</v>
      </c>
      <c r="S117">
        <v>14</v>
      </c>
      <c r="T117" s="621"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73"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41">
        <f t="shared" ca="1" si="52"/>
        <v>168</v>
      </c>
      <c r="AG117" s="642">
        <f t="shared" ca="1" si="52"/>
        <v>136</v>
      </c>
      <c r="AH117" s="642">
        <f t="shared" ca="1" si="52"/>
        <v>104</v>
      </c>
      <c r="AI117" s="642">
        <f t="shared" ca="1" si="52"/>
        <v>98</v>
      </c>
      <c r="AJ117" s="643">
        <f t="shared" ca="1" si="52"/>
        <v>154</v>
      </c>
      <c r="AK117" s="641">
        <f t="shared" ca="1" si="52"/>
        <v>120</v>
      </c>
      <c r="AL117" s="642">
        <f t="shared" ca="1" si="52"/>
        <v>158</v>
      </c>
      <c r="AM117" s="642">
        <f t="shared" ca="1" si="52"/>
        <v>120</v>
      </c>
      <c r="AN117" s="642">
        <f t="shared" ca="1" si="52"/>
        <v>90</v>
      </c>
      <c r="AO117" s="644">
        <f t="shared" ca="1" si="52"/>
        <v>120</v>
      </c>
      <c r="AP117" s="641">
        <f t="shared" ca="1" si="53"/>
        <v>65</v>
      </c>
      <c r="AQ117" s="642">
        <f t="shared" ca="1" si="53"/>
        <v>81</v>
      </c>
      <c r="AR117" s="642">
        <f t="shared" ca="1" si="53"/>
        <v>57</v>
      </c>
      <c r="AS117" s="642">
        <f t="shared" ca="1" si="53"/>
        <v>57</v>
      </c>
      <c r="AT117" s="643">
        <f t="shared" ca="1" si="53"/>
        <v>56</v>
      </c>
      <c r="AU117" s="641">
        <f t="shared" ca="1" si="53"/>
        <v>49</v>
      </c>
      <c r="AV117" s="642">
        <f t="shared" ca="1" si="53"/>
        <v>100</v>
      </c>
      <c r="AW117" s="642">
        <f t="shared" ca="1" si="53"/>
        <v>80</v>
      </c>
      <c r="AX117" s="642">
        <f t="shared" ca="1" si="53"/>
        <v>69</v>
      </c>
      <c r="AY117" s="644">
        <f t="shared" ca="1" si="53"/>
        <v>31</v>
      </c>
      <c r="AZ117" s="641">
        <f t="shared" ca="1" si="54"/>
        <v>69</v>
      </c>
      <c r="BA117" s="642">
        <f t="shared" ca="1" si="54"/>
        <v>204</v>
      </c>
      <c r="BB117" s="642">
        <f t="shared" ca="1" si="54"/>
        <v>99</v>
      </c>
      <c r="BC117" s="642">
        <f t="shared" ca="1" si="54"/>
        <v>123</v>
      </c>
      <c r="BD117" s="643">
        <f t="shared" ca="1" si="54"/>
        <v>13</v>
      </c>
      <c r="BE117" s="641">
        <f t="shared" ca="1" si="54"/>
        <v>69</v>
      </c>
      <c r="BF117" s="642">
        <f t="shared" ca="1" si="54"/>
        <v>13</v>
      </c>
      <c r="BG117" s="642">
        <f t="shared" ca="1" si="54"/>
        <v>18</v>
      </c>
      <c r="BH117" s="642">
        <f t="shared" ca="1" si="54"/>
        <v>25</v>
      </c>
      <c r="BI117" s="644">
        <f t="shared" ca="1" si="54"/>
        <v>13</v>
      </c>
      <c r="BJ117" s="641">
        <f t="shared" ca="1" si="55"/>
        <v>900</v>
      </c>
      <c r="BK117" s="642">
        <f t="shared" ca="1" si="55"/>
        <v>800</v>
      </c>
      <c r="BL117" s="642">
        <f t="shared" ca="1" si="55"/>
        <v>700</v>
      </c>
      <c r="BM117" s="642">
        <f t="shared" ca="1" si="55"/>
        <v>500</v>
      </c>
      <c r="BN117" s="643">
        <f t="shared" ca="1" si="55"/>
        <v>400</v>
      </c>
      <c r="BO117" s="641">
        <f t="shared" ca="1" si="55"/>
        <v>900</v>
      </c>
      <c r="BP117" s="642">
        <f t="shared" ca="1" si="55"/>
        <v>204</v>
      </c>
      <c r="BQ117" s="642">
        <f t="shared" ca="1" si="55"/>
        <v>99</v>
      </c>
      <c r="BR117" s="642">
        <f t="shared" ca="1" si="55"/>
        <v>123</v>
      </c>
      <c r="BS117" s="644">
        <f t="shared" ca="1" si="55"/>
        <v>400</v>
      </c>
    </row>
    <row r="118" spans="2:71" ht="15" customHeight="1" thickBot="1" x14ac:dyDescent="0.3">
      <c r="B118" s="1717"/>
      <c r="C118" s="278" t="str">
        <f>$C$27</f>
        <v>Interior modules</v>
      </c>
      <c r="D118" s="634">
        <f t="shared" ref="D118:M118" ca="1" si="57">AF118+(AP118-AF118)/(LOG(BJ118)-LOG(AZ118))*(LOG(D90)-LOG(AZ118))</f>
        <v>65</v>
      </c>
      <c r="E118" s="635">
        <f t="shared" ca="1" si="57"/>
        <v>114.55685475120052</v>
      </c>
      <c r="F118" s="635">
        <f t="shared" ca="1" si="57"/>
        <v>69.331033324428262</v>
      </c>
      <c r="G118" s="635">
        <f t="shared" ca="1" si="57"/>
        <v>66.918421812992136</v>
      </c>
      <c r="H118" s="636">
        <f t="shared" ca="1" si="57"/>
        <v>70.543044979880378</v>
      </c>
      <c r="I118" s="634">
        <f t="shared" ca="1" si="57"/>
        <v>88.342843824741649</v>
      </c>
      <c r="J118" s="635">
        <f t="shared" ca="1" si="57"/>
        <v>119.98813872840832</v>
      </c>
      <c r="K118" s="635">
        <f t="shared" ca="1" si="57"/>
        <v>48.461354494536458</v>
      </c>
      <c r="L118" s="635">
        <f t="shared" ca="1" si="57"/>
        <v>61.960073168470402</v>
      </c>
      <c r="M118" s="637">
        <f t="shared" ca="1" si="57"/>
        <v>68.276082170450451</v>
      </c>
      <c r="S118">
        <v>21</v>
      </c>
      <c r="T118" s="622"/>
      <c r="U118" s="278" t="str">
        <f>$C$27</f>
        <v>Interior modules</v>
      </c>
      <c r="V118" s="578" t="str">
        <f t="shared" si="46"/>
        <v>C149:C153</v>
      </c>
      <c r="W118" s="579" t="str">
        <f t="shared" si="46"/>
        <v>F149:F153</v>
      </c>
      <c r="X118" s="579" t="str">
        <f t="shared" si="46"/>
        <v>I149:I153</v>
      </c>
      <c r="Y118" s="579" t="str">
        <f t="shared" si="46"/>
        <v>L149:L153</v>
      </c>
      <c r="Z118" s="580" t="str">
        <f t="shared" si="46"/>
        <v>O149:O153</v>
      </c>
      <c r="AA118" s="578" t="str">
        <f t="shared" si="46"/>
        <v>C207:C211</v>
      </c>
      <c r="AB118" s="579" t="str">
        <f t="shared" si="46"/>
        <v>F207:F211</v>
      </c>
      <c r="AC118" s="579" t="str">
        <f t="shared" si="46"/>
        <v>I207:I211</v>
      </c>
      <c r="AD118" s="579" t="str">
        <f t="shared" si="46"/>
        <v>L207:L211</v>
      </c>
      <c r="AE118" s="581" t="str">
        <f t="shared" si="46"/>
        <v>O207:O211</v>
      </c>
      <c r="AF118" s="649">
        <f t="shared" ca="1" si="52"/>
        <v>65</v>
      </c>
      <c r="AG118" s="650">
        <f t="shared" ca="1" si="52"/>
        <v>143</v>
      </c>
      <c r="AH118" s="650">
        <f t="shared" ca="1" si="52"/>
        <v>75</v>
      </c>
      <c r="AI118" s="650">
        <f t="shared" ca="1" si="52"/>
        <v>78</v>
      </c>
      <c r="AJ118" s="651">
        <f t="shared" ca="1" si="52"/>
        <v>77</v>
      </c>
      <c r="AK118" s="649">
        <f t="shared" ca="1" si="52"/>
        <v>96</v>
      </c>
      <c r="AL118" s="650">
        <f t="shared" ca="1" si="52"/>
        <v>153</v>
      </c>
      <c r="AM118" s="650">
        <f t="shared" ca="1" si="52"/>
        <v>49</v>
      </c>
      <c r="AN118" s="650">
        <f t="shared" ca="1" si="52"/>
        <v>75</v>
      </c>
      <c r="AO118" s="652">
        <f t="shared" ca="1" si="52"/>
        <v>104</v>
      </c>
      <c r="AP118" s="649">
        <f t="shared" ca="1" si="53"/>
        <v>65</v>
      </c>
      <c r="AQ118" s="650">
        <f t="shared" ca="1" si="53"/>
        <v>81</v>
      </c>
      <c r="AR118" s="650">
        <f t="shared" ca="1" si="53"/>
        <v>69</v>
      </c>
      <c r="AS118" s="650">
        <f t="shared" ca="1" si="53"/>
        <v>57</v>
      </c>
      <c r="AT118" s="651">
        <f t="shared" ca="1" si="53"/>
        <v>56</v>
      </c>
      <c r="AU118" s="649">
        <f t="shared" ca="1" si="53"/>
        <v>49</v>
      </c>
      <c r="AV118" s="650">
        <f t="shared" ca="1" si="53"/>
        <v>102</v>
      </c>
      <c r="AW118" s="650">
        <f t="shared" ca="1" si="53"/>
        <v>43</v>
      </c>
      <c r="AX118" s="650">
        <f t="shared" ca="1" si="53"/>
        <v>52</v>
      </c>
      <c r="AY118" s="652">
        <f t="shared" ca="1" si="53"/>
        <v>55</v>
      </c>
      <c r="AZ118" s="649">
        <f t="shared" ca="1" si="54"/>
        <v>246</v>
      </c>
      <c r="BA118" s="650">
        <f t="shared" ca="1" si="54"/>
        <v>130</v>
      </c>
      <c r="BB118" s="650">
        <f t="shared" ca="1" si="54"/>
        <v>36</v>
      </c>
      <c r="BC118" s="650">
        <f t="shared" ca="1" si="54"/>
        <v>72</v>
      </c>
      <c r="BD118" s="651">
        <f t="shared" ca="1" si="54"/>
        <v>100</v>
      </c>
      <c r="BE118" s="649">
        <f t="shared" ca="1" si="54"/>
        <v>68</v>
      </c>
      <c r="BF118" s="650">
        <f t="shared" ca="1" si="54"/>
        <v>12</v>
      </c>
      <c r="BG118" s="650">
        <f t="shared" ca="1" si="54"/>
        <v>36</v>
      </c>
      <c r="BH118" s="650">
        <f t="shared" ca="1" si="54"/>
        <v>16</v>
      </c>
      <c r="BI118" s="652">
        <f t="shared" ca="1" si="54"/>
        <v>1</v>
      </c>
      <c r="BJ118" s="649">
        <f t="shared" ca="1" si="55"/>
        <v>10000</v>
      </c>
      <c r="BK118" s="650">
        <f t="shared" ca="1" si="55"/>
        <v>800</v>
      </c>
      <c r="BL118" s="650">
        <f t="shared" ca="1" si="55"/>
        <v>255</v>
      </c>
      <c r="BM118" s="650">
        <f t="shared" ca="1" si="55"/>
        <v>500</v>
      </c>
      <c r="BN118" s="651">
        <f t="shared" ca="1" si="55"/>
        <v>400</v>
      </c>
      <c r="BO118" s="649">
        <f t="shared" ca="1" si="55"/>
        <v>246</v>
      </c>
      <c r="BP118" s="650">
        <f t="shared" ca="1" si="55"/>
        <v>130</v>
      </c>
      <c r="BQ118" s="650">
        <f t="shared" ca="1" si="55"/>
        <v>255</v>
      </c>
      <c r="BR118" s="650">
        <f t="shared" ca="1" si="55"/>
        <v>72</v>
      </c>
      <c r="BS118" s="652">
        <f t="shared" ca="1" si="55"/>
        <v>100</v>
      </c>
    </row>
    <row r="119" spans="2:71" ht="15" customHeight="1" x14ac:dyDescent="0.25">
      <c r="B119" s="1716" t="str">
        <f>$B$30</f>
        <v>Inner rows, from 5th row from north</v>
      </c>
      <c r="C119" s="183" t="str">
        <f>$C$26</f>
        <v>1st-10th module</v>
      </c>
      <c r="D119" s="626">
        <f t="shared" ref="D119:M119" ca="1" si="58">AF119+(AP119-AF119)/(LOG(BJ119)-LOG(AZ119))*(LOG(D91)-LOG(AZ119))</f>
        <v>71.018797304809979</v>
      </c>
      <c r="E119" s="627">
        <f t="shared" ca="1" si="58"/>
        <v>98.763493234150417</v>
      </c>
      <c r="F119" s="627">
        <f t="shared" ca="1" si="58"/>
        <v>66.329800346799729</v>
      </c>
      <c r="G119" s="627">
        <f t="shared" ca="1" si="58"/>
        <v>68.288368663851571</v>
      </c>
      <c r="H119" s="627">
        <f t="shared" ca="1" si="58"/>
        <v>56</v>
      </c>
      <c r="I119" s="626">
        <f t="shared" ca="1" si="58"/>
        <v>119.38027496656974</v>
      </c>
      <c r="J119" s="627">
        <f t="shared" ca="1" si="58"/>
        <v>101.14899022578396</v>
      </c>
      <c r="K119" s="627">
        <f t="shared" ca="1" si="58"/>
        <v>79.915828507342241</v>
      </c>
      <c r="L119" s="627">
        <f t="shared" ca="1" si="58"/>
        <v>72.166198011393433</v>
      </c>
      <c r="M119" s="629">
        <f t="shared" ca="1" si="58"/>
        <v>31</v>
      </c>
      <c r="S119">
        <v>28</v>
      </c>
      <c r="T119" s="621"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41">
        <f t="shared" ca="1" si="52"/>
        <v>184</v>
      </c>
      <c r="AG119" s="642">
        <f t="shared" ca="1" si="52"/>
        <v>127</v>
      </c>
      <c r="AH119" s="642">
        <f t="shared" ca="1" si="52"/>
        <v>75</v>
      </c>
      <c r="AI119" s="642">
        <f t="shared" ca="1" si="52"/>
        <v>84</v>
      </c>
      <c r="AJ119" s="642">
        <f t="shared" ca="1" si="52"/>
        <v>56</v>
      </c>
      <c r="AK119" s="641">
        <f t="shared" ca="1" si="52"/>
        <v>136</v>
      </c>
      <c r="AL119" s="642">
        <f t="shared" ca="1" si="52"/>
        <v>136</v>
      </c>
      <c r="AM119" s="642">
        <f t="shared" ca="1" si="52"/>
        <v>114</v>
      </c>
      <c r="AN119" s="642">
        <f t="shared" ca="1" si="52"/>
        <v>104</v>
      </c>
      <c r="AO119" s="644">
        <f t="shared" ca="1" si="52"/>
        <v>31</v>
      </c>
      <c r="AP119" s="641">
        <f t="shared" ca="1" si="53"/>
        <v>65</v>
      </c>
      <c r="AQ119" s="642">
        <f t="shared" ca="1" si="53"/>
        <v>81</v>
      </c>
      <c r="AR119" s="642">
        <f t="shared" ca="1" si="53"/>
        <v>57</v>
      </c>
      <c r="AS119" s="642">
        <f t="shared" ca="1" si="53"/>
        <v>57</v>
      </c>
      <c r="AT119" s="642">
        <f t="shared" ca="1" si="53"/>
        <v>56</v>
      </c>
      <c r="AU119" s="641">
        <f t="shared" ca="1" si="53"/>
        <v>49</v>
      </c>
      <c r="AV119" s="642">
        <f t="shared" ca="1" si="53"/>
        <v>89</v>
      </c>
      <c r="AW119" s="642">
        <f t="shared" ca="1" si="53"/>
        <v>55</v>
      </c>
      <c r="AX119" s="642">
        <f t="shared" ca="1" si="53"/>
        <v>61</v>
      </c>
      <c r="AY119" s="644">
        <f t="shared" ca="1" si="53"/>
        <v>31</v>
      </c>
      <c r="AZ119" s="641">
        <f t="shared" ca="1" si="54"/>
        <v>55</v>
      </c>
      <c r="BA119" s="642">
        <f t="shared" ca="1" si="54"/>
        <v>99</v>
      </c>
      <c r="BB119" s="642">
        <f t="shared" ca="1" si="54"/>
        <v>81</v>
      </c>
      <c r="BC119" s="642">
        <f t="shared" ca="1" si="54"/>
        <v>56</v>
      </c>
      <c r="BD119" s="642">
        <f t="shared" ca="1" si="54"/>
        <v>35</v>
      </c>
      <c r="BE119" s="641">
        <f t="shared" ca="1" si="54"/>
        <v>55</v>
      </c>
      <c r="BF119" s="642">
        <f t="shared" ca="1" si="54"/>
        <v>11</v>
      </c>
      <c r="BG119" s="642">
        <f t="shared" ca="1" si="54"/>
        <v>18</v>
      </c>
      <c r="BH119" s="642">
        <f t="shared" ca="1" si="54"/>
        <v>12</v>
      </c>
      <c r="BI119" s="644">
        <f t="shared" ca="1" si="54"/>
        <v>35</v>
      </c>
      <c r="BJ119" s="641">
        <f t="shared" ca="1" si="55"/>
        <v>500</v>
      </c>
      <c r="BK119" s="642">
        <f t="shared" ca="1" si="55"/>
        <v>600</v>
      </c>
      <c r="BL119" s="642">
        <f t="shared" ca="1" si="55"/>
        <v>700</v>
      </c>
      <c r="BM119" s="642">
        <f t="shared" ca="1" si="55"/>
        <v>500</v>
      </c>
      <c r="BN119" s="642">
        <f t="shared" ca="1" si="55"/>
        <v>10000</v>
      </c>
      <c r="BO119" s="641">
        <f t="shared" ca="1" si="55"/>
        <v>500</v>
      </c>
      <c r="BP119" s="642">
        <f t="shared" ca="1" si="55"/>
        <v>99</v>
      </c>
      <c r="BQ119" s="642">
        <f t="shared" ca="1" si="55"/>
        <v>81</v>
      </c>
      <c r="BR119" s="642">
        <f t="shared" ca="1" si="55"/>
        <v>56</v>
      </c>
      <c r="BS119" s="644">
        <f t="shared" ca="1" si="55"/>
        <v>10000</v>
      </c>
    </row>
    <row r="120" spans="2:71" ht="15" customHeight="1" thickBot="1" x14ac:dyDescent="0.3">
      <c r="B120" s="1717"/>
      <c r="C120" s="278" t="str">
        <f>$C$27</f>
        <v>Interior modules</v>
      </c>
      <c r="D120" s="638">
        <f t="shared" ref="D120:M120" ca="1" si="59">AF120+(AP120-AF120)/(LOG(BJ120)-LOG(AZ120))*(LOG(D92)-LOG(AZ120))</f>
        <v>65</v>
      </c>
      <c r="E120" s="639">
        <f t="shared" ca="1" si="59"/>
        <v>103.59245917786026</v>
      </c>
      <c r="F120" s="639">
        <f t="shared" ca="1" si="59"/>
        <v>57</v>
      </c>
      <c r="G120" s="639">
        <f t="shared" ca="1" si="59"/>
        <v>58.672350913163193</v>
      </c>
      <c r="H120" s="639">
        <f t="shared" ca="1" si="59"/>
        <v>56</v>
      </c>
      <c r="I120" s="638">
        <f t="shared" ca="1" si="59"/>
        <v>54.077212342148762</v>
      </c>
      <c r="J120" s="639">
        <f t="shared" ca="1" si="59"/>
        <v>100.74988326947812</v>
      </c>
      <c r="K120" s="639">
        <f t="shared" ca="1" si="59"/>
        <v>46.717951476639179</v>
      </c>
      <c r="L120" s="639">
        <f t="shared" ca="1" si="59"/>
        <v>41.67422242337399</v>
      </c>
      <c r="M120" s="640">
        <f t="shared" ca="1" si="59"/>
        <v>31</v>
      </c>
      <c r="S120">
        <v>35</v>
      </c>
      <c r="T120" s="622"/>
      <c r="U120" s="277" t="str">
        <f>$C$27</f>
        <v>Interior modules</v>
      </c>
      <c r="V120" s="582" t="str">
        <f t="shared" si="46"/>
        <v>C163:C167</v>
      </c>
      <c r="W120" s="583" t="str">
        <f t="shared" si="46"/>
        <v>F163:F167</v>
      </c>
      <c r="X120" s="583" t="str">
        <f t="shared" si="46"/>
        <v>I163:I167</v>
      </c>
      <c r="Y120" s="583" t="str">
        <f t="shared" si="46"/>
        <v>L163:L167</v>
      </c>
      <c r="Z120" s="583" t="str">
        <f t="shared" si="46"/>
        <v>O163:O167</v>
      </c>
      <c r="AA120" s="582" t="str">
        <f t="shared" si="46"/>
        <v>C221:C225</v>
      </c>
      <c r="AB120" s="583" t="str">
        <f t="shared" si="46"/>
        <v>F221:F225</v>
      </c>
      <c r="AC120" s="583" t="str">
        <f t="shared" si="46"/>
        <v>I221:I225</v>
      </c>
      <c r="AD120" s="583" t="str">
        <f t="shared" si="46"/>
        <v>L221:L225</v>
      </c>
      <c r="AE120" s="585" t="str">
        <f t="shared" si="46"/>
        <v>O221:O225</v>
      </c>
      <c r="AF120" s="653">
        <f t="shared" ca="1" si="52"/>
        <v>65</v>
      </c>
      <c r="AG120" s="654">
        <f t="shared" ca="1" si="52"/>
        <v>129</v>
      </c>
      <c r="AH120" s="654">
        <f t="shared" ca="1" si="52"/>
        <v>57</v>
      </c>
      <c r="AI120" s="654">
        <f t="shared" ca="1" si="52"/>
        <v>61</v>
      </c>
      <c r="AJ120" s="654">
        <f t="shared" ca="1" si="52"/>
        <v>56</v>
      </c>
      <c r="AK120" s="653">
        <f t="shared" ca="1" si="52"/>
        <v>55</v>
      </c>
      <c r="AL120" s="654">
        <f t="shared" ca="1" si="52"/>
        <v>131</v>
      </c>
      <c r="AM120" s="654">
        <f t="shared" ca="1" si="52"/>
        <v>49</v>
      </c>
      <c r="AN120" s="654">
        <f t="shared" ca="1" si="52"/>
        <v>55</v>
      </c>
      <c r="AO120" s="655">
        <f t="shared" ca="1" si="52"/>
        <v>31</v>
      </c>
      <c r="AP120" s="653">
        <f t="shared" ca="1" si="53"/>
        <v>65</v>
      </c>
      <c r="AQ120" s="654">
        <f t="shared" ca="1" si="53"/>
        <v>81</v>
      </c>
      <c r="AR120" s="654">
        <f t="shared" ca="1" si="53"/>
        <v>57</v>
      </c>
      <c r="AS120" s="654">
        <f t="shared" ca="1" si="53"/>
        <v>57</v>
      </c>
      <c r="AT120" s="654">
        <f t="shared" ca="1" si="53"/>
        <v>56</v>
      </c>
      <c r="AU120" s="653">
        <f t="shared" ca="1" si="53"/>
        <v>49</v>
      </c>
      <c r="AV120" s="654">
        <f t="shared" ca="1" si="53"/>
        <v>89</v>
      </c>
      <c r="AW120" s="654">
        <f t="shared" ca="1" si="53"/>
        <v>31</v>
      </c>
      <c r="AX120" s="654">
        <f t="shared" ca="1" si="53"/>
        <v>37</v>
      </c>
      <c r="AY120" s="655">
        <f t="shared" ca="1" si="53"/>
        <v>31</v>
      </c>
      <c r="AZ120" s="653">
        <f t="shared" ca="1" si="54"/>
        <v>245</v>
      </c>
      <c r="BA120" s="654">
        <f t="shared" ca="1" si="54"/>
        <v>99</v>
      </c>
      <c r="BB120" s="654">
        <f t="shared" ca="1" si="54"/>
        <v>144</v>
      </c>
      <c r="BC120" s="654">
        <f t="shared" ca="1" si="54"/>
        <v>56</v>
      </c>
      <c r="BD120" s="654">
        <f t="shared" ca="1" si="54"/>
        <v>35</v>
      </c>
      <c r="BE120" s="653">
        <f t="shared" ca="1" si="54"/>
        <v>69</v>
      </c>
      <c r="BF120" s="654">
        <f t="shared" ca="1" si="54"/>
        <v>13</v>
      </c>
      <c r="BG120" s="654">
        <f t="shared" ca="1" si="54"/>
        <v>36</v>
      </c>
      <c r="BH120" s="654">
        <f t="shared" ca="1" si="54"/>
        <v>12</v>
      </c>
      <c r="BI120" s="655">
        <f t="shared" ca="1" si="54"/>
        <v>35</v>
      </c>
      <c r="BJ120" s="653">
        <f t="shared" ca="1" si="55"/>
        <v>10000</v>
      </c>
      <c r="BK120" s="654">
        <f t="shared" ca="1" si="55"/>
        <v>800</v>
      </c>
      <c r="BL120" s="654">
        <f t="shared" ca="1" si="55"/>
        <v>700</v>
      </c>
      <c r="BM120" s="654">
        <f t="shared" ca="1" si="55"/>
        <v>500</v>
      </c>
      <c r="BN120" s="654">
        <f t="shared" ca="1" si="55"/>
        <v>10000</v>
      </c>
      <c r="BO120" s="653">
        <f t="shared" ca="1" si="55"/>
        <v>245</v>
      </c>
      <c r="BP120" s="654">
        <f t="shared" ca="1" si="55"/>
        <v>99</v>
      </c>
      <c r="BQ120" s="654">
        <f t="shared" ca="1" si="55"/>
        <v>144</v>
      </c>
      <c r="BR120" s="654">
        <f t="shared" ca="1" si="55"/>
        <v>56</v>
      </c>
      <c r="BS120" s="655">
        <f t="shared" ca="1" si="55"/>
        <v>10000</v>
      </c>
    </row>
    <row r="121" spans="2:71" ht="15" customHeight="1" x14ac:dyDescent="0.25">
      <c r="B121" s="1716" t="str">
        <f>$B$32</f>
        <v>South row</v>
      </c>
      <c r="C121" s="183" t="str">
        <f>$C$26</f>
        <v>1st-10th module</v>
      </c>
      <c r="D121" s="626">
        <f t="shared" ref="D121:M121" ca="1" si="60">AF121+(AP121-AF121)/(LOG(BJ121)-LOG(AZ121))*(LOG(D93)-LOG(AZ121))</f>
        <v>81.951723126240253</v>
      </c>
      <c r="E121" s="627">
        <f t="shared" ca="1" si="60"/>
        <v>96.607386316044924</v>
      </c>
      <c r="F121" s="627">
        <f t="shared" ca="1" si="60"/>
        <v>76.964198605727148</v>
      </c>
      <c r="G121" s="627">
        <f t="shared" ca="1" si="60"/>
        <v>64.525579109234386</v>
      </c>
      <c r="H121" s="628">
        <f t="shared" ca="1" si="60"/>
        <v>56</v>
      </c>
      <c r="I121" s="626">
        <f t="shared" ca="1" si="60"/>
        <v>91.880784510152992</v>
      </c>
      <c r="J121" s="627">
        <f t="shared" ca="1" si="60"/>
        <v>95.639242487817228</v>
      </c>
      <c r="K121" s="627">
        <f t="shared" ca="1" si="60"/>
        <v>80.861052999819108</v>
      </c>
      <c r="L121" s="627">
        <f t="shared" ca="1" si="60"/>
        <v>57.025939644462433</v>
      </c>
      <c r="M121" s="629">
        <f t="shared" ca="1" si="60"/>
        <v>33.487839069262769</v>
      </c>
      <c r="S121">
        <v>42</v>
      </c>
      <c r="T121" s="621" t="str">
        <f>$B$32</f>
        <v>South row</v>
      </c>
      <c r="U121" s="183" t="str">
        <f>$C$26</f>
        <v>1st-10th module</v>
      </c>
      <c r="V121" s="189" t="str">
        <f t="shared" si="46"/>
        <v>C170:C174</v>
      </c>
      <c r="W121" s="190" t="str">
        <f t="shared" si="46"/>
        <v>F170:F174</v>
      </c>
      <c r="X121" s="190" t="str">
        <f t="shared" si="46"/>
        <v>I170:I174</v>
      </c>
      <c r="Y121" s="190" t="str">
        <f t="shared" si="46"/>
        <v>L170:L174</v>
      </c>
      <c r="Z121" s="573"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41">
        <f t="shared" ca="1" si="52"/>
        <v>130</v>
      </c>
      <c r="AG121" s="642">
        <f t="shared" ca="1" si="52"/>
        <v>136</v>
      </c>
      <c r="AH121" s="642">
        <f t="shared" ca="1" si="52"/>
        <v>110</v>
      </c>
      <c r="AI121" s="642">
        <f t="shared" ca="1" si="52"/>
        <v>75</v>
      </c>
      <c r="AJ121" s="643">
        <f t="shared" ca="1" si="52"/>
        <v>56</v>
      </c>
      <c r="AK121" s="641">
        <f t="shared" ca="1" si="52"/>
        <v>202</v>
      </c>
      <c r="AL121" s="642">
        <f t="shared" ca="1" si="52"/>
        <v>108</v>
      </c>
      <c r="AM121" s="642">
        <f t="shared" ca="1" si="52"/>
        <v>84</v>
      </c>
      <c r="AN121" s="642">
        <f t="shared" ca="1" si="52"/>
        <v>66</v>
      </c>
      <c r="AO121" s="644">
        <f t="shared" ca="1" si="52"/>
        <v>75</v>
      </c>
      <c r="AP121" s="641">
        <f t="shared" ca="1" si="53"/>
        <v>65</v>
      </c>
      <c r="AQ121" s="642">
        <f t="shared" ca="1" si="53"/>
        <v>81</v>
      </c>
      <c r="AR121" s="642">
        <f t="shared" ca="1" si="53"/>
        <v>57</v>
      </c>
      <c r="AS121" s="642">
        <f t="shared" ca="1" si="53"/>
        <v>57</v>
      </c>
      <c r="AT121" s="643">
        <f t="shared" ca="1" si="53"/>
        <v>56</v>
      </c>
      <c r="AU121" s="641">
        <f t="shared" ca="1" si="53"/>
        <v>90</v>
      </c>
      <c r="AV121" s="642">
        <f t="shared" ca="1" si="53"/>
        <v>55</v>
      </c>
      <c r="AW121" s="642">
        <f t="shared" ca="1" si="53"/>
        <v>31</v>
      </c>
      <c r="AX121" s="642">
        <f t="shared" ca="1" si="53"/>
        <v>49</v>
      </c>
      <c r="AY121" s="644">
        <f t="shared" ca="1" si="53"/>
        <v>31</v>
      </c>
      <c r="AZ121" s="641">
        <f t="shared" ca="1" si="54"/>
        <v>86</v>
      </c>
      <c r="BA121" s="642">
        <f t="shared" ca="1" si="54"/>
        <v>25</v>
      </c>
      <c r="BB121" s="642">
        <f t="shared" ca="1" si="54"/>
        <v>36</v>
      </c>
      <c r="BC121" s="642">
        <f t="shared" ca="1" si="54"/>
        <v>56</v>
      </c>
      <c r="BD121" s="643">
        <f t="shared" ca="1" si="54"/>
        <v>40</v>
      </c>
      <c r="BE121" s="641">
        <f t="shared" ca="1" si="54"/>
        <v>19</v>
      </c>
      <c r="BF121" s="642">
        <f t="shared" ca="1" si="54"/>
        <v>25</v>
      </c>
      <c r="BG121" s="642">
        <f t="shared" ca="1" si="54"/>
        <v>36</v>
      </c>
      <c r="BH121" s="642">
        <f t="shared" ca="1" si="54"/>
        <v>24</v>
      </c>
      <c r="BI121" s="644">
        <f t="shared" ca="1" si="54"/>
        <v>13</v>
      </c>
      <c r="BJ121" s="641">
        <f t="shared" ca="1" si="55"/>
        <v>800</v>
      </c>
      <c r="BK121" s="642">
        <f t="shared" ca="1" si="55"/>
        <v>800</v>
      </c>
      <c r="BL121" s="642">
        <f t="shared" ca="1" si="55"/>
        <v>700</v>
      </c>
      <c r="BM121" s="642">
        <f t="shared" ca="1" si="55"/>
        <v>500</v>
      </c>
      <c r="BN121" s="643">
        <f t="shared" ca="1" si="55"/>
        <v>10000</v>
      </c>
      <c r="BO121" s="641">
        <f t="shared" ca="1" si="55"/>
        <v>86</v>
      </c>
      <c r="BP121" s="642">
        <f t="shared" ca="1" si="55"/>
        <v>800</v>
      </c>
      <c r="BQ121" s="642">
        <f t="shared" ca="1" si="55"/>
        <v>700</v>
      </c>
      <c r="BR121" s="642">
        <f t="shared" ca="1" si="55"/>
        <v>56</v>
      </c>
      <c r="BS121" s="644">
        <f t="shared" ca="1" si="55"/>
        <v>40</v>
      </c>
    </row>
    <row r="122" spans="2:71" ht="15" customHeight="1" thickBot="1" x14ac:dyDescent="0.3">
      <c r="B122" s="1717"/>
      <c r="C122" s="278" t="str">
        <f>$C$27</f>
        <v>Interior modules</v>
      </c>
      <c r="D122" s="634">
        <f t="shared" ref="D122:M122" ca="1" si="61">AF122+(AP122-AF122)/(LOG(BJ122)-LOG(AZ122))*(LOG(D94)-LOG(AZ122))</f>
        <v>65</v>
      </c>
      <c r="E122" s="635">
        <f t="shared" ca="1" si="61"/>
        <v>98.739502673489056</v>
      </c>
      <c r="F122" s="635">
        <f t="shared" ca="1" si="61"/>
        <v>57</v>
      </c>
      <c r="G122" s="635">
        <f t="shared" ca="1" si="61"/>
        <v>57</v>
      </c>
      <c r="H122" s="636">
        <f t="shared" ca="1" si="61"/>
        <v>56</v>
      </c>
      <c r="I122" s="634">
        <f t="shared" ca="1" si="61"/>
        <v>60.163947802813922</v>
      </c>
      <c r="J122" s="635">
        <f t="shared" ca="1" si="61"/>
        <v>86.46527344042893</v>
      </c>
      <c r="K122" s="635">
        <f t="shared" ca="1" si="61"/>
        <v>48.901000292839072</v>
      </c>
      <c r="L122" s="635">
        <f t="shared" ca="1" si="61"/>
        <v>35.67422242337399</v>
      </c>
      <c r="M122" s="637">
        <f t="shared" ca="1" si="61"/>
        <v>31</v>
      </c>
      <c r="S122">
        <v>49</v>
      </c>
      <c r="T122" s="622"/>
      <c r="U122" s="277" t="str">
        <f>$C$27</f>
        <v>Interior modules</v>
      </c>
      <c r="V122" s="578" t="str">
        <f t="shared" si="46"/>
        <v>C177:C181</v>
      </c>
      <c r="W122" s="579" t="str">
        <f t="shared" si="46"/>
        <v>F177:F181</v>
      </c>
      <c r="X122" s="579" t="str">
        <f t="shared" si="46"/>
        <v>I177:I181</v>
      </c>
      <c r="Y122" s="579" t="str">
        <f t="shared" si="46"/>
        <v>L177:L181</v>
      </c>
      <c r="Z122" s="580" t="str">
        <f t="shared" si="46"/>
        <v>O177:O181</v>
      </c>
      <c r="AA122" s="578" t="str">
        <f t="shared" si="46"/>
        <v>C235:C239</v>
      </c>
      <c r="AB122" s="579" t="str">
        <f t="shared" si="46"/>
        <v>F235:F239</v>
      </c>
      <c r="AC122" s="579" t="str">
        <f t="shared" si="46"/>
        <v>I235:I239</v>
      </c>
      <c r="AD122" s="579" t="str">
        <f t="shared" si="46"/>
        <v>L235:L239</v>
      </c>
      <c r="AE122" s="581" t="str">
        <f t="shared" si="46"/>
        <v>O235:O239</v>
      </c>
      <c r="AF122" s="649">
        <f t="shared" ca="1" si="52"/>
        <v>65</v>
      </c>
      <c r="AG122" s="650">
        <f t="shared" ca="1" si="52"/>
        <v>115</v>
      </c>
      <c r="AH122" s="650">
        <f t="shared" ca="1" si="52"/>
        <v>57</v>
      </c>
      <c r="AI122" s="650">
        <f t="shared" ca="1" si="52"/>
        <v>57</v>
      </c>
      <c r="AJ122" s="651">
        <f t="shared" ca="1" si="52"/>
        <v>56</v>
      </c>
      <c r="AK122" s="649">
        <f t="shared" ca="1" si="52"/>
        <v>84</v>
      </c>
      <c r="AL122" s="650">
        <f t="shared" ca="1" si="52"/>
        <v>114</v>
      </c>
      <c r="AM122" s="650">
        <f t="shared" ca="1" si="52"/>
        <v>72</v>
      </c>
      <c r="AN122" s="650">
        <f t="shared" ca="1" si="52"/>
        <v>49</v>
      </c>
      <c r="AO122" s="652">
        <f t="shared" ca="1" si="52"/>
        <v>31</v>
      </c>
      <c r="AP122" s="649">
        <f t="shared" ca="1" si="53"/>
        <v>65</v>
      </c>
      <c r="AQ122" s="650">
        <f t="shared" ca="1" si="53"/>
        <v>81</v>
      </c>
      <c r="AR122" s="650">
        <f t="shared" ca="1" si="53"/>
        <v>57</v>
      </c>
      <c r="AS122" s="650">
        <f t="shared" ca="1" si="53"/>
        <v>57</v>
      </c>
      <c r="AT122" s="651">
        <f t="shared" ca="1" si="53"/>
        <v>56</v>
      </c>
      <c r="AU122" s="649">
        <f t="shared" ca="1" si="53"/>
        <v>49</v>
      </c>
      <c r="AV122" s="650">
        <f t="shared" ca="1" si="53"/>
        <v>74</v>
      </c>
      <c r="AW122" s="650">
        <f t="shared" ca="1" si="53"/>
        <v>31</v>
      </c>
      <c r="AX122" s="650">
        <f t="shared" ca="1" si="53"/>
        <v>31</v>
      </c>
      <c r="AY122" s="652">
        <f t="shared" ca="1" si="53"/>
        <v>31</v>
      </c>
      <c r="AZ122" s="649">
        <f t="shared" ca="1" si="54"/>
        <v>120</v>
      </c>
      <c r="BA122" s="650">
        <f t="shared" ca="1" si="54"/>
        <v>99</v>
      </c>
      <c r="BB122" s="650">
        <f t="shared" ca="1" si="54"/>
        <v>144</v>
      </c>
      <c r="BC122" s="650">
        <f t="shared" ca="1" si="54"/>
        <v>56</v>
      </c>
      <c r="BD122" s="651">
        <f t="shared" ca="1" si="54"/>
        <v>25</v>
      </c>
      <c r="BE122" s="649">
        <f t="shared" ca="1" si="54"/>
        <v>39</v>
      </c>
      <c r="BF122" s="650">
        <f t="shared" ca="1" si="54"/>
        <v>16</v>
      </c>
      <c r="BG122" s="650">
        <f t="shared" ca="1" si="54"/>
        <v>9</v>
      </c>
      <c r="BH122" s="650">
        <f t="shared" ca="1" si="54"/>
        <v>12</v>
      </c>
      <c r="BI122" s="652">
        <f t="shared" ca="1" si="54"/>
        <v>25</v>
      </c>
      <c r="BJ122" s="649">
        <f t="shared" ca="1" si="55"/>
        <v>10000</v>
      </c>
      <c r="BK122" s="650">
        <f t="shared" ca="1" si="55"/>
        <v>1000</v>
      </c>
      <c r="BL122" s="650">
        <f t="shared" ca="1" si="55"/>
        <v>700</v>
      </c>
      <c r="BM122" s="650">
        <f t="shared" ca="1" si="55"/>
        <v>500</v>
      </c>
      <c r="BN122" s="651">
        <f t="shared" ca="1" si="55"/>
        <v>10000</v>
      </c>
      <c r="BO122" s="649">
        <f t="shared" ca="1" si="55"/>
        <v>120</v>
      </c>
      <c r="BP122" s="650">
        <f t="shared" ca="1" si="55"/>
        <v>99</v>
      </c>
      <c r="BQ122" s="650">
        <f t="shared" ca="1" si="55"/>
        <v>144</v>
      </c>
      <c r="BR122" s="650">
        <f t="shared" ca="1" si="55"/>
        <v>56</v>
      </c>
      <c r="BS122" s="652">
        <f t="shared" ca="1" si="55"/>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- 1st-10th module</v>
      </c>
      <c r="D126" s="1722"/>
      <c r="E126" s="1723"/>
      <c r="F126" s="1721" t="str">
        <f>$C$126</f>
        <v>North row - 1st-10th module</v>
      </c>
      <c r="G126" s="1722"/>
      <c r="H126" s="1723"/>
      <c r="I126" s="1721" t="str">
        <f>$C$126</f>
        <v>North row - 1st-10th module</v>
      </c>
      <c r="J126" s="1722"/>
      <c r="K126" s="1723"/>
      <c r="L126" s="1721" t="str">
        <f>$C$126</f>
        <v>North row - 1st-10th module</v>
      </c>
      <c r="M126" s="1722"/>
      <c r="N126" s="1723"/>
      <c r="O126" s="1721" t="str">
        <f>$C$126</f>
        <v>North row - 1st-10th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-1.1499999999999999</v>
      </c>
      <c r="E128" s="535">
        <v>686</v>
      </c>
      <c r="F128" s="442">
        <v>1</v>
      </c>
      <c r="G128" s="528">
        <v>-1.1200000000000001</v>
      </c>
      <c r="H128" s="535">
        <v>764</v>
      </c>
      <c r="I128" s="442">
        <v>1</v>
      </c>
      <c r="J128" s="528">
        <v>-0.46</v>
      </c>
      <c r="K128" s="535">
        <v>312</v>
      </c>
      <c r="L128" s="442">
        <v>1</v>
      </c>
      <c r="M128" s="528">
        <v>-0.59</v>
      </c>
      <c r="N128" s="535">
        <v>395</v>
      </c>
      <c r="O128" s="442">
        <v>1</v>
      </c>
      <c r="P128" s="528">
        <v>-0.57999999999999996</v>
      </c>
      <c r="Q128" s="535">
        <v>384</v>
      </c>
    </row>
    <row r="129" spans="2:17" ht="15" customHeight="1" x14ac:dyDescent="0.25">
      <c r="B129" s="434" t="s">
        <v>38</v>
      </c>
      <c r="C129" s="443">
        <v>25</v>
      </c>
      <c r="D129" s="529">
        <v>-0.46</v>
      </c>
      <c r="E129" s="536">
        <v>269</v>
      </c>
      <c r="F129" s="443">
        <v>98</v>
      </c>
      <c r="G129" s="529">
        <v>-0.35</v>
      </c>
      <c r="H129" s="536">
        <v>205</v>
      </c>
      <c r="I129" s="443">
        <v>9</v>
      </c>
      <c r="J129" s="529">
        <v>-0.4</v>
      </c>
      <c r="K129" s="536">
        <v>255</v>
      </c>
      <c r="L129" s="443">
        <v>25</v>
      </c>
      <c r="M129" s="529">
        <v>-0.27</v>
      </c>
      <c r="N129" s="536">
        <v>156</v>
      </c>
      <c r="O129" s="443">
        <v>24</v>
      </c>
      <c r="P129" s="529">
        <v>-0.27</v>
      </c>
      <c r="Q129" s="536">
        <v>150</v>
      </c>
    </row>
    <row r="130" spans="2:17" ht="15" customHeight="1" x14ac:dyDescent="0.25">
      <c r="B130" s="434" t="s">
        <v>39</v>
      </c>
      <c r="C130" s="443">
        <v>70</v>
      </c>
      <c r="D130" s="529">
        <v>-0.26</v>
      </c>
      <c r="E130" s="536">
        <v>135</v>
      </c>
      <c r="F130" s="443">
        <v>121</v>
      </c>
      <c r="G130" s="529">
        <v>-0.3</v>
      </c>
      <c r="H130" s="536">
        <v>170</v>
      </c>
      <c r="I130" s="443">
        <v>55</v>
      </c>
      <c r="J130" s="529">
        <v>-0.24</v>
      </c>
      <c r="K130" s="536">
        <v>133</v>
      </c>
      <c r="L130" s="443">
        <v>123</v>
      </c>
      <c r="M130" s="529">
        <v>-0.19</v>
      </c>
      <c r="N130" s="536">
        <v>92</v>
      </c>
      <c r="O130" s="443">
        <v>55</v>
      </c>
      <c r="P130" s="529">
        <v>-0.21</v>
      </c>
      <c r="Q130" s="536">
        <v>108</v>
      </c>
    </row>
    <row r="131" spans="2:17" ht="15" customHeight="1" x14ac:dyDescent="0.25">
      <c r="B131" s="434" t="s">
        <v>40</v>
      </c>
      <c r="C131" s="443">
        <v>700</v>
      </c>
      <c r="D131" s="529">
        <v>-0.15</v>
      </c>
      <c r="E131" s="536">
        <v>65</v>
      </c>
      <c r="F131" s="443">
        <v>700</v>
      </c>
      <c r="G131" s="529">
        <v>-0.17</v>
      </c>
      <c r="H131" s="536">
        <v>81</v>
      </c>
      <c r="I131" s="443">
        <v>500</v>
      </c>
      <c r="J131" s="529">
        <v>-0.13</v>
      </c>
      <c r="K131" s="536">
        <v>57</v>
      </c>
      <c r="L131" s="443">
        <v>500</v>
      </c>
      <c r="M131" s="529">
        <v>-0.14000000000000001</v>
      </c>
      <c r="N131" s="536">
        <v>57</v>
      </c>
      <c r="O131" s="443">
        <v>400</v>
      </c>
      <c r="P131" s="529">
        <v>-0.14000000000000001</v>
      </c>
      <c r="Q131" s="536">
        <v>56</v>
      </c>
    </row>
    <row r="132" spans="2:17" ht="15" customHeight="1" thickBot="1" x14ac:dyDescent="0.3">
      <c r="B132" s="435" t="s">
        <v>64</v>
      </c>
      <c r="C132" s="444">
        <v>10000</v>
      </c>
      <c r="D132" s="530">
        <v>-0.15</v>
      </c>
      <c r="E132" s="537">
        <v>65</v>
      </c>
      <c r="F132" s="444">
        <v>10000</v>
      </c>
      <c r="G132" s="530">
        <v>-0.17</v>
      </c>
      <c r="H132" s="537">
        <v>81</v>
      </c>
      <c r="I132" s="444">
        <v>10000</v>
      </c>
      <c r="J132" s="530">
        <v>-0.13</v>
      </c>
      <c r="K132" s="537">
        <v>57</v>
      </c>
      <c r="L132" s="444">
        <v>10000</v>
      </c>
      <c r="M132" s="530">
        <v>-0.14000000000000001</v>
      </c>
      <c r="N132" s="537">
        <v>57</v>
      </c>
      <c r="O132" s="444">
        <v>10000</v>
      </c>
      <c r="P132" s="530">
        <v>-0.14000000000000001</v>
      </c>
      <c r="Q132" s="537">
        <v>56</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-0.67</v>
      </c>
      <c r="E135" s="535">
        <v>366</v>
      </c>
      <c r="F135" s="442">
        <v>1</v>
      </c>
      <c r="G135" s="528">
        <v>-1.1299999999999999</v>
      </c>
      <c r="H135" s="535">
        <v>770</v>
      </c>
      <c r="I135" s="442">
        <v>1</v>
      </c>
      <c r="J135" s="528">
        <v>-0.36</v>
      </c>
      <c r="K135" s="535">
        <v>235</v>
      </c>
      <c r="L135" s="442">
        <v>1</v>
      </c>
      <c r="M135" s="528">
        <v>-0.56000000000000005</v>
      </c>
      <c r="N135" s="535">
        <v>370</v>
      </c>
      <c r="O135" s="442">
        <v>1</v>
      </c>
      <c r="P135" s="528">
        <v>-0.56999999999999995</v>
      </c>
      <c r="Q135" s="535">
        <v>377</v>
      </c>
    </row>
    <row r="136" spans="2:17" ht="15" customHeight="1" x14ac:dyDescent="0.25">
      <c r="B136" s="434" t="str">
        <f>$B$129</f>
        <v>i = b</v>
      </c>
      <c r="C136" s="443">
        <v>13</v>
      </c>
      <c r="D136" s="529">
        <v>-0.42</v>
      </c>
      <c r="E136" s="536">
        <v>232</v>
      </c>
      <c r="F136" s="443">
        <v>98</v>
      </c>
      <c r="G136" s="529">
        <v>-0.32</v>
      </c>
      <c r="H136" s="536">
        <v>188</v>
      </c>
      <c r="I136" s="443">
        <v>9</v>
      </c>
      <c r="J136" s="529">
        <v>-0.31</v>
      </c>
      <c r="K136" s="536">
        <v>181</v>
      </c>
      <c r="L136" s="443">
        <v>32</v>
      </c>
      <c r="M136" s="529">
        <v>-0.24</v>
      </c>
      <c r="N136" s="536">
        <v>138</v>
      </c>
      <c r="O136" s="443">
        <v>24</v>
      </c>
      <c r="P136" s="529">
        <v>-0.27</v>
      </c>
      <c r="Q136" s="536">
        <v>152</v>
      </c>
    </row>
    <row r="137" spans="2:17" ht="15" customHeight="1" x14ac:dyDescent="0.25">
      <c r="B137" s="434" t="str">
        <f>$B$130</f>
        <v>i = c</v>
      </c>
      <c r="C137" s="443">
        <v>56</v>
      </c>
      <c r="D137" s="529">
        <v>-0.24</v>
      </c>
      <c r="E137" s="536">
        <v>124</v>
      </c>
      <c r="F137" s="443">
        <v>121</v>
      </c>
      <c r="G137" s="529">
        <v>-0.28999999999999998</v>
      </c>
      <c r="H137" s="536">
        <v>166</v>
      </c>
      <c r="I137" s="443">
        <v>81</v>
      </c>
      <c r="J137" s="529">
        <v>-0.18</v>
      </c>
      <c r="K137" s="536">
        <v>91</v>
      </c>
      <c r="L137" s="443">
        <v>72</v>
      </c>
      <c r="M137" s="529">
        <v>-0.19</v>
      </c>
      <c r="N137" s="536">
        <v>98</v>
      </c>
      <c r="O137" s="443">
        <v>55</v>
      </c>
      <c r="P137" s="529">
        <v>-0.22</v>
      </c>
      <c r="Q137" s="536">
        <v>115</v>
      </c>
    </row>
    <row r="138" spans="2:17" ht="15" customHeight="1" x14ac:dyDescent="0.25">
      <c r="B138" s="434" t="str">
        <f>$B$131</f>
        <v>i = d</v>
      </c>
      <c r="C138" s="443">
        <v>164</v>
      </c>
      <c r="D138" s="529">
        <v>-0.15</v>
      </c>
      <c r="E138" s="536">
        <v>65</v>
      </c>
      <c r="F138" s="443">
        <v>500</v>
      </c>
      <c r="G138" s="529">
        <v>-0.17</v>
      </c>
      <c r="H138" s="536">
        <v>81</v>
      </c>
      <c r="I138" s="443">
        <v>700</v>
      </c>
      <c r="J138" s="529">
        <v>-0.13</v>
      </c>
      <c r="K138" s="536">
        <v>57</v>
      </c>
      <c r="L138" s="443">
        <v>500</v>
      </c>
      <c r="M138" s="529">
        <v>-0.14000000000000001</v>
      </c>
      <c r="N138" s="536">
        <v>57</v>
      </c>
      <c r="O138" s="443">
        <v>400</v>
      </c>
      <c r="P138" s="529">
        <v>-0.14000000000000001</v>
      </c>
      <c r="Q138" s="536">
        <v>56</v>
      </c>
    </row>
    <row r="139" spans="2:17" ht="15" customHeight="1" thickBot="1" x14ac:dyDescent="0.3">
      <c r="B139" s="435" t="str">
        <f>$B$132</f>
        <v>i = e</v>
      </c>
      <c r="C139" s="444">
        <v>10000</v>
      </c>
      <c r="D139" s="530">
        <v>-0.15</v>
      </c>
      <c r="E139" s="537">
        <v>65</v>
      </c>
      <c r="F139" s="444">
        <v>10000</v>
      </c>
      <c r="G139" s="530">
        <v>-0.17</v>
      </c>
      <c r="H139" s="537">
        <v>81</v>
      </c>
      <c r="I139" s="444">
        <v>10000</v>
      </c>
      <c r="J139" s="530">
        <v>-0.13</v>
      </c>
      <c r="K139" s="537">
        <v>57</v>
      </c>
      <c r="L139" s="444">
        <v>10000</v>
      </c>
      <c r="M139" s="530">
        <v>-0.14000000000000001</v>
      </c>
      <c r="N139" s="537">
        <v>57</v>
      </c>
      <c r="O139" s="444">
        <v>10000</v>
      </c>
      <c r="P139" s="530">
        <v>-0.14000000000000001</v>
      </c>
      <c r="Q139" s="537">
        <v>56</v>
      </c>
    </row>
    <row r="140" spans="2:17" ht="30" customHeight="1" x14ac:dyDescent="0.25">
      <c r="B140" s="429"/>
      <c r="C140" s="1724" t="str">
        <f>CONCATENATE(B28," -",CHAR(10),C28)</f>
        <v>Inner rows, 2nd to 4th row from north -
1st-10th module</v>
      </c>
      <c r="D140" s="1725"/>
      <c r="E140" s="1726"/>
      <c r="F140" s="1724" t="str">
        <f>$C$140</f>
        <v>Inner rows, 2nd to 4th row from north -
1st-10th module</v>
      </c>
      <c r="G140" s="1725"/>
      <c r="H140" s="1726"/>
      <c r="I140" s="1724" t="str">
        <f>$C$140</f>
        <v>Inner rows, 2nd to 4th row from north -
1st-10th module</v>
      </c>
      <c r="J140" s="1725"/>
      <c r="K140" s="1726"/>
      <c r="L140" s="1724" t="str">
        <f>$C$140</f>
        <v>Inner rows, 2nd to 4th row from north -
1st-10th module</v>
      </c>
      <c r="M140" s="1725"/>
      <c r="N140" s="1726"/>
      <c r="O140" s="1724" t="str">
        <f>$C$140</f>
        <v>Inner rows, 2nd to 4th row from north -
1st-10th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-0.94</v>
      </c>
      <c r="E142" s="535">
        <v>676</v>
      </c>
      <c r="F142" s="442">
        <v>1</v>
      </c>
      <c r="G142" s="528">
        <v>-0.54</v>
      </c>
      <c r="H142" s="535">
        <v>332</v>
      </c>
      <c r="I142" s="442">
        <v>1</v>
      </c>
      <c r="J142" s="528">
        <v>-0.5</v>
      </c>
      <c r="K142" s="535">
        <v>303</v>
      </c>
      <c r="L142" s="442">
        <v>1</v>
      </c>
      <c r="M142" s="528">
        <v>-0.46</v>
      </c>
      <c r="N142" s="535">
        <v>280</v>
      </c>
      <c r="O142" s="442">
        <v>1</v>
      </c>
      <c r="P142" s="528">
        <v>-0.31</v>
      </c>
      <c r="Q142" s="535">
        <v>174</v>
      </c>
    </row>
    <row r="143" spans="2:17" ht="15" customHeight="1" x14ac:dyDescent="0.25">
      <c r="B143" s="434" t="str">
        <f>$B$129</f>
        <v>i = b</v>
      </c>
      <c r="C143" s="443">
        <v>13</v>
      </c>
      <c r="D143" s="529">
        <v>-0.56000000000000005</v>
      </c>
      <c r="E143" s="536">
        <v>372</v>
      </c>
      <c r="F143" s="443">
        <v>13</v>
      </c>
      <c r="G143" s="529">
        <v>-0.36</v>
      </c>
      <c r="H143" s="536">
        <v>210</v>
      </c>
      <c r="I143" s="443">
        <v>18</v>
      </c>
      <c r="J143" s="529">
        <v>-0.28000000000000003</v>
      </c>
      <c r="K143" s="536">
        <v>155</v>
      </c>
      <c r="L143" s="443">
        <v>25</v>
      </c>
      <c r="M143" s="529">
        <v>-0.23</v>
      </c>
      <c r="N143" s="536">
        <v>119</v>
      </c>
      <c r="O143" s="443">
        <v>13</v>
      </c>
      <c r="P143" s="529">
        <v>-0.28000000000000003</v>
      </c>
      <c r="Q143" s="536">
        <v>154</v>
      </c>
    </row>
    <row r="144" spans="2:17" ht="15" customHeight="1" x14ac:dyDescent="0.25">
      <c r="B144" s="434" t="str">
        <f>$B$130</f>
        <v>i = c</v>
      </c>
      <c r="C144" s="443">
        <v>69</v>
      </c>
      <c r="D144" s="529">
        <v>-0.28000000000000003</v>
      </c>
      <c r="E144" s="536">
        <v>168</v>
      </c>
      <c r="F144" s="443">
        <v>204</v>
      </c>
      <c r="G144" s="529">
        <v>-0.25</v>
      </c>
      <c r="H144" s="536">
        <v>136</v>
      </c>
      <c r="I144" s="443">
        <v>99</v>
      </c>
      <c r="J144" s="529">
        <v>-0.2</v>
      </c>
      <c r="K144" s="536">
        <v>104</v>
      </c>
      <c r="L144" s="443">
        <v>123</v>
      </c>
      <c r="M144" s="529">
        <v>-0.2</v>
      </c>
      <c r="N144" s="536">
        <v>98</v>
      </c>
      <c r="O144" s="443">
        <v>13</v>
      </c>
      <c r="P144" s="529">
        <v>-0.28000000000000003</v>
      </c>
      <c r="Q144" s="536">
        <v>154</v>
      </c>
    </row>
    <row r="145" spans="2:17" ht="15" customHeight="1" x14ac:dyDescent="0.25">
      <c r="B145" s="434" t="str">
        <f>$B$131</f>
        <v>i = d</v>
      </c>
      <c r="C145" s="443">
        <v>900</v>
      </c>
      <c r="D145" s="529">
        <v>-0.15</v>
      </c>
      <c r="E145" s="536">
        <v>65</v>
      </c>
      <c r="F145" s="443">
        <v>800</v>
      </c>
      <c r="G145" s="529">
        <v>-0.17</v>
      </c>
      <c r="H145" s="536">
        <v>81</v>
      </c>
      <c r="I145" s="443">
        <v>700</v>
      </c>
      <c r="J145" s="529">
        <v>-0.13</v>
      </c>
      <c r="K145" s="536">
        <v>57</v>
      </c>
      <c r="L145" s="443">
        <v>500</v>
      </c>
      <c r="M145" s="529">
        <v>-0.14000000000000001</v>
      </c>
      <c r="N145" s="536">
        <v>57</v>
      </c>
      <c r="O145" s="443">
        <v>400</v>
      </c>
      <c r="P145" s="529">
        <v>-0.14000000000000001</v>
      </c>
      <c r="Q145" s="536">
        <v>56</v>
      </c>
    </row>
    <row r="146" spans="2:17" ht="15" customHeight="1" thickBot="1" x14ac:dyDescent="0.3">
      <c r="B146" s="435" t="str">
        <f>$B$132</f>
        <v>i = e</v>
      </c>
      <c r="C146" s="444">
        <v>10000</v>
      </c>
      <c r="D146" s="530">
        <v>-0.15</v>
      </c>
      <c r="E146" s="537">
        <v>65</v>
      </c>
      <c r="F146" s="444">
        <v>10000</v>
      </c>
      <c r="G146" s="530">
        <v>-0.17</v>
      </c>
      <c r="H146" s="537">
        <v>81</v>
      </c>
      <c r="I146" s="444">
        <v>10000</v>
      </c>
      <c r="J146" s="530">
        <v>-0.13</v>
      </c>
      <c r="K146" s="537">
        <v>57</v>
      </c>
      <c r="L146" s="444">
        <v>10000</v>
      </c>
      <c r="M146" s="530">
        <v>-0.14000000000000001</v>
      </c>
      <c r="N146" s="537">
        <v>57</v>
      </c>
      <c r="O146" s="444">
        <v>10000</v>
      </c>
      <c r="P146" s="530">
        <v>-0.14000000000000001</v>
      </c>
      <c r="Q146" s="537">
        <v>56</v>
      </c>
    </row>
    <row r="147" spans="2:17" ht="30" customHeight="1" x14ac:dyDescent="0.25">
      <c r="B147" s="429"/>
      <c r="C147" s="1724" t="str">
        <f>CONCATENATE(B28," -",CHAR(10),C29)</f>
        <v>Inner rows, 2nd to 4th row from north -
Interior modules</v>
      </c>
      <c r="D147" s="1725"/>
      <c r="E147" s="1726"/>
      <c r="F147" s="1724" t="str">
        <f>$C$147</f>
        <v>Inner rows, 2nd to 4th row from north -
Interior modules</v>
      </c>
      <c r="G147" s="1725"/>
      <c r="H147" s="1726"/>
      <c r="I147" s="1724" t="str">
        <f>$C$147</f>
        <v>Inner rows, 2nd to 4th row from north -
Interior modules</v>
      </c>
      <c r="J147" s="1725"/>
      <c r="K147" s="1726"/>
      <c r="L147" s="1724" t="str">
        <f>$C$147</f>
        <v>Inner rows, 2nd to 4th row from north -
Interior modules</v>
      </c>
      <c r="M147" s="1725"/>
      <c r="N147" s="1726"/>
      <c r="O147" s="1724" t="str">
        <f>$C$147</f>
        <v>Inner rows, 2nd to 4th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-1</v>
      </c>
      <c r="E149" s="535">
        <v>590</v>
      </c>
      <c r="F149" s="442">
        <v>1</v>
      </c>
      <c r="G149" s="528">
        <v>-0.53</v>
      </c>
      <c r="H149" s="535">
        <v>325</v>
      </c>
      <c r="I149" s="442">
        <v>1</v>
      </c>
      <c r="J149" s="528">
        <v>-0.56000000000000005</v>
      </c>
      <c r="K149" s="535">
        <v>330</v>
      </c>
      <c r="L149" s="442">
        <v>1</v>
      </c>
      <c r="M149" s="528">
        <v>-0.31</v>
      </c>
      <c r="N149" s="535">
        <v>178</v>
      </c>
      <c r="O149" s="442">
        <v>1</v>
      </c>
      <c r="P149" s="528">
        <v>-0.24</v>
      </c>
      <c r="Q149" s="535">
        <v>118</v>
      </c>
    </row>
    <row r="150" spans="2:17" ht="15" customHeight="1" x14ac:dyDescent="0.25">
      <c r="B150" s="434" t="str">
        <f>$B$129</f>
        <v>i = b</v>
      </c>
      <c r="C150" s="443">
        <v>17</v>
      </c>
      <c r="D150" s="529">
        <v>-0.42</v>
      </c>
      <c r="E150" s="536">
        <v>226</v>
      </c>
      <c r="F150" s="443">
        <v>12</v>
      </c>
      <c r="G150" s="529">
        <v>-0.33</v>
      </c>
      <c r="H150" s="536">
        <v>190</v>
      </c>
      <c r="I150" s="443">
        <v>36</v>
      </c>
      <c r="J150" s="529">
        <v>-0.16</v>
      </c>
      <c r="K150" s="536">
        <v>75</v>
      </c>
      <c r="L150" s="443">
        <v>16</v>
      </c>
      <c r="M150" s="529">
        <v>-0.2</v>
      </c>
      <c r="N150" s="536">
        <v>100</v>
      </c>
      <c r="O150" s="443">
        <v>100</v>
      </c>
      <c r="P150" s="529">
        <v>-0.17</v>
      </c>
      <c r="Q150" s="536">
        <v>77</v>
      </c>
    </row>
    <row r="151" spans="2:17" ht="15" customHeight="1" x14ac:dyDescent="0.25">
      <c r="B151" s="434" t="str">
        <f>$B$130</f>
        <v>i = c</v>
      </c>
      <c r="C151" s="443">
        <v>68</v>
      </c>
      <c r="D151" s="529">
        <v>-0.22</v>
      </c>
      <c r="E151" s="536">
        <v>112</v>
      </c>
      <c r="F151" s="443">
        <v>130</v>
      </c>
      <c r="G151" s="529">
        <v>-0.26</v>
      </c>
      <c r="H151" s="536">
        <v>143</v>
      </c>
      <c r="I151" s="443">
        <v>255</v>
      </c>
      <c r="J151" s="529">
        <v>-0.15</v>
      </c>
      <c r="K151" s="536">
        <v>69</v>
      </c>
      <c r="L151" s="443">
        <v>72</v>
      </c>
      <c r="M151" s="529">
        <v>-0.17</v>
      </c>
      <c r="N151" s="536">
        <v>78</v>
      </c>
      <c r="O151" s="443">
        <v>100</v>
      </c>
      <c r="P151" s="529">
        <v>-0.17</v>
      </c>
      <c r="Q151" s="536">
        <v>77</v>
      </c>
    </row>
    <row r="152" spans="2:17" ht="15" customHeight="1" x14ac:dyDescent="0.25">
      <c r="B152" s="434" t="str">
        <f>$B$131</f>
        <v>i = d</v>
      </c>
      <c r="C152" s="443">
        <v>246</v>
      </c>
      <c r="D152" s="529">
        <v>-0.15</v>
      </c>
      <c r="E152" s="536">
        <v>65</v>
      </c>
      <c r="F152" s="443">
        <v>800</v>
      </c>
      <c r="G152" s="529">
        <v>-0.17</v>
      </c>
      <c r="H152" s="536">
        <v>81</v>
      </c>
      <c r="I152" s="443">
        <v>700</v>
      </c>
      <c r="J152" s="529">
        <v>-0.13</v>
      </c>
      <c r="K152" s="536">
        <v>57</v>
      </c>
      <c r="L152" s="443">
        <v>500</v>
      </c>
      <c r="M152" s="529">
        <v>-0.14000000000000001</v>
      </c>
      <c r="N152" s="536">
        <v>57</v>
      </c>
      <c r="O152" s="443">
        <v>400</v>
      </c>
      <c r="P152" s="529">
        <v>-0.14000000000000001</v>
      </c>
      <c r="Q152" s="536">
        <v>56</v>
      </c>
    </row>
    <row r="153" spans="2:17" ht="15" customHeight="1" thickBot="1" x14ac:dyDescent="0.3">
      <c r="B153" s="435" t="str">
        <f>$B$132</f>
        <v>i = e</v>
      </c>
      <c r="C153" s="444">
        <v>10000</v>
      </c>
      <c r="D153" s="530">
        <v>-0.15</v>
      </c>
      <c r="E153" s="537">
        <v>65</v>
      </c>
      <c r="F153" s="444">
        <v>10000</v>
      </c>
      <c r="G153" s="530">
        <v>-0.17</v>
      </c>
      <c r="H153" s="537">
        <v>81</v>
      </c>
      <c r="I153" s="444">
        <v>10000</v>
      </c>
      <c r="J153" s="530">
        <v>-0.13</v>
      </c>
      <c r="K153" s="537">
        <v>57</v>
      </c>
      <c r="L153" s="444">
        <v>10000</v>
      </c>
      <c r="M153" s="530">
        <v>-0.14000000000000001</v>
      </c>
      <c r="N153" s="537">
        <v>57</v>
      </c>
      <c r="O153" s="444">
        <v>10000</v>
      </c>
      <c r="P153" s="530">
        <v>-0.14000000000000001</v>
      </c>
      <c r="Q153" s="537">
        <v>56</v>
      </c>
    </row>
    <row r="154" spans="2:17" ht="30" customHeight="1" x14ac:dyDescent="0.25">
      <c r="B154" s="429"/>
      <c r="C154" s="1724" t="str">
        <f>CONCATENATE(B30," -",CHAR(10),C30)</f>
        <v>Inner rows, from 5th row from north -
1st-10th module</v>
      </c>
      <c r="D154" s="1725"/>
      <c r="E154" s="1726"/>
      <c r="F154" s="1724" t="str">
        <f>$C$154</f>
        <v>Inner rows, from 5th row from north -
1st-10th module</v>
      </c>
      <c r="G154" s="1725"/>
      <c r="H154" s="1726"/>
      <c r="I154" s="1724" t="str">
        <f>$C$154</f>
        <v>Inner rows, from 5th row from north -
1st-10th module</v>
      </c>
      <c r="J154" s="1725"/>
      <c r="K154" s="1726"/>
      <c r="L154" s="1724" t="str">
        <f>$C$154</f>
        <v>Inner rows, from 5th row from north -
1st-10th module</v>
      </c>
      <c r="M154" s="1725"/>
      <c r="N154" s="1726"/>
      <c r="O154" s="1724" t="str">
        <f>$C$154</f>
        <v>Inner rows, from 5th row from north -
1st-10th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-0.79</v>
      </c>
      <c r="E156" s="535">
        <v>510</v>
      </c>
      <c r="F156" s="442">
        <v>1</v>
      </c>
      <c r="G156" s="528">
        <v>-0.31</v>
      </c>
      <c r="H156" s="535">
        <v>174</v>
      </c>
      <c r="I156" s="442">
        <v>1</v>
      </c>
      <c r="J156" s="528">
        <v>-0.3</v>
      </c>
      <c r="K156" s="535">
        <v>170</v>
      </c>
      <c r="L156" s="442">
        <v>1</v>
      </c>
      <c r="M156" s="528">
        <v>-0.32</v>
      </c>
      <c r="N156" s="535">
        <v>182</v>
      </c>
      <c r="O156" s="442">
        <v>1</v>
      </c>
      <c r="P156" s="528">
        <v>-0.33</v>
      </c>
      <c r="Q156" s="535">
        <v>173</v>
      </c>
    </row>
    <row r="157" spans="2:17" ht="15" customHeight="1" x14ac:dyDescent="0.25">
      <c r="B157" s="434" t="str">
        <f>$B$129</f>
        <v>i = b</v>
      </c>
      <c r="C157" s="443">
        <v>13</v>
      </c>
      <c r="D157" s="529">
        <v>-0.61</v>
      </c>
      <c r="E157" s="536">
        <v>384</v>
      </c>
      <c r="F157" s="443">
        <v>11</v>
      </c>
      <c r="G157" s="529">
        <v>-0.31</v>
      </c>
      <c r="H157" s="536">
        <v>174</v>
      </c>
      <c r="I157" s="443">
        <v>18</v>
      </c>
      <c r="J157" s="529">
        <v>-0.27</v>
      </c>
      <c r="K157" s="536">
        <v>150</v>
      </c>
      <c r="L157" s="443">
        <v>12</v>
      </c>
      <c r="M157" s="529">
        <v>-0.26</v>
      </c>
      <c r="N157" s="536">
        <v>139</v>
      </c>
      <c r="O157" s="443">
        <v>15</v>
      </c>
      <c r="P157" s="529">
        <v>-0.26</v>
      </c>
      <c r="Q157" s="536">
        <v>130</v>
      </c>
    </row>
    <row r="158" spans="2:17" ht="15" customHeight="1" x14ac:dyDescent="0.25">
      <c r="B158" s="434" t="str">
        <f>$B$130</f>
        <v>i = c</v>
      </c>
      <c r="C158" s="443">
        <v>55</v>
      </c>
      <c r="D158" s="529">
        <v>-0.32</v>
      </c>
      <c r="E158" s="536">
        <v>184</v>
      </c>
      <c r="F158" s="443">
        <v>99</v>
      </c>
      <c r="G158" s="529">
        <v>-0.24</v>
      </c>
      <c r="H158" s="536">
        <v>127</v>
      </c>
      <c r="I158" s="443">
        <v>81</v>
      </c>
      <c r="J158" s="529">
        <v>-0.16</v>
      </c>
      <c r="K158" s="536">
        <v>75</v>
      </c>
      <c r="L158" s="443">
        <v>56</v>
      </c>
      <c r="M158" s="529">
        <v>-0.18</v>
      </c>
      <c r="N158" s="536">
        <v>84</v>
      </c>
      <c r="O158" s="443">
        <v>15</v>
      </c>
      <c r="P158" s="529">
        <v>-0.26</v>
      </c>
      <c r="Q158" s="536">
        <v>130</v>
      </c>
    </row>
    <row r="159" spans="2:17" ht="15" customHeight="1" x14ac:dyDescent="0.25">
      <c r="B159" s="434" t="str">
        <f>$B$131</f>
        <v>i = d</v>
      </c>
      <c r="C159" s="443">
        <v>500</v>
      </c>
      <c r="D159" s="529">
        <v>-0.15</v>
      </c>
      <c r="E159" s="536">
        <v>65</v>
      </c>
      <c r="F159" s="443">
        <v>600</v>
      </c>
      <c r="G159" s="529">
        <v>-0.17</v>
      </c>
      <c r="H159" s="536">
        <v>81</v>
      </c>
      <c r="I159" s="443">
        <v>700</v>
      </c>
      <c r="J159" s="529">
        <v>-0.13</v>
      </c>
      <c r="K159" s="536">
        <v>57</v>
      </c>
      <c r="L159" s="443">
        <v>500</v>
      </c>
      <c r="M159" s="529">
        <v>-0.14000000000000001</v>
      </c>
      <c r="N159" s="536">
        <v>57</v>
      </c>
      <c r="O159" s="443">
        <v>35</v>
      </c>
      <c r="P159" s="529">
        <v>-0.14000000000000001</v>
      </c>
      <c r="Q159" s="536">
        <v>56</v>
      </c>
    </row>
    <row r="160" spans="2:17" ht="15" customHeight="1" thickBot="1" x14ac:dyDescent="0.3">
      <c r="B160" s="435" t="str">
        <f>$B$132</f>
        <v>i = e</v>
      </c>
      <c r="C160" s="444">
        <v>10000</v>
      </c>
      <c r="D160" s="530">
        <v>-0.15</v>
      </c>
      <c r="E160" s="537">
        <v>65</v>
      </c>
      <c r="F160" s="444">
        <v>10000</v>
      </c>
      <c r="G160" s="530">
        <v>-0.17</v>
      </c>
      <c r="H160" s="537">
        <v>81</v>
      </c>
      <c r="I160" s="444">
        <v>10000</v>
      </c>
      <c r="J160" s="530">
        <v>-0.13</v>
      </c>
      <c r="K160" s="537">
        <v>57</v>
      </c>
      <c r="L160" s="444">
        <v>10000</v>
      </c>
      <c r="M160" s="530">
        <v>-0.14000000000000001</v>
      </c>
      <c r="N160" s="537">
        <v>57</v>
      </c>
      <c r="O160" s="444">
        <v>10000</v>
      </c>
      <c r="P160" s="530">
        <v>-0.14000000000000001</v>
      </c>
      <c r="Q160" s="537">
        <v>56</v>
      </c>
    </row>
    <row r="161" spans="2:17" ht="30" customHeight="1" x14ac:dyDescent="0.25">
      <c r="B161" s="429"/>
      <c r="C161" s="1724" t="str">
        <f>CONCATENATE(B30," -",CHAR(10),C31)</f>
        <v>Inner rows, from 5th row from north -
Interior modules</v>
      </c>
      <c r="D161" s="1725"/>
      <c r="E161" s="1726"/>
      <c r="F161" s="1724" t="str">
        <f>$C$161</f>
        <v>Inner rows, from 5th row from north -
Interior modules</v>
      </c>
      <c r="G161" s="1725"/>
      <c r="H161" s="1726"/>
      <c r="I161" s="1724" t="str">
        <f>$C$161</f>
        <v>Inner rows, from 5th row from north -
Interior modules</v>
      </c>
      <c r="J161" s="1725"/>
      <c r="K161" s="1726"/>
      <c r="L161" s="1724" t="str">
        <f>$C$161</f>
        <v>Inner rows, from 5th row from north -
Interior modules</v>
      </c>
      <c r="M161" s="1725"/>
      <c r="N161" s="1726"/>
      <c r="O161" s="1724" t="str">
        <f>$C$161</f>
        <v>Inner rows, from 5th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-0.65</v>
      </c>
      <c r="E163" s="535">
        <v>352</v>
      </c>
      <c r="F163" s="442">
        <v>1</v>
      </c>
      <c r="G163" s="528">
        <v>-0.3</v>
      </c>
      <c r="H163" s="535">
        <v>168</v>
      </c>
      <c r="I163" s="442">
        <v>1</v>
      </c>
      <c r="J163" s="528">
        <v>-0.28999999999999998</v>
      </c>
      <c r="K163" s="535">
        <v>163</v>
      </c>
      <c r="L163" s="442">
        <v>1</v>
      </c>
      <c r="M163" s="528">
        <v>-0.23</v>
      </c>
      <c r="N163" s="535">
        <v>124</v>
      </c>
      <c r="O163" s="442">
        <v>1</v>
      </c>
      <c r="P163" s="528">
        <v>-0.18</v>
      </c>
      <c r="Q163" s="535">
        <v>86</v>
      </c>
    </row>
    <row r="164" spans="2:17" ht="15" customHeight="1" x14ac:dyDescent="0.25">
      <c r="B164" s="434" t="str">
        <f>$B$129</f>
        <v>i = b</v>
      </c>
      <c r="C164" s="443">
        <v>19</v>
      </c>
      <c r="D164" s="529">
        <v>-0.26</v>
      </c>
      <c r="E164" s="536">
        <v>145</v>
      </c>
      <c r="F164" s="443">
        <v>13</v>
      </c>
      <c r="G164" s="529">
        <v>-0.3</v>
      </c>
      <c r="H164" s="536">
        <v>168</v>
      </c>
      <c r="I164" s="443">
        <v>36</v>
      </c>
      <c r="J164" s="529">
        <v>-0.16</v>
      </c>
      <c r="K164" s="536">
        <v>75</v>
      </c>
      <c r="L164" s="443">
        <v>12</v>
      </c>
      <c r="M164" s="529">
        <v>-0.17</v>
      </c>
      <c r="N164" s="536">
        <v>82</v>
      </c>
      <c r="O164" s="443">
        <v>12</v>
      </c>
      <c r="P164" s="529">
        <v>-0.18</v>
      </c>
      <c r="Q164" s="536">
        <v>86</v>
      </c>
    </row>
    <row r="165" spans="2:17" ht="15" customHeight="1" x14ac:dyDescent="0.25">
      <c r="B165" s="434" t="str">
        <f>$B$130</f>
        <v>i = c</v>
      </c>
      <c r="C165" s="443">
        <v>69</v>
      </c>
      <c r="D165" s="529">
        <v>-0.17</v>
      </c>
      <c r="E165" s="536">
        <v>79</v>
      </c>
      <c r="F165" s="443">
        <v>99</v>
      </c>
      <c r="G165" s="529">
        <v>-0.24</v>
      </c>
      <c r="H165" s="536">
        <v>129</v>
      </c>
      <c r="I165" s="443">
        <v>144</v>
      </c>
      <c r="J165" s="529">
        <v>-0.13</v>
      </c>
      <c r="K165" s="536">
        <v>57</v>
      </c>
      <c r="L165" s="443">
        <v>56</v>
      </c>
      <c r="M165" s="529">
        <v>-0.14000000000000001</v>
      </c>
      <c r="N165" s="536">
        <v>61</v>
      </c>
      <c r="O165" s="443">
        <v>16</v>
      </c>
      <c r="P165" s="529">
        <v>-0.17</v>
      </c>
      <c r="Q165" s="536">
        <v>79</v>
      </c>
    </row>
    <row r="166" spans="2:17" ht="15" customHeight="1" x14ac:dyDescent="0.25">
      <c r="B166" s="434" t="str">
        <f>$B$131</f>
        <v>i = d</v>
      </c>
      <c r="C166" s="443">
        <v>245</v>
      </c>
      <c r="D166" s="529">
        <v>-0.15</v>
      </c>
      <c r="E166" s="536">
        <v>65</v>
      </c>
      <c r="F166" s="443">
        <v>800</v>
      </c>
      <c r="G166" s="529">
        <v>-0.17</v>
      </c>
      <c r="H166" s="536">
        <v>81</v>
      </c>
      <c r="I166" s="443">
        <v>700</v>
      </c>
      <c r="J166" s="529">
        <v>-0.13</v>
      </c>
      <c r="K166" s="536">
        <v>57</v>
      </c>
      <c r="L166" s="443">
        <v>500</v>
      </c>
      <c r="M166" s="529">
        <v>-0.14000000000000001</v>
      </c>
      <c r="N166" s="536">
        <v>57</v>
      </c>
      <c r="O166" s="443">
        <v>35</v>
      </c>
      <c r="P166" s="529">
        <v>-0.14000000000000001</v>
      </c>
      <c r="Q166" s="536">
        <v>56</v>
      </c>
    </row>
    <row r="167" spans="2:17" ht="15" customHeight="1" thickBot="1" x14ac:dyDescent="0.3">
      <c r="B167" s="435" t="str">
        <f>$B$132</f>
        <v>i = e</v>
      </c>
      <c r="C167" s="444">
        <v>10000</v>
      </c>
      <c r="D167" s="530">
        <v>-0.15</v>
      </c>
      <c r="E167" s="537">
        <v>65</v>
      </c>
      <c r="F167" s="444">
        <v>10000</v>
      </c>
      <c r="G167" s="530">
        <v>-0.17</v>
      </c>
      <c r="H167" s="537">
        <v>81</v>
      </c>
      <c r="I167" s="444">
        <v>10000</v>
      </c>
      <c r="J167" s="530">
        <v>-0.13</v>
      </c>
      <c r="K167" s="537">
        <v>57</v>
      </c>
      <c r="L167" s="444">
        <v>10000</v>
      </c>
      <c r="M167" s="530">
        <v>-0.14000000000000001</v>
      </c>
      <c r="N167" s="537">
        <v>57</v>
      </c>
      <c r="O167" s="444">
        <v>10000</v>
      </c>
      <c r="P167" s="530">
        <v>-0.14000000000000001</v>
      </c>
      <c r="Q167" s="537">
        <v>56</v>
      </c>
    </row>
    <row r="168" spans="2:17" ht="15" customHeight="1" x14ac:dyDescent="0.25">
      <c r="B168" s="429"/>
      <c r="C168" s="1721" t="str">
        <f>CONCATENATE(B32," - ",C32)</f>
        <v>South row - 1st-10th module</v>
      </c>
      <c r="D168" s="1722"/>
      <c r="E168" s="1723"/>
      <c r="F168" s="1721" t="str">
        <f>$C$168</f>
        <v>South row - 1st-10th module</v>
      </c>
      <c r="G168" s="1722"/>
      <c r="H168" s="1723"/>
      <c r="I168" s="1721" t="str">
        <f>$C$168</f>
        <v>South row - 1st-10th module</v>
      </c>
      <c r="J168" s="1722"/>
      <c r="K168" s="1723"/>
      <c r="L168" s="1721" t="str">
        <f>$C$168</f>
        <v>South row - 1st-10th module</v>
      </c>
      <c r="M168" s="1722"/>
      <c r="N168" s="1723"/>
      <c r="O168" s="1721" t="str">
        <f>$C$168</f>
        <v>South row - 1st-10th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-1.01</v>
      </c>
      <c r="E170" s="535">
        <v>675</v>
      </c>
      <c r="F170" s="442">
        <v>1</v>
      </c>
      <c r="G170" s="528">
        <v>-0.41</v>
      </c>
      <c r="H170" s="535">
        <v>250</v>
      </c>
      <c r="I170" s="442">
        <v>1</v>
      </c>
      <c r="J170" s="528">
        <v>-0.49</v>
      </c>
      <c r="K170" s="535">
        <v>274</v>
      </c>
      <c r="L170" s="442">
        <v>1</v>
      </c>
      <c r="M170" s="528">
        <v>-0.38</v>
      </c>
      <c r="N170" s="535">
        <v>256</v>
      </c>
      <c r="O170" s="442">
        <v>1</v>
      </c>
      <c r="P170" s="528">
        <v>-0.62</v>
      </c>
      <c r="Q170" s="535">
        <v>430</v>
      </c>
    </row>
    <row r="171" spans="2:17" ht="15" customHeight="1" x14ac:dyDescent="0.25">
      <c r="B171" s="434" t="str">
        <f>$B$129</f>
        <v>i = b</v>
      </c>
      <c r="C171" s="443">
        <v>19</v>
      </c>
      <c r="D171" s="529">
        <v>-0.41</v>
      </c>
      <c r="E171" s="536">
        <v>250</v>
      </c>
      <c r="F171" s="443">
        <v>12</v>
      </c>
      <c r="G171" s="529">
        <v>-0.27</v>
      </c>
      <c r="H171" s="536">
        <v>153</v>
      </c>
      <c r="I171" s="443">
        <v>18</v>
      </c>
      <c r="J171" s="529">
        <v>-0.27</v>
      </c>
      <c r="K171" s="536">
        <v>150</v>
      </c>
      <c r="L171" s="443">
        <v>24</v>
      </c>
      <c r="M171" s="529">
        <v>-0.19</v>
      </c>
      <c r="N171" s="536">
        <v>96</v>
      </c>
      <c r="O171" s="443">
        <v>13</v>
      </c>
      <c r="P171" s="529">
        <v>-0.19</v>
      </c>
      <c r="Q171" s="536">
        <v>93</v>
      </c>
    </row>
    <row r="172" spans="2:17" ht="15" customHeight="1" x14ac:dyDescent="0.25">
      <c r="B172" s="434" t="str">
        <f>$B$130</f>
        <v>i = c</v>
      </c>
      <c r="C172" s="443">
        <v>86</v>
      </c>
      <c r="D172" s="529">
        <v>-0.24</v>
      </c>
      <c r="E172" s="536">
        <v>130</v>
      </c>
      <c r="F172" s="443">
        <v>25</v>
      </c>
      <c r="G172" s="529">
        <v>-0.25</v>
      </c>
      <c r="H172" s="536">
        <v>136</v>
      </c>
      <c r="I172" s="443">
        <v>36</v>
      </c>
      <c r="J172" s="529">
        <v>-0.21</v>
      </c>
      <c r="K172" s="536">
        <v>110</v>
      </c>
      <c r="L172" s="443">
        <v>56</v>
      </c>
      <c r="M172" s="529">
        <v>-0.16</v>
      </c>
      <c r="N172" s="536">
        <v>75</v>
      </c>
      <c r="O172" s="443">
        <v>13</v>
      </c>
      <c r="P172" s="529">
        <v>-0.19</v>
      </c>
      <c r="Q172" s="536">
        <v>93</v>
      </c>
    </row>
    <row r="173" spans="2:17" ht="15" customHeight="1" x14ac:dyDescent="0.25">
      <c r="B173" s="434" t="str">
        <f>$B$131</f>
        <v>i = d</v>
      </c>
      <c r="C173" s="443">
        <v>800</v>
      </c>
      <c r="D173" s="529">
        <v>-0.15</v>
      </c>
      <c r="E173" s="536">
        <v>65</v>
      </c>
      <c r="F173" s="443">
        <v>800</v>
      </c>
      <c r="G173" s="529">
        <v>-0.17</v>
      </c>
      <c r="H173" s="536">
        <v>81</v>
      </c>
      <c r="I173" s="443">
        <v>700</v>
      </c>
      <c r="J173" s="529">
        <v>-0.13</v>
      </c>
      <c r="K173" s="536">
        <v>57</v>
      </c>
      <c r="L173" s="443">
        <v>500</v>
      </c>
      <c r="M173" s="529">
        <v>-0.14000000000000001</v>
      </c>
      <c r="N173" s="536">
        <v>57</v>
      </c>
      <c r="O173" s="443">
        <v>40</v>
      </c>
      <c r="P173" s="529">
        <v>-0.14000000000000001</v>
      </c>
      <c r="Q173" s="536">
        <v>56</v>
      </c>
    </row>
    <row r="174" spans="2:17" ht="15" customHeight="1" thickBot="1" x14ac:dyDescent="0.3">
      <c r="B174" s="435" t="str">
        <f>$B$132</f>
        <v>i = e</v>
      </c>
      <c r="C174" s="444">
        <v>10000</v>
      </c>
      <c r="D174" s="530">
        <v>-0.15</v>
      </c>
      <c r="E174" s="537">
        <v>65</v>
      </c>
      <c r="F174" s="444">
        <v>10000</v>
      </c>
      <c r="G174" s="530">
        <v>-0.17</v>
      </c>
      <c r="H174" s="537">
        <v>81</v>
      </c>
      <c r="I174" s="444">
        <v>10000</v>
      </c>
      <c r="J174" s="530">
        <v>-0.13</v>
      </c>
      <c r="K174" s="537">
        <v>57</v>
      </c>
      <c r="L174" s="444">
        <v>10000</v>
      </c>
      <c r="M174" s="530">
        <v>-0.14000000000000001</v>
      </c>
      <c r="N174" s="537">
        <v>57</v>
      </c>
      <c r="O174" s="444">
        <v>10000</v>
      </c>
      <c r="P174" s="530">
        <v>-0.14000000000000001</v>
      </c>
      <c r="Q174" s="537">
        <v>56</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-0.83</v>
      </c>
      <c r="E177" s="535">
        <v>515</v>
      </c>
      <c r="F177" s="442">
        <v>1</v>
      </c>
      <c r="G177" s="528">
        <v>-0.42</v>
      </c>
      <c r="H177" s="535">
        <v>245</v>
      </c>
      <c r="I177" s="442">
        <v>1</v>
      </c>
      <c r="J177" s="528">
        <v>-0.71</v>
      </c>
      <c r="K177" s="535">
        <v>410</v>
      </c>
      <c r="L177" s="442">
        <v>1</v>
      </c>
      <c r="M177" s="528">
        <v>-0.34</v>
      </c>
      <c r="N177" s="535">
        <v>196</v>
      </c>
      <c r="O177" s="442">
        <v>1</v>
      </c>
      <c r="P177" s="528">
        <v>-0.5</v>
      </c>
      <c r="Q177" s="535">
        <v>298</v>
      </c>
    </row>
    <row r="178" spans="2:17" ht="15" customHeight="1" x14ac:dyDescent="0.25">
      <c r="B178" s="434" t="str">
        <f>$B$129</f>
        <v>i = b</v>
      </c>
      <c r="C178" s="443">
        <v>39</v>
      </c>
      <c r="D178" s="529">
        <v>-0.23</v>
      </c>
      <c r="E178" s="536">
        <v>120</v>
      </c>
      <c r="F178" s="443">
        <v>16</v>
      </c>
      <c r="G178" s="529">
        <v>-0.26</v>
      </c>
      <c r="H178" s="536">
        <v>139</v>
      </c>
      <c r="I178" s="443">
        <v>9</v>
      </c>
      <c r="J178" s="529">
        <v>-0.19</v>
      </c>
      <c r="K178" s="536">
        <v>98</v>
      </c>
      <c r="L178" s="443">
        <v>12</v>
      </c>
      <c r="M178" s="529">
        <v>-0.15</v>
      </c>
      <c r="N178" s="536">
        <v>69</v>
      </c>
      <c r="O178" s="443">
        <v>12</v>
      </c>
      <c r="P178" s="529">
        <v>-0.19</v>
      </c>
      <c r="Q178" s="536">
        <v>88</v>
      </c>
    </row>
    <row r="179" spans="2:17" ht="15" customHeight="1" x14ac:dyDescent="0.25">
      <c r="B179" s="434" t="str">
        <f>$B$130</f>
        <v>i = c</v>
      </c>
      <c r="C179" s="443">
        <v>39</v>
      </c>
      <c r="D179" s="529">
        <v>-0.23</v>
      </c>
      <c r="E179" s="536">
        <v>120</v>
      </c>
      <c r="F179" s="443">
        <v>99</v>
      </c>
      <c r="G179" s="529">
        <v>-0.22</v>
      </c>
      <c r="H179" s="536">
        <v>115</v>
      </c>
      <c r="I179" s="443">
        <v>144</v>
      </c>
      <c r="J179" s="529">
        <v>-0.13</v>
      </c>
      <c r="K179" s="536">
        <v>57</v>
      </c>
      <c r="L179" s="443">
        <v>56</v>
      </c>
      <c r="M179" s="529">
        <v>-0.13</v>
      </c>
      <c r="N179" s="536">
        <v>57</v>
      </c>
      <c r="O179" s="443">
        <v>12</v>
      </c>
      <c r="P179" s="529">
        <v>-0.19</v>
      </c>
      <c r="Q179" s="536">
        <v>88</v>
      </c>
    </row>
    <row r="180" spans="2:17" ht="15" customHeight="1" x14ac:dyDescent="0.25">
      <c r="B180" s="434" t="str">
        <f>$B$131</f>
        <v>i = d</v>
      </c>
      <c r="C180" s="443">
        <v>120</v>
      </c>
      <c r="D180" s="529">
        <v>-0.15</v>
      </c>
      <c r="E180" s="536">
        <v>65</v>
      </c>
      <c r="F180" s="443">
        <v>1000</v>
      </c>
      <c r="G180" s="529">
        <v>-0.17</v>
      </c>
      <c r="H180" s="536">
        <v>81</v>
      </c>
      <c r="I180" s="443">
        <v>700</v>
      </c>
      <c r="J180" s="529">
        <v>-0.13</v>
      </c>
      <c r="K180" s="536">
        <v>57</v>
      </c>
      <c r="L180" s="443">
        <v>500</v>
      </c>
      <c r="M180" s="529">
        <v>-0.13</v>
      </c>
      <c r="N180" s="536">
        <v>57</v>
      </c>
      <c r="O180" s="443">
        <v>25</v>
      </c>
      <c r="P180" s="529">
        <v>-0.14000000000000001</v>
      </c>
      <c r="Q180" s="536">
        <v>56</v>
      </c>
    </row>
    <row r="181" spans="2:17" ht="15" customHeight="1" thickBot="1" x14ac:dyDescent="0.3">
      <c r="B181" s="435" t="str">
        <f>$B$132</f>
        <v>i = e</v>
      </c>
      <c r="C181" s="444">
        <v>10000</v>
      </c>
      <c r="D181" s="530">
        <v>-0.15</v>
      </c>
      <c r="E181" s="537">
        <v>65</v>
      </c>
      <c r="F181" s="444">
        <v>10000</v>
      </c>
      <c r="G181" s="530">
        <v>-0.17</v>
      </c>
      <c r="H181" s="537">
        <v>81</v>
      </c>
      <c r="I181" s="444">
        <v>10000</v>
      </c>
      <c r="J181" s="530">
        <v>-0.13</v>
      </c>
      <c r="K181" s="537">
        <v>57</v>
      </c>
      <c r="L181" s="444">
        <v>10000</v>
      </c>
      <c r="M181" s="530">
        <v>-0.13</v>
      </c>
      <c r="N181" s="537">
        <v>57</v>
      </c>
      <c r="O181" s="444">
        <v>10000</v>
      </c>
      <c r="P181" s="530">
        <v>-0.14000000000000001</v>
      </c>
      <c r="Q181" s="537">
        <v>56</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- 1st-10th module</v>
      </c>
      <c r="D184" s="1722"/>
      <c r="E184" s="1723"/>
      <c r="F184" s="1721" t="str">
        <f>$C$126</f>
        <v>North row - 1st-10th module</v>
      </c>
      <c r="G184" s="1722"/>
      <c r="H184" s="1723"/>
      <c r="I184" s="1721" t="str">
        <f>$C$126</f>
        <v>North row - 1st-10th module</v>
      </c>
      <c r="J184" s="1722"/>
      <c r="K184" s="1723"/>
      <c r="L184" s="1721" t="str">
        <f>$C$126</f>
        <v>North row - 1st-10th module</v>
      </c>
      <c r="M184" s="1722"/>
      <c r="N184" s="1723"/>
      <c r="O184" s="1721" t="str">
        <f>$C$126</f>
        <v>North row - 1st-10th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-1.22</v>
      </c>
      <c r="E186" s="535">
        <v>692</v>
      </c>
      <c r="F186" s="442">
        <v>1</v>
      </c>
      <c r="G186" s="528">
        <v>-1.1200000000000001</v>
      </c>
      <c r="H186" s="535">
        <v>614</v>
      </c>
      <c r="I186" s="442">
        <v>1</v>
      </c>
      <c r="J186" s="528">
        <v>-0.49</v>
      </c>
      <c r="K186" s="535">
        <v>250</v>
      </c>
      <c r="L186" s="442">
        <v>1</v>
      </c>
      <c r="M186" s="528">
        <v>-0.59</v>
      </c>
      <c r="N186" s="535">
        <v>307</v>
      </c>
      <c r="O186" s="442">
        <v>1</v>
      </c>
      <c r="P186" s="528">
        <v>-0.57999999999999996</v>
      </c>
      <c r="Q186" s="535">
        <v>295</v>
      </c>
    </row>
    <row r="187" spans="2:17" ht="15" customHeight="1" x14ac:dyDescent="0.25">
      <c r="B187" s="434" t="str">
        <f>$B$129</f>
        <v>i = b</v>
      </c>
      <c r="C187" s="443">
        <v>25</v>
      </c>
      <c r="D187" s="529">
        <v>-0.46</v>
      </c>
      <c r="E187" s="536">
        <v>243</v>
      </c>
      <c r="F187" s="443">
        <v>98</v>
      </c>
      <c r="G187" s="529">
        <v>-0.34</v>
      </c>
      <c r="H187" s="536">
        <v>155</v>
      </c>
      <c r="I187" s="443">
        <v>9</v>
      </c>
      <c r="J187" s="529">
        <v>-0.39</v>
      </c>
      <c r="K187" s="536">
        <v>183</v>
      </c>
      <c r="L187" s="443">
        <v>25</v>
      </c>
      <c r="M187" s="529">
        <v>-0.27</v>
      </c>
      <c r="N187" s="536">
        <v>120</v>
      </c>
      <c r="O187" s="443">
        <v>24</v>
      </c>
      <c r="P187" s="529">
        <v>-0.27</v>
      </c>
      <c r="Q187" s="536">
        <v>113</v>
      </c>
    </row>
    <row r="188" spans="2:17" ht="15" customHeight="1" x14ac:dyDescent="0.25">
      <c r="B188" s="434" t="str">
        <f>$B$130</f>
        <v>i = c</v>
      </c>
      <c r="C188" s="443">
        <v>70</v>
      </c>
      <c r="D188" s="529">
        <v>-0.26</v>
      </c>
      <c r="E188" s="536">
        <v>120</v>
      </c>
      <c r="F188" s="443">
        <v>121</v>
      </c>
      <c r="G188" s="529">
        <v>-0.3</v>
      </c>
      <c r="H188" s="536">
        <v>130</v>
      </c>
      <c r="I188" s="443">
        <v>55</v>
      </c>
      <c r="J188" s="529">
        <v>-0.27</v>
      </c>
      <c r="K188" s="536">
        <v>110</v>
      </c>
      <c r="L188" s="443">
        <v>123</v>
      </c>
      <c r="M188" s="529">
        <v>-0.19</v>
      </c>
      <c r="N188" s="536">
        <v>67</v>
      </c>
      <c r="O188" s="443">
        <v>55</v>
      </c>
      <c r="P188" s="529">
        <v>-0.21</v>
      </c>
      <c r="Q188" s="536">
        <v>78</v>
      </c>
    </row>
    <row r="189" spans="2:17" ht="15" customHeight="1" x14ac:dyDescent="0.25">
      <c r="B189" s="434" t="str">
        <f>$B$131</f>
        <v>i = d</v>
      </c>
      <c r="C189" s="443">
        <v>700</v>
      </c>
      <c r="D189" s="529">
        <v>-0.15</v>
      </c>
      <c r="E189" s="536">
        <v>49</v>
      </c>
      <c r="F189" s="443">
        <v>700</v>
      </c>
      <c r="G189" s="529">
        <v>-0.17</v>
      </c>
      <c r="H189" s="536">
        <v>55</v>
      </c>
      <c r="I189" s="443">
        <v>500</v>
      </c>
      <c r="J189" s="529">
        <v>-0.12</v>
      </c>
      <c r="K189" s="536">
        <v>31</v>
      </c>
      <c r="L189" s="443">
        <v>500</v>
      </c>
      <c r="M189" s="529">
        <v>-0.13</v>
      </c>
      <c r="N189" s="536">
        <v>31</v>
      </c>
      <c r="O189" s="443">
        <v>400</v>
      </c>
      <c r="P189" s="529">
        <v>-0.12</v>
      </c>
      <c r="Q189" s="536">
        <v>31</v>
      </c>
    </row>
    <row r="190" spans="2:17" ht="15" customHeight="1" thickBot="1" x14ac:dyDescent="0.3">
      <c r="B190" s="435" t="str">
        <f>$B$132</f>
        <v>i = e</v>
      </c>
      <c r="C190" s="444">
        <v>10000</v>
      </c>
      <c r="D190" s="530">
        <v>-0.15</v>
      </c>
      <c r="E190" s="537">
        <v>49</v>
      </c>
      <c r="F190" s="444">
        <v>10000</v>
      </c>
      <c r="G190" s="530">
        <v>-0.17</v>
      </c>
      <c r="H190" s="537">
        <v>55</v>
      </c>
      <c r="I190" s="444">
        <v>10000</v>
      </c>
      <c r="J190" s="530">
        <v>-0.12</v>
      </c>
      <c r="K190" s="537">
        <v>31</v>
      </c>
      <c r="L190" s="444">
        <v>10000</v>
      </c>
      <c r="M190" s="530">
        <v>-0.13</v>
      </c>
      <c r="N190" s="537">
        <v>31</v>
      </c>
      <c r="O190" s="444">
        <v>10000</v>
      </c>
      <c r="P190" s="530">
        <v>-0.12</v>
      </c>
      <c r="Q190" s="537">
        <v>31</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-0.67</v>
      </c>
      <c r="E193" s="535">
        <v>354</v>
      </c>
      <c r="F193" s="442">
        <v>1</v>
      </c>
      <c r="G193" s="528">
        <v>-1.1299999999999999</v>
      </c>
      <c r="H193" s="535">
        <v>616</v>
      </c>
      <c r="I193" s="442">
        <v>1</v>
      </c>
      <c r="J193" s="528">
        <v>-0.4</v>
      </c>
      <c r="K193" s="535">
        <v>194</v>
      </c>
      <c r="L193" s="442">
        <v>1</v>
      </c>
      <c r="M193" s="528">
        <v>-0.55000000000000004</v>
      </c>
      <c r="N193" s="535">
        <v>278</v>
      </c>
      <c r="O193" s="442">
        <v>1</v>
      </c>
      <c r="P193" s="528">
        <v>-0.56999999999999995</v>
      </c>
      <c r="Q193" s="535">
        <v>288</v>
      </c>
    </row>
    <row r="194" spans="2:17" ht="15" customHeight="1" x14ac:dyDescent="0.25">
      <c r="B194" s="434" t="str">
        <f>$B$129</f>
        <v>i = b</v>
      </c>
      <c r="C194" s="443">
        <v>13</v>
      </c>
      <c r="D194" s="529">
        <v>-0.42</v>
      </c>
      <c r="E194" s="536">
        <v>215</v>
      </c>
      <c r="F194" s="443">
        <v>98</v>
      </c>
      <c r="G194" s="529">
        <v>-0.31</v>
      </c>
      <c r="H194" s="536">
        <v>140</v>
      </c>
      <c r="I194" s="443">
        <v>9</v>
      </c>
      <c r="J194" s="529">
        <v>-0.3</v>
      </c>
      <c r="K194" s="536">
        <v>130</v>
      </c>
      <c r="L194" s="443">
        <v>32</v>
      </c>
      <c r="M194" s="529">
        <v>-0.25</v>
      </c>
      <c r="N194" s="536">
        <v>102</v>
      </c>
      <c r="O194" s="443">
        <v>24</v>
      </c>
      <c r="P194" s="529">
        <v>-0.27</v>
      </c>
      <c r="Q194" s="536">
        <v>114</v>
      </c>
    </row>
    <row r="195" spans="2:17" ht="15" customHeight="1" x14ac:dyDescent="0.25">
      <c r="B195" s="434" t="str">
        <f>$B$130</f>
        <v>i = c</v>
      </c>
      <c r="C195" s="443">
        <v>56</v>
      </c>
      <c r="D195" s="529">
        <v>-0.24</v>
      </c>
      <c r="E195" s="536">
        <v>107</v>
      </c>
      <c r="F195" s="443">
        <v>121</v>
      </c>
      <c r="G195" s="529">
        <v>-0.28999999999999998</v>
      </c>
      <c r="H195" s="536">
        <v>126</v>
      </c>
      <c r="I195" s="443">
        <v>81</v>
      </c>
      <c r="J195" s="529">
        <v>-0.18</v>
      </c>
      <c r="K195" s="536">
        <v>62</v>
      </c>
      <c r="L195" s="443">
        <v>72</v>
      </c>
      <c r="M195" s="529">
        <v>-0.19</v>
      </c>
      <c r="N195" s="536">
        <v>72</v>
      </c>
      <c r="O195" s="443">
        <v>55</v>
      </c>
      <c r="P195" s="529">
        <v>-0.21</v>
      </c>
      <c r="Q195" s="536">
        <v>78</v>
      </c>
    </row>
    <row r="196" spans="2:17" ht="15" customHeight="1" x14ac:dyDescent="0.25">
      <c r="B196" s="434" t="str">
        <f>$B$131</f>
        <v>i = d</v>
      </c>
      <c r="C196" s="443">
        <v>164</v>
      </c>
      <c r="D196" s="529">
        <v>-0.15</v>
      </c>
      <c r="E196" s="536">
        <v>49</v>
      </c>
      <c r="F196" s="443">
        <v>500</v>
      </c>
      <c r="G196" s="529">
        <v>-0.17</v>
      </c>
      <c r="H196" s="536">
        <v>55</v>
      </c>
      <c r="I196" s="443">
        <v>700</v>
      </c>
      <c r="J196" s="529">
        <v>-0.12</v>
      </c>
      <c r="K196" s="536">
        <v>31</v>
      </c>
      <c r="L196" s="443">
        <v>500</v>
      </c>
      <c r="M196" s="529">
        <v>-0.13</v>
      </c>
      <c r="N196" s="536">
        <v>31</v>
      </c>
      <c r="O196" s="443">
        <v>400</v>
      </c>
      <c r="P196" s="529">
        <v>-0.12</v>
      </c>
      <c r="Q196" s="536">
        <v>31</v>
      </c>
    </row>
    <row r="197" spans="2:17" ht="15" customHeight="1" thickBot="1" x14ac:dyDescent="0.3">
      <c r="B197" s="435" t="str">
        <f>$B$132</f>
        <v>i = e</v>
      </c>
      <c r="C197" s="444">
        <v>10000</v>
      </c>
      <c r="D197" s="530">
        <v>-0.15</v>
      </c>
      <c r="E197" s="537">
        <v>49</v>
      </c>
      <c r="F197" s="444">
        <v>10000</v>
      </c>
      <c r="G197" s="530">
        <v>-0.17</v>
      </c>
      <c r="H197" s="537">
        <v>55</v>
      </c>
      <c r="I197" s="444">
        <v>10000</v>
      </c>
      <c r="J197" s="530">
        <v>-0.12</v>
      </c>
      <c r="K197" s="537">
        <v>31</v>
      </c>
      <c r="L197" s="444">
        <v>10000</v>
      </c>
      <c r="M197" s="530">
        <v>-0.13</v>
      </c>
      <c r="N197" s="537">
        <v>31</v>
      </c>
      <c r="O197" s="444">
        <v>10000</v>
      </c>
      <c r="P197" s="530">
        <v>-0.12</v>
      </c>
      <c r="Q197" s="537">
        <v>31</v>
      </c>
    </row>
    <row r="198" spans="2:17" ht="30" customHeight="1" x14ac:dyDescent="0.25">
      <c r="B198" s="429"/>
      <c r="C198" s="1724" t="str">
        <f>$C$140</f>
        <v>Inner rows, 2nd to 4th row from north -
1st-10th module</v>
      </c>
      <c r="D198" s="1725"/>
      <c r="E198" s="1726"/>
      <c r="F198" s="1724" t="str">
        <f>$C$140</f>
        <v>Inner rows, 2nd to 4th row from north -
1st-10th module</v>
      </c>
      <c r="G198" s="1725"/>
      <c r="H198" s="1726"/>
      <c r="I198" s="1724" t="str">
        <f>$C$140</f>
        <v>Inner rows, 2nd to 4th row from north -
1st-10th module</v>
      </c>
      <c r="J198" s="1725"/>
      <c r="K198" s="1726"/>
      <c r="L198" s="1724" t="str">
        <f>$C$140</f>
        <v>Inner rows, 2nd to 4th row from north -
1st-10th module</v>
      </c>
      <c r="M198" s="1725"/>
      <c r="N198" s="1726"/>
      <c r="O198" s="1724" t="str">
        <f>$C$140</f>
        <v>Inner rows, 2nd to 4th row from north -
1st-10th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-0.94</v>
      </c>
      <c r="E200" s="535">
        <v>510</v>
      </c>
      <c r="F200" s="442">
        <v>1</v>
      </c>
      <c r="G200" s="528">
        <v>-0.56999999999999995</v>
      </c>
      <c r="H200" s="535">
        <v>296</v>
      </c>
      <c r="I200" s="442">
        <v>1</v>
      </c>
      <c r="J200" s="528">
        <v>-0.53</v>
      </c>
      <c r="K200" s="535">
        <v>285</v>
      </c>
      <c r="L200" s="442">
        <v>1</v>
      </c>
      <c r="M200" s="528">
        <v>-0.46</v>
      </c>
      <c r="N200" s="535">
        <v>232</v>
      </c>
      <c r="O200" s="442">
        <v>1</v>
      </c>
      <c r="P200" s="528">
        <v>-0.34</v>
      </c>
      <c r="Q200" s="535">
        <v>160</v>
      </c>
    </row>
    <row r="201" spans="2:17" ht="15" customHeight="1" x14ac:dyDescent="0.25">
      <c r="B201" s="434" t="str">
        <f>$B$129</f>
        <v>i = b</v>
      </c>
      <c r="C201" s="443">
        <v>13</v>
      </c>
      <c r="D201" s="529">
        <v>-0.56000000000000005</v>
      </c>
      <c r="E201" s="536">
        <v>284</v>
      </c>
      <c r="F201" s="443">
        <v>13</v>
      </c>
      <c r="G201" s="529">
        <v>-0.35</v>
      </c>
      <c r="H201" s="536">
        <v>158</v>
      </c>
      <c r="I201" s="443">
        <v>18</v>
      </c>
      <c r="J201" s="529">
        <v>-0.27</v>
      </c>
      <c r="K201" s="536">
        <v>120</v>
      </c>
      <c r="L201" s="443">
        <v>25</v>
      </c>
      <c r="M201" s="529">
        <v>-0.23</v>
      </c>
      <c r="N201" s="536">
        <v>90</v>
      </c>
      <c r="O201" s="443">
        <v>13</v>
      </c>
      <c r="P201" s="529">
        <v>-0.27</v>
      </c>
      <c r="Q201" s="536">
        <v>120</v>
      </c>
    </row>
    <row r="202" spans="2:17" ht="15" customHeight="1" x14ac:dyDescent="0.25">
      <c r="B202" s="434" t="str">
        <f>$B$130</f>
        <v>i = c</v>
      </c>
      <c r="C202" s="443">
        <v>69</v>
      </c>
      <c r="D202" s="529">
        <v>-0.28000000000000003</v>
      </c>
      <c r="E202" s="536">
        <v>120</v>
      </c>
      <c r="F202" s="443">
        <v>204</v>
      </c>
      <c r="G202" s="529">
        <v>-0.24</v>
      </c>
      <c r="H202" s="536">
        <v>100</v>
      </c>
      <c r="I202" s="443">
        <v>99</v>
      </c>
      <c r="J202" s="529">
        <v>-0.2</v>
      </c>
      <c r="K202" s="536">
        <v>80</v>
      </c>
      <c r="L202" s="443">
        <v>123</v>
      </c>
      <c r="M202" s="529">
        <v>-0.19</v>
      </c>
      <c r="N202" s="536">
        <v>69</v>
      </c>
      <c r="O202" s="443">
        <v>13</v>
      </c>
      <c r="P202" s="529">
        <v>-0.27</v>
      </c>
      <c r="Q202" s="536">
        <v>120</v>
      </c>
    </row>
    <row r="203" spans="2:17" ht="15" customHeight="1" x14ac:dyDescent="0.25">
      <c r="B203" s="434" t="str">
        <f>$B$131</f>
        <v>i = d</v>
      </c>
      <c r="C203" s="443">
        <v>900</v>
      </c>
      <c r="D203" s="529">
        <v>-0.15</v>
      </c>
      <c r="E203" s="536">
        <v>49</v>
      </c>
      <c r="F203" s="443">
        <v>800</v>
      </c>
      <c r="G203" s="529">
        <v>-0.17</v>
      </c>
      <c r="H203" s="536">
        <v>55</v>
      </c>
      <c r="I203" s="443">
        <v>700</v>
      </c>
      <c r="J203" s="529">
        <v>-0.12</v>
      </c>
      <c r="K203" s="536">
        <v>31</v>
      </c>
      <c r="L203" s="443">
        <v>500</v>
      </c>
      <c r="M203" s="529">
        <v>-0.13</v>
      </c>
      <c r="N203" s="536">
        <v>31</v>
      </c>
      <c r="O203" s="443">
        <v>400</v>
      </c>
      <c r="P203" s="529">
        <v>-0.12</v>
      </c>
      <c r="Q203" s="536">
        <v>31</v>
      </c>
    </row>
    <row r="204" spans="2:17" ht="15" customHeight="1" thickBot="1" x14ac:dyDescent="0.3">
      <c r="B204" s="435" t="str">
        <f>$B$132</f>
        <v>i = e</v>
      </c>
      <c r="C204" s="444">
        <v>10000</v>
      </c>
      <c r="D204" s="530">
        <v>-0.15</v>
      </c>
      <c r="E204" s="537">
        <v>49</v>
      </c>
      <c r="F204" s="444">
        <v>10000</v>
      </c>
      <c r="G204" s="530">
        <v>-0.17</v>
      </c>
      <c r="H204" s="537">
        <v>55</v>
      </c>
      <c r="I204" s="444">
        <v>10000</v>
      </c>
      <c r="J204" s="530">
        <v>-0.12</v>
      </c>
      <c r="K204" s="537">
        <v>31</v>
      </c>
      <c r="L204" s="444">
        <v>10000</v>
      </c>
      <c r="M204" s="530">
        <v>-0.13</v>
      </c>
      <c r="N204" s="537">
        <v>31</v>
      </c>
      <c r="O204" s="444">
        <v>10000</v>
      </c>
      <c r="P204" s="530">
        <v>-0.12</v>
      </c>
      <c r="Q204" s="537">
        <v>31</v>
      </c>
    </row>
    <row r="205" spans="2:17" ht="30" customHeight="1" x14ac:dyDescent="0.25">
      <c r="B205" s="429"/>
      <c r="C205" s="1724" t="str">
        <f>$C$147</f>
        <v>Inner rows, 2nd to 4th row from north -
Interior modules</v>
      </c>
      <c r="D205" s="1725"/>
      <c r="E205" s="1726"/>
      <c r="F205" s="1724" t="str">
        <f>$C$147</f>
        <v>Inner rows, 2nd to 4th row from north -
Interior modules</v>
      </c>
      <c r="G205" s="1725"/>
      <c r="H205" s="1726"/>
      <c r="I205" s="1724" t="str">
        <f>$C$147</f>
        <v>Inner rows, 2nd to 4th row from north -
Interior modules</v>
      </c>
      <c r="J205" s="1725"/>
      <c r="K205" s="1726"/>
      <c r="L205" s="1724" t="str">
        <f>$C$147</f>
        <v>Inner rows, 2nd to 4th row from north -
Interior modules</v>
      </c>
      <c r="M205" s="1725"/>
      <c r="N205" s="1726"/>
      <c r="O205" s="1724" t="str">
        <f>$C$147</f>
        <v>Inner rows, 2nd to 4th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-0.99</v>
      </c>
      <c r="E207" s="535">
        <v>570</v>
      </c>
      <c r="F207" s="442">
        <v>1</v>
      </c>
      <c r="G207" s="528">
        <v>-0.56000000000000005</v>
      </c>
      <c r="H207" s="535">
        <v>300</v>
      </c>
      <c r="I207" s="442">
        <v>1</v>
      </c>
      <c r="J207" s="528">
        <v>-0.55000000000000004</v>
      </c>
      <c r="K207" s="535">
        <v>278</v>
      </c>
      <c r="L207" s="442">
        <v>1</v>
      </c>
      <c r="M207" s="528">
        <v>-0.31</v>
      </c>
      <c r="N207" s="535">
        <v>150</v>
      </c>
      <c r="O207" s="442">
        <v>1</v>
      </c>
      <c r="P207" s="528">
        <v>-0.25</v>
      </c>
      <c r="Q207" s="535">
        <v>104</v>
      </c>
    </row>
    <row r="208" spans="2:17" ht="15" customHeight="1" x14ac:dyDescent="0.25">
      <c r="B208" s="434" t="str">
        <f>$B$129</f>
        <v>i = b</v>
      </c>
      <c r="C208" s="443">
        <v>17</v>
      </c>
      <c r="D208" s="529">
        <v>-0.42</v>
      </c>
      <c r="E208" s="536">
        <v>210</v>
      </c>
      <c r="F208" s="443">
        <v>12</v>
      </c>
      <c r="G208" s="529">
        <v>-0.33</v>
      </c>
      <c r="H208" s="536">
        <v>153</v>
      </c>
      <c r="I208" s="443">
        <v>36</v>
      </c>
      <c r="J208" s="529">
        <v>-0.16</v>
      </c>
      <c r="K208" s="536">
        <v>49</v>
      </c>
      <c r="L208" s="443">
        <v>16</v>
      </c>
      <c r="M208" s="529">
        <v>-0.2</v>
      </c>
      <c r="N208" s="536">
        <v>75</v>
      </c>
      <c r="O208" s="443">
        <v>100</v>
      </c>
      <c r="P208" s="529">
        <v>-0.17</v>
      </c>
      <c r="Q208" s="536">
        <v>55</v>
      </c>
    </row>
    <row r="209" spans="2:17" ht="15" customHeight="1" x14ac:dyDescent="0.25">
      <c r="B209" s="434" t="str">
        <f>$B$130</f>
        <v>i = c</v>
      </c>
      <c r="C209" s="443">
        <v>68</v>
      </c>
      <c r="D209" s="529">
        <v>-0.22</v>
      </c>
      <c r="E209" s="536">
        <v>96</v>
      </c>
      <c r="F209" s="443">
        <v>130</v>
      </c>
      <c r="G209" s="529">
        <v>-0.25</v>
      </c>
      <c r="H209" s="536">
        <v>102</v>
      </c>
      <c r="I209" s="443">
        <v>255</v>
      </c>
      <c r="J209" s="529">
        <v>-0.15</v>
      </c>
      <c r="K209" s="536">
        <v>43</v>
      </c>
      <c r="L209" s="443">
        <v>72</v>
      </c>
      <c r="M209" s="529">
        <v>-0.16</v>
      </c>
      <c r="N209" s="536">
        <v>52</v>
      </c>
      <c r="O209" s="443">
        <v>100</v>
      </c>
      <c r="P209" s="529">
        <v>-0.17</v>
      </c>
      <c r="Q209" s="536">
        <v>55</v>
      </c>
    </row>
    <row r="210" spans="2:17" ht="15" customHeight="1" x14ac:dyDescent="0.25">
      <c r="B210" s="434" t="str">
        <f>$B$131</f>
        <v>i = d</v>
      </c>
      <c r="C210" s="443">
        <v>246</v>
      </c>
      <c r="D210" s="529">
        <v>-0.15</v>
      </c>
      <c r="E210" s="536">
        <v>49</v>
      </c>
      <c r="F210" s="443">
        <v>800</v>
      </c>
      <c r="G210" s="529">
        <v>-0.17</v>
      </c>
      <c r="H210" s="536">
        <v>55</v>
      </c>
      <c r="I210" s="443">
        <v>700</v>
      </c>
      <c r="J210" s="529">
        <v>-0.12</v>
      </c>
      <c r="K210" s="536">
        <v>31</v>
      </c>
      <c r="L210" s="443">
        <v>500</v>
      </c>
      <c r="M210" s="529">
        <v>-0.13</v>
      </c>
      <c r="N210" s="536">
        <v>31</v>
      </c>
      <c r="O210" s="443">
        <v>400</v>
      </c>
      <c r="P210" s="529">
        <v>-0.12</v>
      </c>
      <c r="Q210" s="536">
        <v>31</v>
      </c>
    </row>
    <row r="211" spans="2:17" ht="15" customHeight="1" thickBot="1" x14ac:dyDescent="0.3">
      <c r="B211" s="435" t="str">
        <f>$B$132</f>
        <v>i = e</v>
      </c>
      <c r="C211" s="444">
        <v>10000</v>
      </c>
      <c r="D211" s="530">
        <v>-0.15</v>
      </c>
      <c r="E211" s="537">
        <v>49</v>
      </c>
      <c r="F211" s="444">
        <v>10000</v>
      </c>
      <c r="G211" s="530">
        <v>-0.17</v>
      </c>
      <c r="H211" s="537">
        <v>55</v>
      </c>
      <c r="I211" s="444">
        <v>10000</v>
      </c>
      <c r="J211" s="530">
        <v>-0.12</v>
      </c>
      <c r="K211" s="537">
        <v>31</v>
      </c>
      <c r="L211" s="444">
        <v>10000</v>
      </c>
      <c r="M211" s="530">
        <v>-0.13</v>
      </c>
      <c r="N211" s="537">
        <v>31</v>
      </c>
      <c r="O211" s="444">
        <v>10000</v>
      </c>
      <c r="P211" s="530">
        <v>-0.12</v>
      </c>
      <c r="Q211" s="537">
        <v>31</v>
      </c>
    </row>
    <row r="212" spans="2:17" ht="30" customHeight="1" x14ac:dyDescent="0.25">
      <c r="B212" s="429"/>
      <c r="C212" s="1724" t="str">
        <f>$C$154</f>
        <v>Inner rows, from 5th row from north -
1st-10th module</v>
      </c>
      <c r="D212" s="1725"/>
      <c r="E212" s="1726"/>
      <c r="F212" s="1724" t="str">
        <f>$C$154</f>
        <v>Inner rows, from 5th row from north -
1st-10th module</v>
      </c>
      <c r="G212" s="1725"/>
      <c r="H212" s="1726"/>
      <c r="I212" s="1724" t="str">
        <f>$C$154</f>
        <v>Inner rows, from 5th row from north -
1st-10th module</v>
      </c>
      <c r="J212" s="1725"/>
      <c r="K212" s="1726"/>
      <c r="L212" s="1724" t="str">
        <f>$C$154</f>
        <v>Inner rows, from 5th row from north -
1st-10th module</v>
      </c>
      <c r="M212" s="1725"/>
      <c r="N212" s="1726"/>
      <c r="O212" s="1724" t="str">
        <f>$C$154</f>
        <v>Inner rows, from 5th row from north -
1st-10th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-0.79</v>
      </c>
      <c r="E214" s="535">
        <v>420</v>
      </c>
      <c r="F214" s="442">
        <v>1</v>
      </c>
      <c r="G214" s="528">
        <v>-0.31</v>
      </c>
      <c r="H214" s="535">
        <v>136</v>
      </c>
      <c r="I214" s="442">
        <v>1</v>
      </c>
      <c r="J214" s="528">
        <v>-0.3</v>
      </c>
      <c r="K214" s="535">
        <v>129</v>
      </c>
      <c r="L214" s="442">
        <v>1</v>
      </c>
      <c r="M214" s="528">
        <v>-0.35</v>
      </c>
      <c r="N214" s="535">
        <v>172</v>
      </c>
      <c r="O214" s="442">
        <v>1</v>
      </c>
      <c r="P214" s="528">
        <v>-0.33</v>
      </c>
      <c r="Q214" s="535">
        <v>162</v>
      </c>
    </row>
    <row r="215" spans="2:17" ht="15" customHeight="1" x14ac:dyDescent="0.25">
      <c r="B215" s="434" t="str">
        <f>$B$129</f>
        <v>i = b</v>
      </c>
      <c r="C215" s="443">
        <v>13</v>
      </c>
      <c r="D215" s="529">
        <v>-0.6</v>
      </c>
      <c r="E215" s="536">
        <v>311</v>
      </c>
      <c r="F215" s="443">
        <v>11</v>
      </c>
      <c r="G215" s="529">
        <v>-0.31</v>
      </c>
      <c r="H215" s="536">
        <v>136</v>
      </c>
      <c r="I215" s="443">
        <v>18</v>
      </c>
      <c r="J215" s="529">
        <v>-0.27</v>
      </c>
      <c r="K215" s="536">
        <v>114</v>
      </c>
      <c r="L215" s="443">
        <v>12</v>
      </c>
      <c r="M215" s="529">
        <v>-0.25</v>
      </c>
      <c r="N215" s="536">
        <v>104</v>
      </c>
      <c r="O215" s="443">
        <v>15</v>
      </c>
      <c r="P215" s="529">
        <v>-0.26</v>
      </c>
      <c r="Q215" s="536">
        <v>115</v>
      </c>
    </row>
    <row r="216" spans="2:17" ht="15" customHeight="1" x14ac:dyDescent="0.25">
      <c r="B216" s="434" t="str">
        <f>$B$130</f>
        <v>i = c</v>
      </c>
      <c r="C216" s="443">
        <v>55</v>
      </c>
      <c r="D216" s="529">
        <v>-0.31</v>
      </c>
      <c r="E216" s="536">
        <v>136</v>
      </c>
      <c r="F216" s="443">
        <v>99</v>
      </c>
      <c r="G216" s="529">
        <v>-0.23</v>
      </c>
      <c r="H216" s="536">
        <v>89</v>
      </c>
      <c r="I216" s="443">
        <v>81</v>
      </c>
      <c r="J216" s="529">
        <v>-0.16</v>
      </c>
      <c r="K216" s="536">
        <v>55</v>
      </c>
      <c r="L216" s="443">
        <v>56</v>
      </c>
      <c r="M216" s="529">
        <v>-0.18</v>
      </c>
      <c r="N216" s="536">
        <v>61</v>
      </c>
      <c r="O216" s="443">
        <v>15</v>
      </c>
      <c r="P216" s="529">
        <v>-0.26</v>
      </c>
      <c r="Q216" s="536">
        <v>115</v>
      </c>
    </row>
    <row r="217" spans="2:17" ht="15" customHeight="1" x14ac:dyDescent="0.25">
      <c r="B217" s="434" t="str">
        <f>$B$131</f>
        <v>i = d</v>
      </c>
      <c r="C217" s="443">
        <v>500</v>
      </c>
      <c r="D217" s="529">
        <v>-0.15</v>
      </c>
      <c r="E217" s="536">
        <v>49</v>
      </c>
      <c r="F217" s="443">
        <v>600</v>
      </c>
      <c r="G217" s="529">
        <v>-0.17</v>
      </c>
      <c r="H217" s="536">
        <v>55</v>
      </c>
      <c r="I217" s="443">
        <v>700</v>
      </c>
      <c r="J217" s="529">
        <v>-0.12</v>
      </c>
      <c r="K217" s="536">
        <v>31</v>
      </c>
      <c r="L217" s="443">
        <v>500</v>
      </c>
      <c r="M217" s="529">
        <v>-0.13</v>
      </c>
      <c r="N217" s="536">
        <v>31</v>
      </c>
      <c r="O217" s="443">
        <v>35</v>
      </c>
      <c r="P217" s="529">
        <v>-0.12</v>
      </c>
      <c r="Q217" s="536">
        <v>31</v>
      </c>
    </row>
    <row r="218" spans="2:17" ht="15" customHeight="1" thickBot="1" x14ac:dyDescent="0.3">
      <c r="B218" s="435" t="str">
        <f>$B$132</f>
        <v>i = e</v>
      </c>
      <c r="C218" s="444">
        <v>10000</v>
      </c>
      <c r="D218" s="530">
        <v>-0.15</v>
      </c>
      <c r="E218" s="537">
        <v>49</v>
      </c>
      <c r="F218" s="444">
        <v>10000</v>
      </c>
      <c r="G218" s="530">
        <v>-0.17</v>
      </c>
      <c r="H218" s="537">
        <v>55</v>
      </c>
      <c r="I218" s="444">
        <v>10000</v>
      </c>
      <c r="J218" s="530">
        <v>-0.12</v>
      </c>
      <c r="K218" s="537">
        <v>31</v>
      </c>
      <c r="L218" s="444">
        <v>10000</v>
      </c>
      <c r="M218" s="530">
        <v>-0.13</v>
      </c>
      <c r="N218" s="537">
        <v>31</v>
      </c>
      <c r="O218" s="444">
        <v>10000</v>
      </c>
      <c r="P218" s="530">
        <v>-0.12</v>
      </c>
      <c r="Q218" s="537">
        <v>31</v>
      </c>
    </row>
    <row r="219" spans="2:17" ht="30" customHeight="1" x14ac:dyDescent="0.25">
      <c r="B219" s="429"/>
      <c r="C219" s="1724" t="str">
        <f>$C$161</f>
        <v>Inner rows, from 5th row from north -
Interior modules</v>
      </c>
      <c r="D219" s="1725"/>
      <c r="E219" s="1726"/>
      <c r="F219" s="1724" t="str">
        <f>$C$161</f>
        <v>Inner rows, from 5th row from north -
Interior modules</v>
      </c>
      <c r="G219" s="1725"/>
      <c r="H219" s="1726"/>
      <c r="I219" s="1724" t="str">
        <f>$C$161</f>
        <v>Inner rows, from 5th row from north -
Interior modules</v>
      </c>
      <c r="J219" s="1725"/>
      <c r="K219" s="1726"/>
      <c r="L219" s="1724" t="str">
        <f>$C$161</f>
        <v>Inner rows, from 5th row from north -
Interior modules</v>
      </c>
      <c r="M219" s="1725"/>
      <c r="N219" s="1726"/>
      <c r="O219" s="1724" t="str">
        <f>$C$161</f>
        <v>Inner rows, from 5th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-0.66</v>
      </c>
      <c r="E221" s="535">
        <v>380</v>
      </c>
      <c r="F221" s="442">
        <v>1</v>
      </c>
      <c r="G221" s="528">
        <v>-0.3</v>
      </c>
      <c r="H221" s="535">
        <v>131</v>
      </c>
      <c r="I221" s="442">
        <v>1</v>
      </c>
      <c r="J221" s="528">
        <v>-0.28999999999999998</v>
      </c>
      <c r="K221" s="535">
        <v>133</v>
      </c>
      <c r="L221" s="442">
        <v>1</v>
      </c>
      <c r="M221" s="528">
        <v>-0.22</v>
      </c>
      <c r="N221" s="535">
        <v>98</v>
      </c>
      <c r="O221" s="442">
        <v>1</v>
      </c>
      <c r="P221" s="528">
        <v>-0.18</v>
      </c>
      <c r="Q221" s="535">
        <v>67</v>
      </c>
    </row>
    <row r="222" spans="2:17" ht="15" customHeight="1" x14ac:dyDescent="0.25">
      <c r="B222" s="434" t="str">
        <f>$B$129</f>
        <v>i = b</v>
      </c>
      <c r="C222" s="443">
        <v>19</v>
      </c>
      <c r="D222" s="529">
        <v>-0.26</v>
      </c>
      <c r="E222" s="536">
        <v>113</v>
      </c>
      <c r="F222" s="443">
        <v>13</v>
      </c>
      <c r="G222" s="529">
        <v>-0.3</v>
      </c>
      <c r="H222" s="536">
        <v>131</v>
      </c>
      <c r="I222" s="443">
        <v>36</v>
      </c>
      <c r="J222" s="529">
        <v>-0.16</v>
      </c>
      <c r="K222" s="536">
        <v>49</v>
      </c>
      <c r="L222" s="443">
        <v>12</v>
      </c>
      <c r="M222" s="529">
        <v>-0.16</v>
      </c>
      <c r="N222" s="536">
        <v>55</v>
      </c>
      <c r="O222" s="443">
        <v>12</v>
      </c>
      <c r="P222" s="529">
        <v>-0.18</v>
      </c>
      <c r="Q222" s="536">
        <v>67</v>
      </c>
    </row>
    <row r="223" spans="2:17" ht="15" customHeight="1" x14ac:dyDescent="0.25">
      <c r="B223" s="434" t="str">
        <f>$B$130</f>
        <v>i = c</v>
      </c>
      <c r="C223" s="443">
        <v>69</v>
      </c>
      <c r="D223" s="529">
        <v>-0.17</v>
      </c>
      <c r="E223" s="536">
        <v>55</v>
      </c>
      <c r="F223" s="443">
        <v>99</v>
      </c>
      <c r="G223" s="529">
        <v>-0.23</v>
      </c>
      <c r="H223" s="536">
        <v>89</v>
      </c>
      <c r="I223" s="443">
        <v>144</v>
      </c>
      <c r="J223" s="529">
        <v>-0.13</v>
      </c>
      <c r="K223" s="536">
        <v>31</v>
      </c>
      <c r="L223" s="443">
        <v>56</v>
      </c>
      <c r="M223" s="529">
        <v>-0.14000000000000001</v>
      </c>
      <c r="N223" s="536">
        <v>37</v>
      </c>
      <c r="O223" s="443">
        <v>16</v>
      </c>
      <c r="P223" s="529">
        <v>-0.16</v>
      </c>
      <c r="Q223" s="536">
        <v>55</v>
      </c>
    </row>
    <row r="224" spans="2:17" ht="15" customHeight="1" x14ac:dyDescent="0.25">
      <c r="B224" s="434" t="str">
        <f>$B$131</f>
        <v>i = d</v>
      </c>
      <c r="C224" s="443">
        <v>245</v>
      </c>
      <c r="D224" s="529">
        <v>-0.15</v>
      </c>
      <c r="E224" s="536">
        <v>49</v>
      </c>
      <c r="F224" s="443">
        <v>800</v>
      </c>
      <c r="G224" s="529">
        <v>-0.17</v>
      </c>
      <c r="H224" s="536">
        <v>55</v>
      </c>
      <c r="I224" s="443">
        <v>700</v>
      </c>
      <c r="J224" s="529">
        <v>-0.12</v>
      </c>
      <c r="K224" s="536">
        <v>31</v>
      </c>
      <c r="L224" s="443">
        <v>500</v>
      </c>
      <c r="M224" s="529">
        <v>-0.13</v>
      </c>
      <c r="N224" s="536">
        <v>31</v>
      </c>
      <c r="O224" s="443">
        <v>35</v>
      </c>
      <c r="P224" s="529">
        <v>-0.12</v>
      </c>
      <c r="Q224" s="536">
        <v>31</v>
      </c>
    </row>
    <row r="225" spans="2:17" ht="15" customHeight="1" thickBot="1" x14ac:dyDescent="0.3">
      <c r="B225" s="435" t="str">
        <f>$B$132</f>
        <v>i = e</v>
      </c>
      <c r="C225" s="444">
        <v>10000</v>
      </c>
      <c r="D225" s="530">
        <v>-0.15</v>
      </c>
      <c r="E225" s="537">
        <v>49</v>
      </c>
      <c r="F225" s="444">
        <v>10000</v>
      </c>
      <c r="G225" s="530">
        <v>-0.17</v>
      </c>
      <c r="H225" s="537">
        <v>55</v>
      </c>
      <c r="I225" s="444">
        <v>10000</v>
      </c>
      <c r="J225" s="530">
        <v>-0.12</v>
      </c>
      <c r="K225" s="537">
        <v>31</v>
      </c>
      <c r="L225" s="444">
        <v>10000</v>
      </c>
      <c r="M225" s="530">
        <v>-0.13</v>
      </c>
      <c r="N225" s="537">
        <v>31</v>
      </c>
      <c r="O225" s="444">
        <v>10000</v>
      </c>
      <c r="P225" s="530">
        <v>-0.12</v>
      </c>
      <c r="Q225" s="537">
        <v>31</v>
      </c>
    </row>
    <row r="226" spans="2:17" ht="15" customHeight="1" x14ac:dyDescent="0.25">
      <c r="B226" s="429"/>
      <c r="C226" s="1721" t="str">
        <f>$C$168</f>
        <v>South row - 1st-10th module</v>
      </c>
      <c r="D226" s="1722"/>
      <c r="E226" s="1723"/>
      <c r="F226" s="1721" t="str">
        <f>$C$168</f>
        <v>South row - 1st-10th module</v>
      </c>
      <c r="G226" s="1722"/>
      <c r="H226" s="1723"/>
      <c r="I226" s="1721" t="str">
        <f>$C$168</f>
        <v>South row - 1st-10th module</v>
      </c>
      <c r="J226" s="1722"/>
      <c r="K226" s="1723"/>
      <c r="L226" s="1721" t="str">
        <f>$C$168</f>
        <v>South row - 1st-10th module</v>
      </c>
      <c r="M226" s="1722"/>
      <c r="N226" s="1723"/>
      <c r="O226" s="1721" t="str">
        <f>$C$168</f>
        <v>South row - 1st-10th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-1.02</v>
      </c>
      <c r="E228" s="535">
        <v>575</v>
      </c>
      <c r="F228" s="442">
        <v>1</v>
      </c>
      <c r="G228" s="528">
        <v>-0.45</v>
      </c>
      <c r="H228" s="535">
        <v>236</v>
      </c>
      <c r="I228" s="442">
        <v>1</v>
      </c>
      <c r="J228" s="528">
        <v>-0.48</v>
      </c>
      <c r="K228" s="535">
        <v>254</v>
      </c>
      <c r="L228" s="442">
        <v>1</v>
      </c>
      <c r="M228" s="528">
        <v>-0.4</v>
      </c>
      <c r="N228" s="535">
        <v>194</v>
      </c>
      <c r="O228" s="442">
        <v>1</v>
      </c>
      <c r="P228" s="528">
        <v>-0.6</v>
      </c>
      <c r="Q228" s="535">
        <v>276</v>
      </c>
    </row>
    <row r="229" spans="2:17" ht="15" customHeight="1" x14ac:dyDescent="0.25">
      <c r="B229" s="434" t="str">
        <f>$B$129</f>
        <v>i = b</v>
      </c>
      <c r="C229" s="443">
        <v>19</v>
      </c>
      <c r="D229" s="529">
        <v>-0.41</v>
      </c>
      <c r="E229" s="536">
        <v>202</v>
      </c>
      <c r="F229" s="443">
        <v>12</v>
      </c>
      <c r="G229" s="529">
        <v>-0.27</v>
      </c>
      <c r="H229" s="536">
        <v>119</v>
      </c>
      <c r="I229" s="443">
        <v>18</v>
      </c>
      <c r="J229" s="529">
        <v>-0.27</v>
      </c>
      <c r="K229" s="536">
        <v>116</v>
      </c>
      <c r="L229" s="443">
        <v>24</v>
      </c>
      <c r="M229" s="529">
        <v>-0.19</v>
      </c>
      <c r="N229" s="536">
        <v>66</v>
      </c>
      <c r="O229" s="443">
        <v>13</v>
      </c>
      <c r="P229" s="529">
        <v>-0.2</v>
      </c>
      <c r="Q229" s="536">
        <v>75</v>
      </c>
    </row>
    <row r="230" spans="2:17" ht="15" customHeight="1" x14ac:dyDescent="0.25">
      <c r="B230" s="434" t="str">
        <f>$B$130</f>
        <v>i = c</v>
      </c>
      <c r="C230" s="443">
        <v>86</v>
      </c>
      <c r="D230" s="529">
        <v>-0.24</v>
      </c>
      <c r="E230" s="536">
        <v>90</v>
      </c>
      <c r="F230" s="443">
        <v>25</v>
      </c>
      <c r="G230" s="529">
        <v>-0.25</v>
      </c>
      <c r="H230" s="536">
        <v>108</v>
      </c>
      <c r="I230" s="443">
        <v>36</v>
      </c>
      <c r="J230" s="529">
        <v>-0.22</v>
      </c>
      <c r="K230" s="536">
        <v>84</v>
      </c>
      <c r="L230" s="443">
        <v>56</v>
      </c>
      <c r="M230" s="529">
        <v>-0.16</v>
      </c>
      <c r="N230" s="536">
        <v>49</v>
      </c>
      <c r="O230" s="443">
        <v>13</v>
      </c>
      <c r="P230" s="529">
        <v>-0.2</v>
      </c>
      <c r="Q230" s="536">
        <v>75</v>
      </c>
    </row>
    <row r="231" spans="2:17" ht="15" customHeight="1" x14ac:dyDescent="0.25">
      <c r="B231" s="434" t="str">
        <f>$B$131</f>
        <v>i = d</v>
      </c>
      <c r="C231" s="443">
        <v>800</v>
      </c>
      <c r="D231" s="529">
        <v>-0.15</v>
      </c>
      <c r="E231" s="536">
        <v>49</v>
      </c>
      <c r="F231" s="443">
        <v>800</v>
      </c>
      <c r="G231" s="529">
        <v>-0.17</v>
      </c>
      <c r="H231" s="536">
        <v>55</v>
      </c>
      <c r="I231" s="443">
        <v>700</v>
      </c>
      <c r="J231" s="529">
        <v>-0.12</v>
      </c>
      <c r="K231" s="536">
        <v>31</v>
      </c>
      <c r="L231" s="443">
        <v>500</v>
      </c>
      <c r="M231" s="529">
        <v>-0.13</v>
      </c>
      <c r="N231" s="536">
        <v>31</v>
      </c>
      <c r="O231" s="443">
        <v>40</v>
      </c>
      <c r="P231" s="529">
        <v>-0.12</v>
      </c>
      <c r="Q231" s="536">
        <v>31</v>
      </c>
    </row>
    <row r="232" spans="2:17" ht="15" customHeight="1" thickBot="1" x14ac:dyDescent="0.3">
      <c r="B232" s="435" t="str">
        <f>$B$132</f>
        <v>i = e</v>
      </c>
      <c r="C232" s="444">
        <v>10000</v>
      </c>
      <c r="D232" s="530">
        <v>-0.15</v>
      </c>
      <c r="E232" s="537">
        <v>49</v>
      </c>
      <c r="F232" s="444">
        <v>10000</v>
      </c>
      <c r="G232" s="530">
        <v>-0.17</v>
      </c>
      <c r="H232" s="537">
        <v>55</v>
      </c>
      <c r="I232" s="444">
        <v>10000</v>
      </c>
      <c r="J232" s="530">
        <v>-0.12</v>
      </c>
      <c r="K232" s="537">
        <v>31</v>
      </c>
      <c r="L232" s="444">
        <v>10000</v>
      </c>
      <c r="M232" s="530">
        <v>-0.13</v>
      </c>
      <c r="N232" s="537">
        <v>31</v>
      </c>
      <c r="O232" s="444">
        <v>10000</v>
      </c>
      <c r="P232" s="530">
        <v>-0.12</v>
      </c>
      <c r="Q232" s="537">
        <v>31</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-0.86</v>
      </c>
      <c r="E235" s="535">
        <v>475</v>
      </c>
      <c r="F235" s="442">
        <v>1</v>
      </c>
      <c r="G235" s="528">
        <v>-0.43</v>
      </c>
      <c r="H235" s="535">
        <v>230</v>
      </c>
      <c r="I235" s="442">
        <v>1</v>
      </c>
      <c r="J235" s="528">
        <v>-0.66</v>
      </c>
      <c r="K235" s="535">
        <v>380</v>
      </c>
      <c r="L235" s="442">
        <v>1</v>
      </c>
      <c r="M235" s="528">
        <v>-0.34</v>
      </c>
      <c r="N235" s="535">
        <v>154</v>
      </c>
      <c r="O235" s="442">
        <v>1</v>
      </c>
      <c r="P235" s="528">
        <v>-0.5</v>
      </c>
      <c r="Q235" s="535">
        <v>262</v>
      </c>
    </row>
    <row r="236" spans="2:17" ht="15" customHeight="1" x14ac:dyDescent="0.25">
      <c r="B236" s="434" t="str">
        <f>$B$129</f>
        <v>i = b</v>
      </c>
      <c r="C236" s="443">
        <v>39</v>
      </c>
      <c r="D236" s="529">
        <v>-0.22</v>
      </c>
      <c r="E236" s="536">
        <v>84</v>
      </c>
      <c r="F236" s="443">
        <v>16</v>
      </c>
      <c r="G236" s="529">
        <v>-0.26</v>
      </c>
      <c r="H236" s="536">
        <v>114</v>
      </c>
      <c r="I236" s="443">
        <v>9</v>
      </c>
      <c r="J236" s="529">
        <v>-0.2</v>
      </c>
      <c r="K236" s="536">
        <v>72</v>
      </c>
      <c r="L236" s="443">
        <v>12</v>
      </c>
      <c r="M236" s="529">
        <v>-0.16</v>
      </c>
      <c r="N236" s="536">
        <v>49</v>
      </c>
      <c r="O236" s="443">
        <v>12</v>
      </c>
      <c r="P236" s="529">
        <v>-0.19</v>
      </c>
      <c r="Q236" s="536">
        <v>67</v>
      </c>
    </row>
    <row r="237" spans="2:17" ht="15" customHeight="1" x14ac:dyDescent="0.25">
      <c r="B237" s="434" t="str">
        <f>$B$130</f>
        <v>i = c</v>
      </c>
      <c r="C237" s="443">
        <v>39</v>
      </c>
      <c r="D237" s="529">
        <v>-0.22</v>
      </c>
      <c r="E237" s="536">
        <v>84</v>
      </c>
      <c r="F237" s="443">
        <v>99</v>
      </c>
      <c r="G237" s="529">
        <v>-0.2</v>
      </c>
      <c r="H237" s="536">
        <v>74</v>
      </c>
      <c r="I237" s="443">
        <v>144</v>
      </c>
      <c r="J237" s="529">
        <v>-0.13</v>
      </c>
      <c r="K237" s="536">
        <v>31</v>
      </c>
      <c r="L237" s="443">
        <v>56</v>
      </c>
      <c r="M237" s="529">
        <v>-0.13</v>
      </c>
      <c r="N237" s="536">
        <v>31</v>
      </c>
      <c r="O237" s="443">
        <v>12</v>
      </c>
      <c r="P237" s="529">
        <v>-0.19</v>
      </c>
      <c r="Q237" s="536">
        <v>67</v>
      </c>
    </row>
    <row r="238" spans="2:17" ht="15" customHeight="1" x14ac:dyDescent="0.25">
      <c r="B238" s="434" t="str">
        <f>$B$131</f>
        <v>i = d</v>
      </c>
      <c r="C238" s="443">
        <v>120</v>
      </c>
      <c r="D238" s="529">
        <v>-0.15</v>
      </c>
      <c r="E238" s="536">
        <v>49</v>
      </c>
      <c r="F238" s="443">
        <v>1000</v>
      </c>
      <c r="G238" s="529">
        <v>-0.17</v>
      </c>
      <c r="H238" s="536">
        <v>55</v>
      </c>
      <c r="I238" s="443">
        <v>700</v>
      </c>
      <c r="J238" s="529">
        <v>-0.12</v>
      </c>
      <c r="K238" s="536">
        <v>31</v>
      </c>
      <c r="L238" s="443">
        <v>500</v>
      </c>
      <c r="M238" s="529">
        <v>-0.12</v>
      </c>
      <c r="N238" s="536">
        <v>31</v>
      </c>
      <c r="O238" s="443">
        <v>25</v>
      </c>
      <c r="P238" s="529">
        <v>-0.12</v>
      </c>
      <c r="Q238" s="536">
        <v>31</v>
      </c>
    </row>
    <row r="239" spans="2:17" ht="15" customHeight="1" thickBot="1" x14ac:dyDescent="0.3">
      <c r="B239" s="435" t="str">
        <f>$B$132</f>
        <v>i = e</v>
      </c>
      <c r="C239" s="444">
        <v>10000</v>
      </c>
      <c r="D239" s="530">
        <v>-0.15</v>
      </c>
      <c r="E239" s="537">
        <v>49</v>
      </c>
      <c r="F239" s="444">
        <v>10000</v>
      </c>
      <c r="G239" s="530">
        <v>-0.17</v>
      </c>
      <c r="H239" s="537">
        <v>55</v>
      </c>
      <c r="I239" s="444">
        <v>10000</v>
      </c>
      <c r="J239" s="530">
        <v>-0.12</v>
      </c>
      <c r="K239" s="537">
        <v>31</v>
      </c>
      <c r="L239" s="444">
        <v>10000</v>
      </c>
      <c r="M239" s="530">
        <v>-0.12</v>
      </c>
      <c r="N239" s="537">
        <v>31</v>
      </c>
      <c r="O239" s="444">
        <v>10000</v>
      </c>
      <c r="P239" s="530">
        <v>-0.12</v>
      </c>
      <c r="Q239" s="537">
        <v>31</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608" t="s">
        <v>46</v>
      </c>
      <c r="D246" s="457">
        <f>IF(AND($G$19&gt;=0,$G$19&lt;=0.1),D247+(D248-D247)/(0.1-0)*($G$19-0),IF(AND($G$19&gt;0.1,$G$19&lt;=0.2),D248+(D249-D248)/(0.2-0.1)*($G$19-0.1),IF($G$19&gt;0.2,D249,"Fehler")))</f>
        <v>0.99827879059630242</v>
      </c>
      <c r="E246" s="458">
        <f>IF(AND($G$19&gt;=0,$G$19&lt;=0.1),E247+(E248-E247)/(0.1-0)*($G$19-0),IF(AND($G$19&gt;0.1,$G$19&lt;=0.2),E248+(E249-E248)/(0.2-0.1)*($G$19-0.1),IF($G$19&gt;0.2,E249,"Fehler")))</f>
        <v>0.99826388888888884</v>
      </c>
      <c r="F246" s="458">
        <f t="shared" ref="F246:H246" si="62">IF(AND($G$19&gt;=0,$G$19&lt;=0.1),F247+(F248-F247)/(0.1-0)*($G$19-0),IF(AND($G$19&gt;0.1,$G$19&lt;=0.2),F248+(F249-F248)/(0.2-0.1)*($G$19-0.1),IF($G$19&gt;0.2,F249,"Fehler")))</f>
        <v>1.09375</v>
      </c>
      <c r="G246" s="458">
        <f t="shared" si="62"/>
        <v>1.0138888888888888</v>
      </c>
      <c r="H246" s="458">
        <f t="shared" si="62"/>
        <v>0.98090277777777779</v>
      </c>
      <c r="I246" s="457">
        <f>IF(AND($G$19&gt;=0,$G$19&lt;=0.1),I247+(I248-I247)/(0.1-0)*($G$19-0),IF(AND($G$19&gt;0.1,$G$19&lt;=0.2),I248+(I249-I248)/(0.2-0.1)*($G$19-0.1),IF($G$19&gt;0.2,I249,"Fehler")))</f>
        <v>1.0086805555555556</v>
      </c>
      <c r="J246" s="458">
        <f>IF(AND($G$19&gt;=0,$G$19&lt;=0.1),J247+(J248-J247)/(0.1-0)*($G$19-0),IF(AND($G$19&gt;0.1,$G$19&lt;=0.2),J248+(J249-J248)/(0.2-0.1)*($G$19-0.1),IF($G$19&gt;0.2,J249,"Fehler")))</f>
        <v>1</v>
      </c>
      <c r="K246" s="458">
        <f>IF(AND($G$19&gt;=0,$G$19&lt;=0.1),K247+(K248-K247)/(0.1-0)*($G$19-0),IF(AND($G$19&gt;0.1,$G$19&lt;=0.2),K248+(K249-K248)/(0.2-0.1)*($G$19-0.1),IF($G$19&gt;0.2,K249,"Fehler")))</f>
        <v>1.1111111111111112</v>
      </c>
      <c r="L246" s="458">
        <f>IF(AND($G$19&gt;=0,$G$19&lt;=0.1),L247+(L248-L247)/(0.1-0)*($G$19-0),IF(AND($G$19&gt;0.1,$G$19&lt;=0.2),L248+(L249-L248)/(0.2-0.1)*($G$19-0.1),IF($G$19&gt;0.2,L249,"Fehler")))</f>
        <v>1.0243055555555556</v>
      </c>
      <c r="M246" s="459">
        <f>IF(AND($G$19&gt;=0,$G$19&lt;=0.1),M247+(M248-M247)/(0.1-0)*($G$19-0),IF(AND($G$19&gt;0.1,$G$19&lt;=0.2),M248+(M249-M248)/(0.2-0.1)*($G$19-0.1),IF($G$19&gt;0.2,M249,"Fehler")))</f>
        <v>0.98263888888888884</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0.99008583383470183</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0.76142596827673259</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58">
    <mergeCell ref="B5:L5"/>
    <mergeCell ref="C9:D9"/>
    <mergeCell ref="C10:D10"/>
    <mergeCell ref="C11:D11"/>
    <mergeCell ref="C12:D12"/>
    <mergeCell ref="B26:B27"/>
    <mergeCell ref="B41:B42"/>
    <mergeCell ref="B50:B51"/>
    <mergeCell ref="B52:B53"/>
    <mergeCell ref="B54:B55"/>
    <mergeCell ref="B56:B57"/>
    <mergeCell ref="B59:B60"/>
    <mergeCell ref="B28:B29"/>
    <mergeCell ref="B30:B31"/>
    <mergeCell ref="B32:B33"/>
    <mergeCell ref="B35:B36"/>
    <mergeCell ref="B37:B38"/>
    <mergeCell ref="B39:B40"/>
    <mergeCell ref="B79:B80"/>
    <mergeCell ref="B87:B88"/>
    <mergeCell ref="B89:B90"/>
    <mergeCell ref="B91:B92"/>
    <mergeCell ref="B93:B94"/>
    <mergeCell ref="B101:B102"/>
    <mergeCell ref="B61:B62"/>
    <mergeCell ref="B63:B64"/>
    <mergeCell ref="B65:B66"/>
    <mergeCell ref="B73:B74"/>
    <mergeCell ref="B75:B76"/>
    <mergeCell ref="B77:B78"/>
    <mergeCell ref="B121:B122"/>
    <mergeCell ref="C125:E125"/>
    <mergeCell ref="F125:H125"/>
    <mergeCell ref="I125:K125"/>
    <mergeCell ref="L125:N125"/>
    <mergeCell ref="O125:Q125"/>
    <mergeCell ref="B103:B104"/>
    <mergeCell ref="B105:B106"/>
    <mergeCell ref="B107:B108"/>
    <mergeCell ref="B115:B116"/>
    <mergeCell ref="B117:B118"/>
    <mergeCell ref="B119:B120"/>
    <mergeCell ref="C126:E126"/>
    <mergeCell ref="F126:H126"/>
    <mergeCell ref="I126:K126"/>
    <mergeCell ref="L126:N126"/>
    <mergeCell ref="O126:Q126"/>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C212:E212"/>
    <mergeCell ref="F212:H212"/>
    <mergeCell ref="I212:K212"/>
    <mergeCell ref="L212:N212"/>
    <mergeCell ref="O212:Q212"/>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51:D251"/>
    <mergeCell ref="E251:F251"/>
    <mergeCell ref="G251:H251"/>
    <mergeCell ref="I251:J251"/>
    <mergeCell ref="K251:L251"/>
    <mergeCell ref="C253:D253"/>
    <mergeCell ref="E253:F253"/>
    <mergeCell ref="G253:H253"/>
    <mergeCell ref="I253:J253"/>
    <mergeCell ref="K253:L253"/>
    <mergeCell ref="C259:D259"/>
    <mergeCell ref="E259:F259"/>
    <mergeCell ref="G259:H259"/>
    <mergeCell ref="I259:J259"/>
    <mergeCell ref="K259:L259"/>
    <mergeCell ref="C265:D265"/>
    <mergeCell ref="E265:F265"/>
    <mergeCell ref="G265:H265"/>
    <mergeCell ref="I265:J265"/>
    <mergeCell ref="K265:L265"/>
    <mergeCell ref="C267:D267"/>
    <mergeCell ref="E267:F267"/>
    <mergeCell ref="G267:H267"/>
    <mergeCell ref="I267:J267"/>
    <mergeCell ref="K267:L267"/>
    <mergeCell ref="C273:D273"/>
    <mergeCell ref="E273:F273"/>
    <mergeCell ref="G273:H273"/>
    <mergeCell ref="I273:J273"/>
    <mergeCell ref="K273:L27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tabSelected="1" zoomScaleNormal="100" workbookViewId="0">
      <selection activeCell="B55" sqref="B55"/>
    </sheetView>
  </sheetViews>
  <sheetFormatPr defaultRowHeight="18" x14ac:dyDescent="0.25"/>
  <cols>
    <col min="1" max="1" width="33.625" style="704" customWidth="1"/>
    <col min="2" max="3" width="35.75" style="705" customWidth="1"/>
    <col min="4" max="4" width="7.75" style="665" customWidth="1"/>
    <col min="5" max="5" width="83.125" style="664" customWidth="1"/>
    <col min="6" max="6" width="1.75" style="664" customWidth="1"/>
    <col min="7" max="7" width="9.125" style="665" bestFit="1" customWidth="1"/>
    <col min="8" max="8" width="6.25" style="665" bestFit="1" customWidth="1"/>
    <col min="9" max="9" width="9.25" style="666" customWidth="1"/>
    <col min="10" max="10" width="13.75" style="666" bestFit="1" customWidth="1"/>
    <col min="11" max="11" width="9.875" style="666" bestFit="1" customWidth="1"/>
    <col min="12" max="12" width="5" style="713" bestFit="1" customWidth="1"/>
    <col min="13" max="13" width="10.125" style="713" bestFit="1" customWidth="1"/>
    <col min="14" max="6844" width="8.875" style="713"/>
  </cols>
  <sheetData>
    <row r="1" spans="1:7" ht="10.9" customHeight="1" x14ac:dyDescent="0.25">
      <c r="A1" s="660"/>
      <c r="B1" s="661" t="s">
        <v>87</v>
      </c>
      <c r="C1" s="661"/>
      <c r="D1" s="662"/>
      <c r="E1" s="663"/>
    </row>
    <row r="2" spans="1:7" ht="30" customHeight="1" x14ac:dyDescent="0.25">
      <c r="A2" s="667" t="s">
        <v>88</v>
      </c>
      <c r="B2" s="668"/>
      <c r="C2" s="668" t="s">
        <v>525</v>
      </c>
      <c r="D2" s="669"/>
      <c r="E2" s="670"/>
      <c r="G2" s="671"/>
    </row>
    <row r="3" spans="1:7" ht="30" customHeight="1" x14ac:dyDescent="0.25">
      <c r="A3" s="672" t="s">
        <v>89</v>
      </c>
      <c r="B3" s="673"/>
      <c r="C3" s="673" t="s">
        <v>524</v>
      </c>
      <c r="D3" s="674"/>
      <c r="E3" s="675"/>
    </row>
    <row r="4" spans="1:7" ht="22.15" customHeight="1" x14ac:dyDescent="0.25">
      <c r="A4" s="678" t="s">
        <v>90</v>
      </c>
      <c r="B4" s="676" t="s">
        <v>532</v>
      </c>
      <c r="C4" s="676"/>
      <c r="D4" s="679"/>
      <c r="E4" s="679"/>
    </row>
    <row r="5" spans="1:7" ht="22.15" customHeight="1" x14ac:dyDescent="0.25">
      <c r="A5" s="707" t="s">
        <v>91</v>
      </c>
      <c r="B5" s="677" t="s">
        <v>533</v>
      </c>
      <c r="C5" s="677"/>
      <c r="D5" s="701"/>
      <c r="E5" s="701"/>
    </row>
    <row r="6" spans="1:7" ht="22.15" customHeight="1" x14ac:dyDescent="0.25">
      <c r="A6" s="678" t="s">
        <v>92</v>
      </c>
      <c r="B6" s="676" t="s">
        <v>534</v>
      </c>
      <c r="C6" s="676"/>
      <c r="D6" s="1086" t="s">
        <v>93</v>
      </c>
      <c r="E6" s="1086"/>
    </row>
    <row r="7" spans="1:7" ht="22.15" customHeight="1" x14ac:dyDescent="0.25">
      <c r="A7" s="707" t="s">
        <v>158</v>
      </c>
      <c r="B7" s="677" t="s">
        <v>535</v>
      </c>
      <c r="C7" s="677"/>
      <c r="D7" s="1087"/>
      <c r="E7" s="1087"/>
    </row>
    <row r="8" spans="1:7" ht="22.15" customHeight="1" x14ac:dyDescent="0.25">
      <c r="A8" s="708" t="s">
        <v>94</v>
      </c>
      <c r="B8" s="714" t="s">
        <v>536</v>
      </c>
      <c r="C8" s="714"/>
      <c r="D8" s="1084" t="s">
        <v>95</v>
      </c>
      <c r="E8" s="1084"/>
      <c r="F8" s="680"/>
    </row>
    <row r="9" spans="1:7" ht="22.15" customHeight="1" x14ac:dyDescent="0.25">
      <c r="A9" s="709" t="s">
        <v>96</v>
      </c>
      <c r="B9" s="681">
        <v>27332</v>
      </c>
      <c r="C9" s="681"/>
      <c r="D9" s="1085" t="e">
        <f>B8&amp;", "&amp;(VLOOKUP('1-Eng Inputs'!B9,#REF!,2))&amp;", "&amp;(VLOOKUP('1-Eng Inputs'!B9,#REF!,3))&amp;" "&amp;'1-Eng Inputs'!B9</f>
        <v>#REF!</v>
      </c>
      <c r="E9" s="1085"/>
      <c r="F9" s="682"/>
    </row>
    <row r="10" spans="1:7" ht="22.15" customHeight="1" x14ac:dyDescent="0.25">
      <c r="A10" s="708" t="s">
        <v>97</v>
      </c>
      <c r="B10" s="676" t="s">
        <v>147</v>
      </c>
      <c r="C10" s="676"/>
      <c r="D10" s="1086"/>
      <c r="E10" s="1086"/>
      <c r="G10" s="671"/>
    </row>
    <row r="11" spans="1:7" ht="30" customHeight="1" x14ac:dyDescent="0.25">
      <c r="A11" s="667" t="s">
        <v>100</v>
      </c>
      <c r="B11" s="683"/>
      <c r="C11" s="683"/>
      <c r="D11" s="684"/>
      <c r="E11" s="670"/>
    </row>
    <row r="12" spans="1:7" ht="22.15" customHeight="1" x14ac:dyDescent="0.25">
      <c r="A12" s="710" t="s">
        <v>101</v>
      </c>
      <c r="B12" s="685" t="s">
        <v>537</v>
      </c>
      <c r="C12" s="685"/>
      <c r="D12" s="662"/>
      <c r="E12" s="662"/>
    </row>
    <row r="13" spans="1:7" ht="22.15" customHeight="1" x14ac:dyDescent="0.25">
      <c r="A13" s="711" t="s">
        <v>102</v>
      </c>
      <c r="B13" s="686" t="s">
        <v>538</v>
      </c>
      <c r="C13" s="686"/>
      <c r="D13" s="702"/>
      <c r="E13" s="702"/>
    </row>
    <row r="14" spans="1:7" ht="22.15" customHeight="1" x14ac:dyDescent="0.25">
      <c r="A14" s="710" t="s">
        <v>103</v>
      </c>
      <c r="B14" s="685">
        <v>345</v>
      </c>
      <c r="C14" s="685"/>
      <c r="D14" s="687" t="s">
        <v>104</v>
      </c>
      <c r="E14" s="662"/>
    </row>
    <row r="15" spans="1:7" ht="22.15" customHeight="1" x14ac:dyDescent="0.25">
      <c r="A15" s="711" t="s">
        <v>105</v>
      </c>
      <c r="B15" s="688">
        <v>78.45</v>
      </c>
      <c r="C15" s="688"/>
      <c r="D15" s="689"/>
      <c r="E15" s="703" t="s">
        <v>143</v>
      </c>
    </row>
    <row r="16" spans="1:7" ht="22.15" customHeight="1" x14ac:dyDescent="0.25">
      <c r="A16" s="710" t="s">
        <v>106</v>
      </c>
      <c r="B16" s="690">
        <v>39.4</v>
      </c>
      <c r="C16" s="690"/>
      <c r="D16" s="689"/>
      <c r="E16" s="712" t="s">
        <v>144</v>
      </c>
    </row>
    <row r="17" spans="1:11" ht="22.15" customHeight="1" x14ac:dyDescent="0.25">
      <c r="A17" s="711" t="s">
        <v>107</v>
      </c>
      <c r="B17" s="688">
        <v>47.6</v>
      </c>
      <c r="C17" s="688"/>
      <c r="D17" s="689"/>
      <c r="E17" s="703" t="s">
        <v>145</v>
      </c>
    </row>
    <row r="18" spans="1:11" ht="22.15" customHeight="1" x14ac:dyDescent="0.25">
      <c r="A18" s="710" t="s">
        <v>108</v>
      </c>
      <c r="B18" s="685">
        <v>595</v>
      </c>
      <c r="C18" s="685"/>
      <c r="D18" s="1083"/>
      <c r="E18" s="1083"/>
    </row>
    <row r="19" spans="1:11" ht="30" customHeight="1" x14ac:dyDescent="0.25">
      <c r="A19" s="672" t="s">
        <v>109</v>
      </c>
      <c r="B19" s="691"/>
      <c r="C19" s="691"/>
      <c r="D19" s="692"/>
      <c r="E19" s="675"/>
    </row>
    <row r="20" spans="1:11" ht="22.15" customHeight="1" x14ac:dyDescent="0.25">
      <c r="A20" s="678" t="s">
        <v>160</v>
      </c>
      <c r="B20" s="676">
        <v>300</v>
      </c>
      <c r="C20" s="676"/>
      <c r="D20" s="1100" t="s">
        <v>163</v>
      </c>
      <c r="E20" s="1100"/>
    </row>
    <row r="21" spans="1:11" ht="22.15" customHeight="1" x14ac:dyDescent="0.25">
      <c r="A21" s="709" t="s">
        <v>159</v>
      </c>
      <c r="B21" s="677">
        <v>300</v>
      </c>
      <c r="C21" s="677"/>
      <c r="D21" s="1106" t="s">
        <v>164</v>
      </c>
      <c r="E21" s="1106"/>
    </row>
    <row r="22" spans="1:11" ht="22.15" customHeight="1" x14ac:dyDescent="0.25">
      <c r="A22" s="678" t="s">
        <v>110</v>
      </c>
      <c r="B22" s="676">
        <v>24</v>
      </c>
      <c r="C22" s="676"/>
      <c r="D22" s="1100"/>
      <c r="E22" s="1100"/>
    </row>
    <row r="23" spans="1:11" ht="22.15" customHeight="1" x14ac:dyDescent="0.25">
      <c r="A23" s="709" t="s">
        <v>111</v>
      </c>
      <c r="B23" s="677">
        <v>110</v>
      </c>
      <c r="C23" s="677"/>
      <c r="D23" s="1106" t="s">
        <v>112</v>
      </c>
      <c r="E23" s="1106"/>
    </row>
    <row r="24" spans="1:11" ht="33" customHeight="1" x14ac:dyDescent="0.25">
      <c r="A24" s="678" t="s">
        <v>113</v>
      </c>
      <c r="B24" s="676" t="s">
        <v>23</v>
      </c>
      <c r="C24" s="676"/>
      <c r="D24" s="1086" t="s">
        <v>114</v>
      </c>
      <c r="E24" s="1086"/>
    </row>
    <row r="25" spans="1:11" ht="33" customHeight="1" x14ac:dyDescent="0.25">
      <c r="A25" s="709" t="s">
        <v>115</v>
      </c>
      <c r="B25" s="677" t="s">
        <v>116</v>
      </c>
      <c r="C25" s="677"/>
      <c r="D25" s="1106" t="s">
        <v>117</v>
      </c>
      <c r="E25" s="1106"/>
    </row>
    <row r="26" spans="1:11" ht="22.15" customHeight="1" x14ac:dyDescent="0.25">
      <c r="A26" s="678" t="s">
        <v>118</v>
      </c>
      <c r="B26" s="676">
        <v>15</v>
      </c>
      <c r="C26" s="676"/>
      <c r="D26" s="1086" t="s">
        <v>119</v>
      </c>
      <c r="E26" s="1086"/>
      <c r="G26" s="1095"/>
      <c r="H26" s="1095"/>
      <c r="I26" s="1095"/>
      <c r="J26" s="1095"/>
      <c r="K26" s="1095"/>
    </row>
    <row r="27" spans="1:11" ht="22.15" customHeight="1" x14ac:dyDescent="0.25">
      <c r="A27" s="709" t="s">
        <v>162</v>
      </c>
      <c r="B27" s="677">
        <v>0.18990000000000001</v>
      </c>
      <c r="C27" s="677"/>
      <c r="D27" s="1106"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106"/>
      <c r="G27" s="698"/>
      <c r="H27" s="698"/>
      <c r="I27" s="698"/>
      <c r="J27" s="698"/>
      <c r="K27" s="698"/>
    </row>
    <row r="28" spans="1:11" ht="30" customHeight="1" x14ac:dyDescent="0.25">
      <c r="A28" s="678" t="s">
        <v>120</v>
      </c>
      <c r="B28" s="676" t="s">
        <v>121</v>
      </c>
      <c r="C28" s="676"/>
      <c r="D28" s="1107" t="s">
        <v>122</v>
      </c>
      <c r="E28" s="1107"/>
      <c r="G28" s="698"/>
      <c r="H28" s="698"/>
      <c r="I28" s="698"/>
      <c r="J28" s="698"/>
      <c r="K28" s="698"/>
    </row>
    <row r="29" spans="1:11" ht="22.15" customHeight="1" thickBot="1" x14ac:dyDescent="0.3">
      <c r="A29" s="709" t="s">
        <v>166</v>
      </c>
      <c r="B29" s="677">
        <v>320</v>
      </c>
      <c r="C29" s="677"/>
      <c r="D29" s="1101" t="s">
        <v>167</v>
      </c>
      <c r="E29" s="1101"/>
    </row>
    <row r="30" spans="1:11" ht="30" customHeight="1" thickBot="1" x14ac:dyDescent="0.3">
      <c r="A30" s="667" t="s">
        <v>123</v>
      </c>
      <c r="B30" s="693"/>
      <c r="C30" s="693"/>
      <c r="D30" s="694"/>
      <c r="E30" s="670"/>
      <c r="G30" s="1103" t="s">
        <v>130</v>
      </c>
      <c r="H30" s="1104"/>
      <c r="I30" s="1104"/>
      <c r="J30" s="1104"/>
      <c r="K30" s="1105"/>
    </row>
    <row r="31" spans="1:11" ht="22.15" customHeight="1" thickBot="1" x14ac:dyDescent="0.3">
      <c r="A31" s="710" t="s">
        <v>124</v>
      </c>
      <c r="B31" s="685">
        <v>2010</v>
      </c>
      <c r="C31" s="685"/>
      <c r="D31" s="1108" t="s">
        <v>125</v>
      </c>
      <c r="E31" s="1108"/>
      <c r="G31" s="696" t="s">
        <v>134</v>
      </c>
      <c r="H31" s="697">
        <v>0.25</v>
      </c>
      <c r="I31" s="1091"/>
      <c r="J31" s="1092"/>
      <c r="K31" s="1093"/>
    </row>
    <row r="32" spans="1:11" ht="22.15" customHeight="1" thickBot="1" x14ac:dyDescent="0.3">
      <c r="A32" s="711" t="s">
        <v>155</v>
      </c>
      <c r="B32" s="686" t="s">
        <v>136</v>
      </c>
      <c r="C32" s="686">
        <f>IF(B32="NO",0,IF(B32="YES",1,"ERROR"))</f>
        <v>1</v>
      </c>
      <c r="D32" s="1089" t="s">
        <v>156</v>
      </c>
      <c r="E32" s="1089"/>
      <c r="G32" s="696" t="s">
        <v>138</v>
      </c>
      <c r="H32" s="697">
        <v>12</v>
      </c>
      <c r="I32" s="1094"/>
      <c r="J32" s="1095"/>
      <c r="K32" s="1096"/>
    </row>
    <row r="33" spans="1:15" ht="22.15" customHeight="1" thickBot="1" x14ac:dyDescent="0.3">
      <c r="A33" s="710" t="s">
        <v>127</v>
      </c>
      <c r="B33" s="685" t="s">
        <v>128</v>
      </c>
      <c r="C33" s="685">
        <f>IF(B33="Landscape",1,IF(B33="Portrait",0,"ERROR"))</f>
        <v>1</v>
      </c>
      <c r="D33" s="1083" t="s">
        <v>157</v>
      </c>
      <c r="E33" s="1083"/>
      <c r="F33" s="682"/>
      <c r="G33" s="699" t="s">
        <v>141</v>
      </c>
      <c r="H33" s="700">
        <f>DEGREES(ATAN(H31/H32))</f>
        <v>1.1934894239820351</v>
      </c>
      <c r="I33" s="1097"/>
      <c r="J33" s="1098"/>
      <c r="K33" s="1099"/>
    </row>
    <row r="34" spans="1:15" ht="22.15" customHeight="1" x14ac:dyDescent="0.25">
      <c r="A34" s="711" t="s">
        <v>161</v>
      </c>
      <c r="B34" s="686">
        <v>34</v>
      </c>
      <c r="C34" s="686"/>
      <c r="D34" s="1089"/>
      <c r="E34" s="1089"/>
      <c r="F34" s="695"/>
      <c r="G34" s="1102" t="s">
        <v>142</v>
      </c>
      <c r="H34" s="1102"/>
      <c r="I34" s="1102"/>
      <c r="J34" s="1102"/>
      <c r="K34" s="1102"/>
    </row>
    <row r="35" spans="1:15" ht="22.15" customHeight="1" x14ac:dyDescent="0.25">
      <c r="A35" s="710" t="s">
        <v>129</v>
      </c>
      <c r="B35" s="690">
        <v>1.1934894239820351</v>
      </c>
      <c r="C35" s="690"/>
      <c r="D35" s="1090" t="s">
        <v>165</v>
      </c>
      <c r="E35" s="1090"/>
    </row>
    <row r="36" spans="1:15" ht="22.15" customHeight="1" x14ac:dyDescent="0.25">
      <c r="A36" s="711" t="s">
        <v>131</v>
      </c>
      <c r="B36" s="686" t="s">
        <v>132</v>
      </c>
      <c r="C36" s="686"/>
      <c r="D36" s="1088" t="s">
        <v>133</v>
      </c>
      <c r="E36" s="1088"/>
    </row>
    <row r="37" spans="1:15" ht="22.15" customHeight="1" x14ac:dyDescent="0.25">
      <c r="A37" s="710" t="s">
        <v>135</v>
      </c>
      <c r="B37" s="685" t="s">
        <v>136</v>
      </c>
      <c r="C37" s="685"/>
      <c r="D37" s="1083" t="s">
        <v>137</v>
      </c>
      <c r="E37" s="1083"/>
    </row>
    <row r="38" spans="1:15" ht="22.15" customHeight="1" x14ac:dyDescent="0.25">
      <c r="A38" s="711" t="s">
        <v>139</v>
      </c>
      <c r="B38" s="686">
        <v>5</v>
      </c>
      <c r="C38" s="686"/>
      <c r="D38" s="1089" t="s">
        <v>140</v>
      </c>
      <c r="E38" s="1089"/>
    </row>
    <row r="40" spans="1:15" hidden="1" x14ac:dyDescent="0.25">
      <c r="G40" s="706" t="s">
        <v>136</v>
      </c>
      <c r="H40" s="706" t="s">
        <v>116</v>
      </c>
      <c r="I40" s="706" t="s">
        <v>22</v>
      </c>
      <c r="J40" s="706" t="s">
        <v>98</v>
      </c>
      <c r="K40" s="706" t="s">
        <v>128</v>
      </c>
      <c r="L40" s="706">
        <v>2005</v>
      </c>
      <c r="M40" s="706" t="s">
        <v>132</v>
      </c>
      <c r="N40" s="706"/>
    </row>
    <row r="41" spans="1:15" hidden="1" x14ac:dyDescent="0.25">
      <c r="G41" s="706" t="s">
        <v>99</v>
      </c>
      <c r="H41" s="706" t="s">
        <v>146</v>
      </c>
      <c r="I41" s="706" t="s">
        <v>23</v>
      </c>
      <c r="J41" s="706" t="s">
        <v>147</v>
      </c>
      <c r="K41" s="706" t="s">
        <v>148</v>
      </c>
      <c r="L41" s="706">
        <v>2010</v>
      </c>
      <c r="M41" s="706" t="s">
        <v>183</v>
      </c>
      <c r="N41" s="706"/>
    </row>
    <row r="42" spans="1:15" hidden="1" x14ac:dyDescent="0.25">
      <c r="G42" s="706"/>
      <c r="H42" s="706" t="s">
        <v>121</v>
      </c>
      <c r="I42" s="706" t="s">
        <v>24</v>
      </c>
      <c r="J42" s="706" t="s">
        <v>149</v>
      </c>
      <c r="K42" s="706"/>
      <c r="L42" s="706"/>
      <c r="M42" s="706"/>
      <c r="N42" s="706"/>
      <c r="O42" s="706"/>
    </row>
    <row r="43" spans="1:15" hidden="1" x14ac:dyDescent="0.25">
      <c r="G43" s="706"/>
      <c r="H43" s="706" t="s">
        <v>182</v>
      </c>
      <c r="I43" s="706" t="s">
        <v>25</v>
      </c>
      <c r="J43" s="706" t="s">
        <v>150</v>
      </c>
      <c r="K43" s="706"/>
      <c r="L43" s="706"/>
      <c r="M43" s="706"/>
      <c r="N43" s="666"/>
      <c r="O43" s="706"/>
    </row>
    <row r="44" spans="1:15" hidden="1" x14ac:dyDescent="0.25">
      <c r="G44" s="706"/>
      <c r="H44" s="706"/>
      <c r="I44" s="706"/>
      <c r="J44" s="706" t="s">
        <v>151</v>
      </c>
      <c r="K44" s="706"/>
      <c r="L44" s="706"/>
      <c r="M44" s="706"/>
      <c r="N44" s="706"/>
      <c r="O44" s="706"/>
    </row>
    <row r="45" spans="1:15" hidden="1" x14ac:dyDescent="0.25">
      <c r="G45" s="706"/>
      <c r="H45" s="706"/>
      <c r="I45" s="706"/>
      <c r="J45" s="706" t="s">
        <v>152</v>
      </c>
      <c r="K45" s="706"/>
      <c r="L45" s="706"/>
      <c r="M45" s="706"/>
      <c r="N45" s="706"/>
      <c r="O45" s="706"/>
    </row>
  </sheetData>
  <mergeCells count="28">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 ref="D36:E36"/>
    <mergeCell ref="D37:E37"/>
    <mergeCell ref="D38:E38"/>
    <mergeCell ref="D35:E35"/>
    <mergeCell ref="D32:E32"/>
    <mergeCell ref="D33:E33"/>
    <mergeCell ref="D34:E34"/>
    <mergeCell ref="D18:E18"/>
    <mergeCell ref="D8:E8"/>
    <mergeCell ref="D9:E9"/>
    <mergeCell ref="D10:E10"/>
    <mergeCell ref="D7:E7"/>
  </mergeCells>
  <conditionalFormatting sqref="B21:D21">
    <cfRule type="expression" dxfId="6" priority="7">
      <formula>AND($B$22&gt;60,OR($B$21="", T($B$21)&lt;&gt;""))</formula>
    </cfRule>
  </conditionalFormatting>
  <conditionalFormatting sqref="D27">
    <cfRule type="expression" dxfId="5"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9" bestFit="1" customWidth="1"/>
    <col min="2" max="2" width="12.625" style="739" bestFit="1" customWidth="1"/>
    <col min="3" max="3" width="15.625" style="739" bestFit="1" customWidth="1"/>
    <col min="4" max="4" width="8.125" style="739" bestFit="1" customWidth="1"/>
    <col min="5" max="5" width="11.25" style="739" bestFit="1" customWidth="1"/>
    <col min="6" max="6" width="10.75" style="739" customWidth="1"/>
    <col min="7" max="7" width="14.25" style="739" bestFit="1" customWidth="1"/>
    <col min="8" max="14" width="10.75" style="739" customWidth="1"/>
    <col min="15" max="15" width="16.75" style="739" customWidth="1"/>
    <col min="16" max="16" width="34" style="739" bestFit="1" customWidth="1"/>
    <col min="17" max="17" width="8.875" style="739" bestFit="1" customWidth="1"/>
    <col min="18" max="19" width="17.125" style="739" customWidth="1"/>
    <col min="20" max="16384" width="17.125" style="739"/>
  </cols>
  <sheetData>
    <row r="1" spans="1:22" ht="26.25" x14ac:dyDescent="0.4">
      <c r="A1" s="1109" t="s">
        <v>191</v>
      </c>
      <c r="B1" s="1110"/>
      <c r="C1" s="1110"/>
      <c r="D1" s="1110"/>
      <c r="E1" s="1110"/>
      <c r="F1" s="1110"/>
      <c r="G1" s="1111"/>
      <c r="H1" s="777"/>
      <c r="I1" s="777"/>
      <c r="J1" s="777"/>
      <c r="K1" s="777"/>
      <c r="L1" s="777"/>
      <c r="M1" s="777"/>
      <c r="N1" s="777"/>
      <c r="O1" s="777"/>
      <c r="P1" s="777"/>
      <c r="Q1" s="777"/>
      <c r="R1" s="777"/>
      <c r="S1" s="777"/>
      <c r="T1" s="777"/>
      <c r="U1" s="777"/>
      <c r="V1" s="777"/>
    </row>
    <row r="2" spans="1:22" ht="13.5" customHeight="1" x14ac:dyDescent="0.25">
      <c r="A2" s="770" t="s">
        <v>192</v>
      </c>
      <c r="B2" s="863" t="str">
        <f>'1-Eng Inputs'!B6</f>
        <v>Hannah Solar</v>
      </c>
      <c r="C2" s="771"/>
      <c r="D2" s="771"/>
      <c r="E2" s="771"/>
      <c r="F2" s="771"/>
      <c r="G2" s="768" t="s">
        <v>193</v>
      </c>
      <c r="H2" s="777"/>
      <c r="I2" s="777"/>
      <c r="J2" s="777"/>
      <c r="K2" s="777"/>
      <c r="L2" s="777"/>
      <c r="M2" s="777"/>
      <c r="N2" s="777"/>
      <c r="O2" s="777"/>
      <c r="P2" s="777"/>
      <c r="Q2" s="777"/>
      <c r="R2" s="777"/>
      <c r="S2" s="777"/>
      <c r="T2" s="777"/>
      <c r="U2" s="777"/>
      <c r="V2" s="777"/>
    </row>
    <row r="3" spans="1:22" x14ac:dyDescent="0.25">
      <c r="A3" s="772" t="s">
        <v>194</v>
      </c>
      <c r="B3" s="792" t="str">
        <f>'1-Eng Inputs'!B7</f>
        <v>807 E Main</v>
      </c>
      <c r="C3" s="774"/>
      <c r="D3" s="774"/>
      <c r="E3" s="774"/>
      <c r="F3" s="774"/>
      <c r="G3" s="755">
        <v>0.6</v>
      </c>
      <c r="H3" s="775"/>
      <c r="I3" s="777"/>
      <c r="J3" s="777"/>
      <c r="K3" s="777"/>
      <c r="L3" s="777"/>
      <c r="M3" s="777"/>
      <c r="N3" s="777"/>
      <c r="O3" s="777"/>
      <c r="P3" s="777"/>
      <c r="Q3" s="777"/>
      <c r="R3" s="777"/>
      <c r="S3" s="777"/>
      <c r="T3" s="777"/>
      <c r="U3" s="777"/>
      <c r="V3" s="777"/>
    </row>
    <row r="4" spans="1:22" ht="18" x14ac:dyDescent="0.25">
      <c r="A4" s="1112" t="s">
        <v>195</v>
      </c>
      <c r="B4" s="1113"/>
      <c r="C4" s="1113"/>
      <c r="D4" s="1113"/>
      <c r="E4" s="1113"/>
      <c r="F4" s="1113"/>
      <c r="G4" s="1114"/>
      <c r="H4" s="1115" t="s">
        <v>196</v>
      </c>
      <c r="I4" s="1116"/>
      <c r="J4" s="1117"/>
      <c r="K4" s="1118" t="s">
        <v>197</v>
      </c>
      <c r="L4" s="1119"/>
      <c r="M4" s="1119"/>
      <c r="N4" s="1119"/>
      <c r="O4" s="779"/>
      <c r="P4" s="779"/>
      <c r="Q4" s="779"/>
      <c r="R4" s="777"/>
      <c r="S4" s="777"/>
      <c r="T4" s="777"/>
      <c r="U4" s="777"/>
      <c r="V4" s="777"/>
    </row>
    <row r="5" spans="1:22" s="872" customFormat="1" ht="25.5" x14ac:dyDescent="0.25">
      <c r="A5" s="873" t="s">
        <v>198</v>
      </c>
      <c r="B5" s="868"/>
      <c r="C5" s="867" t="s">
        <v>199</v>
      </c>
      <c r="D5" s="867" t="s">
        <v>200</v>
      </c>
      <c r="E5" s="867" t="s">
        <v>201</v>
      </c>
      <c r="F5" s="869" t="s">
        <v>202</v>
      </c>
      <c r="G5" s="869" t="s">
        <v>203</v>
      </c>
      <c r="H5" s="870" t="s">
        <v>204</v>
      </c>
      <c r="I5" s="869" t="s">
        <v>205</v>
      </c>
      <c r="J5" s="869" t="s">
        <v>206</v>
      </c>
      <c r="K5" s="864" t="s">
        <v>251</v>
      </c>
      <c r="L5" s="865" t="s">
        <v>250</v>
      </c>
      <c r="M5" s="865" t="s">
        <v>252</v>
      </c>
      <c r="N5" s="866" t="s">
        <v>207</v>
      </c>
      <c r="O5" s="838"/>
      <c r="P5" s="838"/>
      <c r="Q5" s="838"/>
      <c r="R5" s="871"/>
      <c r="S5" s="871"/>
      <c r="T5" s="871"/>
      <c r="U5" s="871"/>
      <c r="V5" s="871"/>
    </row>
    <row r="6" spans="1:22" x14ac:dyDescent="0.2">
      <c r="A6" s="845" t="s">
        <v>497</v>
      </c>
      <c r="B6" s="785"/>
      <c r="C6" s="850" t="s">
        <v>506</v>
      </c>
      <c r="D6" s="1040">
        <f>H6/0.725/0.4</f>
        <v>60.42931034482757</v>
      </c>
      <c r="E6" s="786">
        <f>ROUND(D6*$G$3,2)</f>
        <v>36.26</v>
      </c>
      <c r="F6" s="756">
        <f>IF($G$30="YES",ROUNDUP('1-Eng Inputs'!B18*1.25,0),0)</f>
        <v>744</v>
      </c>
      <c r="G6" s="798">
        <f>E6*F6</f>
        <v>26977.439999999999</v>
      </c>
      <c r="H6" s="801">
        <v>17.524499999999996</v>
      </c>
      <c r="I6" s="800">
        <f>F6*H6</f>
        <v>13038.227999999997</v>
      </c>
      <c r="J6" s="801">
        <f>G6-I6</f>
        <v>13939.212000000001</v>
      </c>
      <c r="K6" s="802">
        <f>(2*K7)+(2*K8)+IF(G31="YES",K9,0)</f>
        <v>12.231</v>
      </c>
      <c r="L6" s="847" t="s">
        <v>209</v>
      </c>
      <c r="M6" s="847" t="s">
        <v>209</v>
      </c>
      <c r="N6" s="848" t="s">
        <v>209</v>
      </c>
      <c r="O6" s="779"/>
      <c r="P6" s="779"/>
      <c r="Q6" s="779"/>
      <c r="R6" s="777"/>
      <c r="S6" s="777"/>
      <c r="T6" s="777"/>
      <c r="U6" s="777"/>
      <c r="V6" s="777"/>
    </row>
    <row r="7" spans="1:22" x14ac:dyDescent="0.2">
      <c r="A7" s="772" t="s">
        <v>498</v>
      </c>
      <c r="B7" s="779"/>
      <c r="C7" s="790" t="s">
        <v>507</v>
      </c>
      <c r="D7" s="1041">
        <f t="shared" ref="D7:D15" si="0">H7/0.725/0.4</f>
        <v>5.8229208924949294</v>
      </c>
      <c r="E7" s="1041">
        <f t="shared" ref="E7:E15" si="1">ROUND(D7*$G$3,2)</f>
        <v>3.49</v>
      </c>
      <c r="F7" s="757">
        <f>IF($G$30="YES",0,ROUNDUP('1-Eng Inputs'!B18*2.5,0))</f>
        <v>0</v>
      </c>
      <c r="G7" s="1043">
        <f t="shared" ref="G7:G14" si="2">E7*F7</f>
        <v>0</v>
      </c>
      <c r="H7" s="804">
        <v>1.6886470588235294</v>
      </c>
      <c r="I7" s="803">
        <f t="shared" ref="I7:I15" si="3">F7*H7</f>
        <v>0</v>
      </c>
      <c r="J7" s="1042">
        <f t="shared" ref="J7:J15" si="4">G7-I7</f>
        <v>0</v>
      </c>
      <c r="K7" s="805">
        <v>1.401</v>
      </c>
      <c r="L7" s="806">
        <f>ABS(F7)*K7</f>
        <v>0</v>
      </c>
      <c r="M7" s="860"/>
      <c r="N7" s="861"/>
      <c r="O7" s="779"/>
      <c r="P7" s="779"/>
      <c r="Q7" s="779"/>
      <c r="R7" s="777"/>
      <c r="S7" s="777"/>
      <c r="T7" s="777"/>
      <c r="U7" s="777"/>
      <c r="V7" s="777"/>
    </row>
    <row r="8" spans="1:22" x14ac:dyDescent="0.2">
      <c r="A8" s="772" t="s">
        <v>499</v>
      </c>
      <c r="B8" s="779"/>
      <c r="C8" s="790" t="s">
        <v>508</v>
      </c>
      <c r="D8" s="1041">
        <f t="shared" si="0"/>
        <v>19.334482758620688</v>
      </c>
      <c r="E8" s="789">
        <f t="shared" si="1"/>
        <v>11.6</v>
      </c>
      <c r="F8" s="757">
        <f>IF($G$30="YES",0,ROUNDUP('1-Eng Inputs'!B18*2.5,0))</f>
        <v>0</v>
      </c>
      <c r="G8" s="799">
        <f t="shared" si="2"/>
        <v>0</v>
      </c>
      <c r="H8" s="804">
        <v>5.6069999999999993</v>
      </c>
      <c r="I8" s="803">
        <f t="shared" si="3"/>
        <v>0</v>
      </c>
      <c r="J8" s="804">
        <f t="shared" si="4"/>
        <v>0</v>
      </c>
      <c r="K8" s="805">
        <v>3.98</v>
      </c>
      <c r="L8" s="806">
        <f>ABS(F8)*K8</f>
        <v>0</v>
      </c>
      <c r="M8" s="860"/>
      <c r="N8" s="861"/>
      <c r="O8" s="779"/>
      <c r="P8" s="779"/>
      <c r="Q8" s="779"/>
      <c r="R8" s="777"/>
      <c r="S8" s="777"/>
      <c r="T8" s="777"/>
      <c r="U8" s="777"/>
      <c r="V8" s="777"/>
    </row>
    <row r="9" spans="1:22" x14ac:dyDescent="0.2">
      <c r="A9" s="772" t="s">
        <v>500</v>
      </c>
      <c r="B9" s="779"/>
      <c r="C9" s="790" t="s">
        <v>509</v>
      </c>
      <c r="D9" s="1041">
        <f t="shared" si="0"/>
        <v>4.7005070993914799</v>
      </c>
      <c r="E9" s="789">
        <f t="shared" si="1"/>
        <v>2.82</v>
      </c>
      <c r="F9" s="757">
        <f>IF(G31="YES",IF(G30="YES",F6,F7/2),0)</f>
        <v>744</v>
      </c>
      <c r="G9" s="799">
        <f t="shared" si="2"/>
        <v>2098.08</v>
      </c>
      <c r="H9" s="804">
        <v>1.3631470588235293</v>
      </c>
      <c r="I9" s="803">
        <f t="shared" si="3"/>
        <v>1014.1814117647058</v>
      </c>
      <c r="J9" s="804">
        <f t="shared" si="4"/>
        <v>1083.898588235294</v>
      </c>
      <c r="K9" s="805">
        <v>1.4690000000000001</v>
      </c>
      <c r="L9" s="806">
        <f>ABS(F9)*K9</f>
        <v>1092.9360000000001</v>
      </c>
      <c r="M9" s="860"/>
      <c r="N9" s="861"/>
      <c r="O9" s="779"/>
      <c r="P9" s="779"/>
      <c r="Q9" s="779"/>
      <c r="R9" s="777"/>
      <c r="S9" s="777"/>
      <c r="T9" s="777"/>
      <c r="U9" s="777"/>
      <c r="V9" s="777"/>
    </row>
    <row r="10" spans="1:22" x14ac:dyDescent="0.2">
      <c r="A10" s="772" t="s">
        <v>501</v>
      </c>
      <c r="B10" s="779"/>
      <c r="C10" s="790" t="s">
        <v>510</v>
      </c>
      <c r="D10" s="1041">
        <f t="shared" si="0"/>
        <v>1.8411206896551726</v>
      </c>
      <c r="E10" s="789">
        <f t="shared" si="1"/>
        <v>1.1000000000000001</v>
      </c>
      <c r="F10" s="757">
        <v>0</v>
      </c>
      <c r="G10" s="799">
        <f t="shared" si="2"/>
        <v>0</v>
      </c>
      <c r="H10" s="804">
        <v>0.53392500000000009</v>
      </c>
      <c r="I10" s="803">
        <f t="shared" si="3"/>
        <v>0</v>
      </c>
      <c r="J10" s="804">
        <f t="shared" si="4"/>
        <v>0</v>
      </c>
      <c r="K10" s="805"/>
      <c r="L10" s="806"/>
      <c r="M10" s="860"/>
      <c r="N10" s="861"/>
      <c r="O10" s="779"/>
      <c r="P10" s="779"/>
      <c r="Q10" s="779"/>
      <c r="R10" s="777"/>
      <c r="S10" s="777"/>
      <c r="T10" s="777"/>
      <c r="U10" s="777"/>
      <c r="V10" s="777"/>
    </row>
    <row r="11" spans="1:22" x14ac:dyDescent="0.2">
      <c r="A11" s="772" t="s">
        <v>502</v>
      </c>
      <c r="B11" s="779"/>
      <c r="C11" s="790" t="s">
        <v>511</v>
      </c>
      <c r="D11" s="1041">
        <f t="shared" si="0"/>
        <v>1.6313218390804596</v>
      </c>
      <c r="E11" s="789">
        <f t="shared" si="1"/>
        <v>0.98</v>
      </c>
      <c r="F11" s="757">
        <v>0</v>
      </c>
      <c r="G11" s="799">
        <f t="shared" si="2"/>
        <v>0</v>
      </c>
      <c r="H11" s="804">
        <v>0.47308333333333324</v>
      </c>
      <c r="I11" s="803">
        <f t="shared" si="3"/>
        <v>0</v>
      </c>
      <c r="J11" s="804">
        <f t="shared" si="4"/>
        <v>0</v>
      </c>
      <c r="K11" s="805"/>
      <c r="L11" s="806"/>
      <c r="M11" s="860"/>
      <c r="N11" s="861"/>
      <c r="O11" s="779"/>
      <c r="P11" s="779"/>
      <c r="Q11" s="779"/>
      <c r="R11" s="777"/>
      <c r="S11" s="777"/>
      <c r="T11" s="777"/>
      <c r="U11" s="777"/>
      <c r="V11" s="777"/>
    </row>
    <row r="12" spans="1:22" x14ac:dyDescent="0.2">
      <c r="A12" s="772" t="s">
        <v>503</v>
      </c>
      <c r="B12" s="779"/>
      <c r="C12" s="790" t="s">
        <v>512</v>
      </c>
      <c r="D12" s="1041">
        <f t="shared" si="0"/>
        <v>13.317241379310344</v>
      </c>
      <c r="E12" s="789">
        <f t="shared" si="1"/>
        <v>7.99</v>
      </c>
      <c r="F12" s="757">
        <v>0</v>
      </c>
      <c r="G12" s="799">
        <f t="shared" si="2"/>
        <v>0</v>
      </c>
      <c r="H12" s="804">
        <v>3.8620000000000001</v>
      </c>
      <c r="I12" s="803">
        <f t="shared" si="3"/>
        <v>0</v>
      </c>
      <c r="J12" s="804">
        <f t="shared" si="4"/>
        <v>0</v>
      </c>
      <c r="K12" s="805"/>
      <c r="L12" s="806"/>
      <c r="M12" s="860"/>
      <c r="N12" s="861"/>
      <c r="O12" s="779"/>
      <c r="P12" s="779"/>
      <c r="Q12" s="779"/>
      <c r="R12" s="777"/>
      <c r="S12" s="777"/>
      <c r="T12" s="777"/>
      <c r="U12" s="777"/>
      <c r="V12" s="777"/>
    </row>
    <row r="13" spans="1:22" x14ac:dyDescent="0.2">
      <c r="A13" s="772" t="s">
        <v>504</v>
      </c>
      <c r="B13" s="779"/>
      <c r="C13" s="790" t="s">
        <v>513</v>
      </c>
      <c r="D13" s="1041">
        <f t="shared" si="0"/>
        <v>0.57931034482758625</v>
      </c>
      <c r="E13" s="789">
        <f t="shared" si="1"/>
        <v>0.35</v>
      </c>
      <c r="F13" s="757">
        <v>0</v>
      </c>
      <c r="G13" s="799">
        <f t="shared" si="2"/>
        <v>0</v>
      </c>
      <c r="H13" s="804">
        <v>0.16800000000000001</v>
      </c>
      <c r="I13" s="803">
        <f t="shared" si="3"/>
        <v>0</v>
      </c>
      <c r="J13" s="804">
        <f t="shared" si="4"/>
        <v>0</v>
      </c>
      <c r="K13" s="805"/>
      <c r="L13" s="806"/>
      <c r="M13" s="860"/>
      <c r="N13" s="861"/>
      <c r="O13" s="779"/>
      <c r="P13" s="779"/>
      <c r="Q13" s="779"/>
      <c r="R13" s="777"/>
      <c r="S13" s="777"/>
      <c r="T13" s="777"/>
      <c r="U13" s="777"/>
      <c r="V13" s="777"/>
    </row>
    <row r="14" spans="1:22" x14ac:dyDescent="0.2">
      <c r="A14" s="772" t="s">
        <v>505</v>
      </c>
      <c r="B14" s="779"/>
      <c r="C14" s="790" t="s">
        <v>514</v>
      </c>
      <c r="D14" s="1041">
        <f t="shared" si="0"/>
        <v>0.9</v>
      </c>
      <c r="E14" s="789">
        <f t="shared" si="1"/>
        <v>0.54</v>
      </c>
      <c r="F14" s="757">
        <v>0</v>
      </c>
      <c r="G14" s="799">
        <f t="shared" si="2"/>
        <v>0</v>
      </c>
      <c r="H14" s="804">
        <v>0.26100000000000001</v>
      </c>
      <c r="I14" s="803">
        <f t="shared" si="3"/>
        <v>0</v>
      </c>
      <c r="J14" s="804">
        <f t="shared" si="4"/>
        <v>0</v>
      </c>
      <c r="K14" s="805"/>
      <c r="L14" s="806"/>
      <c r="M14" s="860"/>
      <c r="N14" s="861"/>
      <c r="O14" s="779"/>
      <c r="P14" s="779"/>
      <c r="Q14" s="779"/>
      <c r="R14" s="777"/>
      <c r="S14" s="777"/>
      <c r="T14" s="777"/>
      <c r="U14" s="777"/>
      <c r="V14" s="777"/>
    </row>
    <row r="15" spans="1:22" hidden="1" x14ac:dyDescent="0.25">
      <c r="A15" s="772" t="str">
        <f>IF('1-Eng Inputs'!B33="Portrait","Portrait Wind Deflector",IF('1-Eng Inputs'!B16&lt;68,"60 Cell Landscape Wind Deflector","72 Cell Landscape Wind Deflector"))</f>
        <v>60 Cell Landscape Wind Deflector</v>
      </c>
      <c r="B15" s="779"/>
      <c r="C15" s="790" t="str">
        <f>IF('1-Eng Inputs'!B33="Portrait","ES11072-CP",IF('1-Eng Inputs'!B16&lt;68,"ES11073-CP","ES11074-CP"))</f>
        <v>ES11073-CP</v>
      </c>
      <c r="D15" s="1041">
        <f t="shared" si="0"/>
        <v>13.724137931034482</v>
      </c>
      <c r="E15" s="789">
        <f t="shared" si="1"/>
        <v>8.23</v>
      </c>
      <c r="F15" s="757">
        <f>IF('1-Eng Inputs'!B33="Landscape",IF('1-Eng Inputs'!B32="NO",0,'1-Eng Inputs'!B18),'1-Eng Inputs'!B18)</f>
        <v>595</v>
      </c>
      <c r="G15" s="799">
        <f t="shared" ref="G15:G20" si="5">E15*F15</f>
        <v>4896.8500000000004</v>
      </c>
      <c r="H15" s="804">
        <f>IF('1-Eng Inputs'!B33="Portrait",2.5,IF('1-Eng Inputs'!B16&lt;68,3.98,4.66))</f>
        <v>3.98</v>
      </c>
      <c r="I15" s="803">
        <f t="shared" si="3"/>
        <v>2368.1</v>
      </c>
      <c r="J15" s="804">
        <f t="shared" si="4"/>
        <v>2528.7500000000005</v>
      </c>
      <c r="K15" s="809">
        <f>IF('1-Eng Inputs'!B33="Portrait",3.67,IF('1-Eng Inputs'!B16&lt;68,5.54,6.53))</f>
        <v>5.54</v>
      </c>
      <c r="L15" s="806">
        <f>F15*K15</f>
        <v>3296.3</v>
      </c>
      <c r="M15" s="810">
        <f>IF('1-Eng Inputs'!B33="Landscape",2*(F15/600),(F15/600))</f>
        <v>1.9833333333333334</v>
      </c>
      <c r="N15" s="808">
        <f>IF('1-Eng Inputs'!B33="Landscape",2*(ROUNDUP(F15/600,0)),(ROUNDUP(F15/600,0)))</f>
        <v>2</v>
      </c>
      <c r="O15" s="779"/>
      <c r="P15" s="842"/>
      <c r="Q15" s="779"/>
      <c r="R15" s="777"/>
      <c r="S15" s="777"/>
      <c r="T15" s="777"/>
      <c r="U15" s="777"/>
      <c r="V15" s="777"/>
    </row>
    <row r="16" spans="1:22" hidden="1" x14ac:dyDescent="0.25">
      <c r="A16" s="787" t="s">
        <v>248</v>
      </c>
      <c r="B16" s="779"/>
      <c r="C16" s="790" t="s">
        <v>249</v>
      </c>
      <c r="D16" s="788">
        <f>H16/0.725/0.4</f>
        <v>0</v>
      </c>
      <c r="E16" s="789">
        <f>ROUND(D16*$G$3,2)</f>
        <v>0</v>
      </c>
      <c r="F16" s="757">
        <f>F15*2</f>
        <v>1190</v>
      </c>
      <c r="G16" s="799">
        <f t="shared" si="5"/>
        <v>0</v>
      </c>
      <c r="H16" s="758"/>
      <c r="I16" s="803">
        <f t="shared" ref="I16:I20" si="6">F16*H16</f>
        <v>0</v>
      </c>
      <c r="J16" s="804">
        <f t="shared" ref="J16:J20" si="7">G16-I16</f>
        <v>0</v>
      </c>
      <c r="K16" s="809">
        <v>0.24199999999999999</v>
      </c>
      <c r="L16" s="806">
        <f>F16*K16</f>
        <v>287.98</v>
      </c>
      <c r="M16" s="862"/>
      <c r="N16" s="861"/>
      <c r="O16" s="779"/>
      <c r="P16" s="842"/>
      <c r="Q16" s="779"/>
      <c r="R16" s="777"/>
      <c r="S16" s="777"/>
      <c r="T16" s="777"/>
      <c r="U16" s="777"/>
      <c r="V16" s="777"/>
    </row>
    <row r="17" spans="1:22" hidden="1" x14ac:dyDescent="0.25">
      <c r="A17" s="787" t="s">
        <v>245</v>
      </c>
      <c r="B17" s="779"/>
      <c r="C17" s="790" t="s">
        <v>301</v>
      </c>
      <c r="D17" s="788">
        <f>H17/0.725/0.4</f>
        <v>0</v>
      </c>
      <c r="E17" s="789">
        <f>ROUND(D17*$G$3,2)</f>
        <v>0</v>
      </c>
      <c r="F17" s="757">
        <v>0</v>
      </c>
      <c r="G17" s="799">
        <f t="shared" si="5"/>
        <v>0</v>
      </c>
      <c r="H17" s="758"/>
      <c r="I17" s="803">
        <f t="shared" si="6"/>
        <v>0</v>
      </c>
      <c r="J17" s="804">
        <f t="shared" si="7"/>
        <v>0</v>
      </c>
      <c r="K17" s="778">
        <v>0.22900000000000001</v>
      </c>
      <c r="L17" s="806">
        <f>F17*K17</f>
        <v>0</v>
      </c>
      <c r="M17" s="807">
        <f>(F17/48)/152</f>
        <v>0</v>
      </c>
      <c r="N17" s="808">
        <f>ROUNDUP(M17,0)</f>
        <v>0</v>
      </c>
      <c r="O17" s="779"/>
      <c r="P17" s="842"/>
      <c r="Q17" s="779"/>
      <c r="R17" s="777"/>
      <c r="S17" s="777"/>
      <c r="T17" s="777"/>
      <c r="U17" s="777"/>
      <c r="V17" s="777"/>
    </row>
    <row r="18" spans="1:22" hidden="1" x14ac:dyDescent="0.25">
      <c r="A18" s="787" t="s">
        <v>208</v>
      </c>
      <c r="B18" s="779"/>
      <c r="C18" s="790" t="s">
        <v>209</v>
      </c>
      <c r="D18" s="788" t="e">
        <f>IF(#REF!="YES",500,400)</f>
        <v>#REF!</v>
      </c>
      <c r="E18" s="789" t="e">
        <f>D18+50</f>
        <v>#REF!</v>
      </c>
      <c r="F18" s="757">
        <v>1</v>
      </c>
      <c r="G18" s="799" t="e">
        <f t="shared" si="5"/>
        <v>#REF!</v>
      </c>
      <c r="H18" s="804">
        <v>400</v>
      </c>
      <c r="I18" s="803">
        <f t="shared" si="6"/>
        <v>400</v>
      </c>
      <c r="J18" s="804" t="e">
        <f t="shared" si="7"/>
        <v>#REF!</v>
      </c>
      <c r="K18" s="778"/>
      <c r="L18" s="779"/>
      <c r="M18" s="807"/>
      <c r="N18" s="808"/>
      <c r="O18" s="779"/>
      <c r="P18" s="842"/>
      <c r="Q18" s="779"/>
      <c r="R18" s="777"/>
      <c r="S18" s="777"/>
      <c r="T18" s="777"/>
      <c r="U18" s="777"/>
      <c r="V18" s="777"/>
    </row>
    <row r="19" spans="1:22" hidden="1" x14ac:dyDescent="0.25">
      <c r="A19" s="787" t="s">
        <v>135</v>
      </c>
      <c r="B19" s="779"/>
      <c r="C19" s="790" t="s">
        <v>210</v>
      </c>
      <c r="D19" s="788">
        <f>H19/0.725/0.4</f>
        <v>0</v>
      </c>
      <c r="E19" s="789">
        <f t="shared" ref="E19:E20" si="8">ROUND(D19*$G$3,2)</f>
        <v>0</v>
      </c>
      <c r="F19" s="757">
        <f>IF(G29="YES",F6,0)</f>
        <v>0</v>
      </c>
      <c r="G19" s="799">
        <f t="shared" si="5"/>
        <v>0</v>
      </c>
      <c r="H19" s="758">
        <v>0</v>
      </c>
      <c r="I19" s="803">
        <f t="shared" si="6"/>
        <v>0</v>
      </c>
      <c r="J19" s="804">
        <f t="shared" si="7"/>
        <v>0</v>
      </c>
      <c r="K19" s="778"/>
      <c r="L19" s="779"/>
      <c r="M19" s="807"/>
      <c r="N19" s="808"/>
      <c r="O19" s="779"/>
      <c r="P19" s="779"/>
      <c r="Q19" s="779"/>
      <c r="R19" s="777"/>
      <c r="S19" s="777"/>
      <c r="T19" s="777"/>
      <c r="U19" s="777"/>
      <c r="V19" s="777"/>
    </row>
    <row r="20" spans="1:22" hidden="1" x14ac:dyDescent="0.25">
      <c r="A20" s="787" t="s">
        <v>211</v>
      </c>
      <c r="B20" s="779"/>
      <c r="C20" s="790" t="s">
        <v>212</v>
      </c>
      <c r="D20" s="788">
        <f>H20/0.725/0.4</f>
        <v>0</v>
      </c>
      <c r="E20" s="789">
        <f t="shared" si="8"/>
        <v>0</v>
      </c>
      <c r="F20" s="757">
        <v>0</v>
      </c>
      <c r="G20" s="799">
        <f t="shared" si="5"/>
        <v>0</v>
      </c>
      <c r="H20" s="791">
        <f>D35</f>
        <v>0</v>
      </c>
      <c r="I20" s="803">
        <f t="shared" si="6"/>
        <v>0</v>
      </c>
      <c r="J20" s="804">
        <f t="shared" si="7"/>
        <v>0</v>
      </c>
      <c r="K20" s="778"/>
      <c r="L20" s="779"/>
      <c r="M20" s="807"/>
      <c r="N20" s="808"/>
      <c r="O20" s="779"/>
      <c r="P20" s="779"/>
      <c r="Q20" s="779"/>
      <c r="R20" s="777"/>
      <c r="S20" s="777"/>
      <c r="T20" s="777"/>
      <c r="U20" s="777"/>
      <c r="V20" s="777"/>
    </row>
    <row r="21" spans="1:22" x14ac:dyDescent="0.25">
      <c r="A21" s="787" t="s">
        <v>213</v>
      </c>
      <c r="B21" s="779"/>
      <c r="C21" s="779"/>
      <c r="D21" s="788"/>
      <c r="E21" s="789"/>
      <c r="F21" s="792"/>
      <c r="G21" s="759">
        <v>0</v>
      </c>
      <c r="H21" s="804"/>
      <c r="I21" s="803"/>
      <c r="J21" s="804">
        <f>-ABS(G21)</f>
        <v>0</v>
      </c>
      <c r="K21" s="778"/>
      <c r="L21" s="775"/>
      <c r="M21" s="807"/>
      <c r="N21" s="808"/>
      <c r="O21" s="779"/>
      <c r="P21" s="779"/>
      <c r="Q21" s="779"/>
      <c r="R21" s="777"/>
      <c r="S21" s="777"/>
      <c r="T21" s="777"/>
      <c r="U21" s="777"/>
      <c r="V21" s="777"/>
    </row>
    <row r="22" spans="1:22" x14ac:dyDescent="0.25">
      <c r="A22" s="782"/>
      <c r="B22" s="779"/>
      <c r="C22" s="779"/>
      <c r="D22" s="779"/>
      <c r="E22" s="789"/>
      <c r="F22" s="779"/>
      <c r="G22" s="794"/>
      <c r="H22" s="776" t="s">
        <v>214</v>
      </c>
      <c r="I22" s="811">
        <f>IFERROR(I23/(G24*1000),"N/A")</f>
        <v>8.1941344107975655E-2</v>
      </c>
      <c r="J22" s="804"/>
      <c r="K22" s="778"/>
      <c r="L22" s="775"/>
      <c r="M22" s="807"/>
      <c r="N22" s="808"/>
      <c r="O22" s="779"/>
      <c r="P22" s="779"/>
      <c r="Q22" s="779"/>
      <c r="R22" s="777"/>
      <c r="S22" s="777"/>
      <c r="T22" s="777"/>
      <c r="U22" s="777"/>
      <c r="V22" s="777"/>
    </row>
    <row r="23" spans="1:22" x14ac:dyDescent="0.25">
      <c r="A23" s="791" t="s">
        <v>215</v>
      </c>
      <c r="B23" s="779"/>
      <c r="C23" s="779"/>
      <c r="D23" s="779"/>
      <c r="E23" s="779"/>
      <c r="F23" s="779"/>
      <c r="G23" s="795" t="e">
        <f>SUM(G6:G20)-ABS(G21)</f>
        <v>#REF!</v>
      </c>
      <c r="H23" s="825" t="s">
        <v>215</v>
      </c>
      <c r="I23" s="812">
        <f>SUM(I6:I21)</f>
        <v>16820.509411764702</v>
      </c>
      <c r="J23" s="812" t="e">
        <f>SUM(J6:J21)</f>
        <v>#REF!</v>
      </c>
      <c r="K23" s="813" t="s">
        <v>215</v>
      </c>
      <c r="L23" s="814">
        <f>SUM(L7:L21)+50*N23</f>
        <v>4777.2160000000003</v>
      </c>
      <c r="M23" s="814">
        <f>ROUNDUP(SUM(M7:M21),0)</f>
        <v>2</v>
      </c>
      <c r="N23" s="815">
        <f>ROUNDUP(SUM(N7:N21),0)</f>
        <v>2</v>
      </c>
      <c r="O23" s="779"/>
      <c r="P23" s="777"/>
      <c r="Q23" s="777"/>
      <c r="R23" s="780"/>
      <c r="S23" s="777"/>
      <c r="T23" s="777"/>
      <c r="U23" s="777"/>
      <c r="V23" s="777"/>
    </row>
    <row r="24" spans="1:22" x14ac:dyDescent="0.2">
      <c r="A24" s="791" t="s">
        <v>216</v>
      </c>
      <c r="B24" s="779"/>
      <c r="C24" s="779"/>
      <c r="D24" s="779"/>
      <c r="E24" s="779"/>
      <c r="F24" s="779"/>
      <c r="G24" s="796">
        <f>'1-Eng Inputs'!B18*'1-Eng Inputs'!B14/1000</f>
        <v>205.27500000000001</v>
      </c>
      <c r="H24" s="825" t="s">
        <v>217</v>
      </c>
      <c r="I24" s="779"/>
      <c r="J24" s="816" t="e">
        <f>J23/G23</f>
        <v>#REF!</v>
      </c>
      <c r="K24" s="782"/>
      <c r="L24" s="779"/>
      <c r="M24" s="779"/>
      <c r="N24" s="793"/>
      <c r="O24" s="779"/>
      <c r="P24" s="777"/>
      <c r="Q24" s="777"/>
      <c r="R24" s="781"/>
      <c r="S24" s="777"/>
      <c r="T24" s="777"/>
      <c r="U24" s="777"/>
      <c r="V24" s="777"/>
    </row>
    <row r="25" spans="1:22" x14ac:dyDescent="0.2">
      <c r="A25" s="791" t="s">
        <v>218</v>
      </c>
      <c r="B25" s="779"/>
      <c r="C25" s="779"/>
      <c r="D25" s="779"/>
      <c r="E25" s="779"/>
      <c r="F25" s="779"/>
      <c r="G25" s="797" t="str">
        <f>IFERROR(G23/(G24*1000),"N/A")</f>
        <v>N/A</v>
      </c>
      <c r="H25" s="825" t="s">
        <v>219</v>
      </c>
      <c r="I25" s="779"/>
      <c r="J25" s="773" t="e">
        <f>0.05*J23</f>
        <v>#REF!</v>
      </c>
      <c r="K25" s="782"/>
      <c r="L25" s="779"/>
      <c r="M25" s="779"/>
      <c r="N25" s="793"/>
      <c r="O25" s="779"/>
      <c r="P25" s="777"/>
      <c r="Q25" s="777"/>
      <c r="R25" s="780"/>
      <c r="S25" s="851"/>
      <c r="T25" s="777"/>
      <c r="U25" s="777"/>
      <c r="V25" s="777"/>
    </row>
    <row r="26" spans="1:22" x14ac:dyDescent="0.2">
      <c r="A26" s="791" t="s">
        <v>220</v>
      </c>
      <c r="B26" s="779"/>
      <c r="C26" s="779"/>
      <c r="D26" s="779"/>
      <c r="E26" s="779"/>
      <c r="F26" s="779"/>
      <c r="G26" s="760"/>
      <c r="H26" s="825" t="s">
        <v>221</v>
      </c>
      <c r="I26" s="779"/>
      <c r="J26" s="816" t="e">
        <f>J25/G23</f>
        <v>#REF!</v>
      </c>
      <c r="K26" s="817" t="s">
        <v>222</v>
      </c>
      <c r="L26" s="818">
        <v>44707</v>
      </c>
      <c r="M26" s="818"/>
      <c r="N26" s="819"/>
      <c r="O26" s="779"/>
      <c r="P26" s="777"/>
      <c r="Q26" s="777"/>
      <c r="R26" s="777"/>
      <c r="S26" s="781"/>
      <c r="T26" s="777"/>
      <c r="U26" s="777"/>
      <c r="V26" s="777"/>
    </row>
    <row r="27" spans="1:22" x14ac:dyDescent="0.25">
      <c r="A27" s="846"/>
      <c r="B27" s="784"/>
      <c r="C27" s="829"/>
      <c r="D27" s="829"/>
      <c r="E27" s="829"/>
      <c r="F27" s="829"/>
      <c r="G27" s="824"/>
      <c r="H27" s="821"/>
      <c r="I27" s="820"/>
      <c r="J27" s="821"/>
      <c r="K27" s="783" t="s">
        <v>223</v>
      </c>
      <c r="L27" s="822">
        <f>'1-Eng Inputs'!B9</f>
        <v>27332</v>
      </c>
      <c r="M27" s="823"/>
      <c r="N27" s="824"/>
      <c r="O27" s="779"/>
      <c r="P27" s="777"/>
      <c r="Q27" s="777"/>
      <c r="R27" s="777"/>
      <c r="S27" s="777"/>
      <c r="T27" s="777"/>
      <c r="U27" s="777"/>
      <c r="V27" s="777"/>
    </row>
    <row r="28" spans="1:22" ht="18" x14ac:dyDescent="0.25">
      <c r="A28" s="769" t="s">
        <v>224</v>
      </c>
      <c r="B28" s="761"/>
      <c r="C28" s="761"/>
      <c r="D28" s="761"/>
      <c r="E28" s="761"/>
      <c r="F28" s="761"/>
      <c r="G28" s="762"/>
      <c r="H28" s="777"/>
      <c r="I28" s="777"/>
      <c r="J28" s="777"/>
      <c r="K28" s="777"/>
      <c r="L28" s="777"/>
      <c r="M28" s="777"/>
      <c r="N28" s="777"/>
      <c r="O28" s="777"/>
      <c r="P28" s="777"/>
      <c r="Q28" s="777"/>
      <c r="R28" s="777"/>
      <c r="S28" s="777"/>
      <c r="T28" s="777"/>
      <c r="U28" s="777"/>
      <c r="V28" s="777"/>
    </row>
    <row r="29" spans="1:22" x14ac:dyDescent="0.25">
      <c r="A29" s="782" t="s">
        <v>225</v>
      </c>
      <c r="B29" s="775"/>
      <c r="C29" s="775"/>
      <c r="D29" s="775"/>
      <c r="E29" s="775"/>
      <c r="F29" s="775"/>
      <c r="G29" s="763" t="s">
        <v>99</v>
      </c>
      <c r="H29" s="777"/>
      <c r="I29" s="779"/>
      <c r="J29" s="779"/>
      <c r="K29" s="858"/>
      <c r="L29" s="858"/>
      <c r="M29" s="777"/>
      <c r="N29" s="777"/>
      <c r="O29" s="777"/>
      <c r="P29" s="777"/>
      <c r="Q29" s="777"/>
      <c r="R29" s="777"/>
      <c r="S29" s="777"/>
      <c r="T29" s="777"/>
      <c r="U29" s="777"/>
      <c r="V29" s="777"/>
    </row>
    <row r="30" spans="1:22" x14ac:dyDescent="0.25">
      <c r="A30" s="782" t="s">
        <v>515</v>
      </c>
      <c r="B30" s="775"/>
      <c r="C30" s="775"/>
      <c r="D30" s="775"/>
      <c r="E30" s="775"/>
      <c r="F30" s="775"/>
      <c r="G30" s="763" t="s">
        <v>136</v>
      </c>
      <c r="H30" s="777"/>
      <c r="I30" s="779"/>
      <c r="J30" s="779"/>
      <c r="K30" s="858"/>
      <c r="L30" s="858"/>
      <c r="M30" s="777"/>
      <c r="N30" s="777"/>
      <c r="O30" s="777"/>
      <c r="P30" s="777"/>
      <c r="Q30" s="777"/>
      <c r="R30" s="777"/>
      <c r="S30" s="777"/>
      <c r="T30" s="777"/>
      <c r="U30" s="777"/>
      <c r="V30" s="777"/>
    </row>
    <row r="31" spans="1:22" x14ac:dyDescent="0.25">
      <c r="A31" s="783" t="s">
        <v>246</v>
      </c>
      <c r="B31" s="784"/>
      <c r="C31" s="784"/>
      <c r="D31" s="784"/>
      <c r="E31" s="784"/>
      <c r="F31" s="784"/>
      <c r="G31" s="1044" t="s">
        <v>136</v>
      </c>
      <c r="H31" s="777"/>
      <c r="I31" s="779"/>
      <c r="J31" s="779"/>
      <c r="K31" s="858"/>
      <c r="L31" s="858"/>
      <c r="M31" s="777"/>
      <c r="N31" s="777"/>
      <c r="O31" s="777"/>
      <c r="P31" s="777"/>
      <c r="Q31" s="777"/>
      <c r="R31" s="777"/>
      <c r="S31" s="777"/>
      <c r="T31" s="777"/>
      <c r="U31" s="777"/>
      <c r="V31" s="777"/>
    </row>
    <row r="32" spans="1:22" ht="12.75" customHeight="1" x14ac:dyDescent="0.25">
      <c r="A32" s="830"/>
      <c r="B32" s="776"/>
      <c r="C32" s="776"/>
      <c r="D32" s="831"/>
      <c r="E32" s="826"/>
      <c r="F32" s="777"/>
      <c r="G32" s="777"/>
      <c r="H32" s="776"/>
      <c r="I32" s="844"/>
      <c r="J32" s="844"/>
      <c r="K32" s="859"/>
      <c r="L32" s="859"/>
      <c r="M32" s="777"/>
      <c r="N32" s="777"/>
      <c r="O32" s="777"/>
      <c r="P32" s="777"/>
      <c r="Q32" s="777"/>
      <c r="R32" s="777"/>
      <c r="S32" s="777"/>
      <c r="T32" s="777"/>
      <c r="U32" s="777"/>
      <c r="V32" s="777"/>
    </row>
    <row r="33" spans="1:22" ht="12.75" hidden="1" customHeight="1" x14ac:dyDescent="0.25">
      <c r="A33" s="770" t="s">
        <v>228</v>
      </c>
      <c r="B33" s="818"/>
      <c r="C33" s="818"/>
      <c r="D33" s="818"/>
      <c r="E33" s="818"/>
      <c r="F33" s="818"/>
      <c r="G33" s="819"/>
      <c r="H33" s="777"/>
      <c r="I33" s="777"/>
      <c r="J33" s="777"/>
      <c r="K33" s="777"/>
      <c r="L33" s="777"/>
      <c r="M33" s="777"/>
      <c r="N33" s="777"/>
      <c r="O33" s="777"/>
      <c r="P33" s="777"/>
      <c r="Q33" s="777"/>
      <c r="R33" s="777"/>
      <c r="S33" s="777"/>
      <c r="T33" s="777"/>
      <c r="U33" s="777"/>
      <c r="V33" s="777"/>
    </row>
    <row r="34" spans="1:22" ht="12.75" hidden="1" customHeight="1" x14ac:dyDescent="0.25">
      <c r="A34" s="849" t="s">
        <v>226</v>
      </c>
      <c r="B34" s="832" t="s">
        <v>227</v>
      </c>
      <c r="C34" s="832"/>
      <c r="D34" s="833" t="s">
        <v>153</v>
      </c>
      <c r="E34" s="833" t="s">
        <v>229</v>
      </c>
      <c r="F34" s="833" t="s">
        <v>230</v>
      </c>
      <c r="G34" s="834" t="s">
        <v>231</v>
      </c>
      <c r="H34" s="777"/>
      <c r="I34" s="852"/>
      <c r="J34" s="853"/>
      <c r="K34" s="852"/>
      <c r="L34" s="852"/>
      <c r="M34" s="852"/>
      <c r="N34" s="852"/>
      <c r="O34" s="852"/>
      <c r="P34" s="854"/>
      <c r="Q34" s="855"/>
      <c r="R34" s="777"/>
      <c r="S34" s="777"/>
      <c r="T34" s="777"/>
      <c r="U34" s="777"/>
      <c r="V34" s="777"/>
    </row>
    <row r="35" spans="1:22" ht="12.75" hidden="1" customHeight="1" x14ac:dyDescent="0.25">
      <c r="A35" s="765" t="s">
        <v>211</v>
      </c>
      <c r="B35" s="751" t="s">
        <v>212</v>
      </c>
      <c r="C35" s="766"/>
      <c r="D35" s="752">
        <f>IF(F35&lt;&gt;0,G35/F35,0)</f>
        <v>0</v>
      </c>
      <c r="E35" s="767"/>
      <c r="F35" s="753">
        <f>F36</f>
        <v>0</v>
      </c>
      <c r="G35" s="754">
        <f>SUM(G36:G42)</f>
        <v>0</v>
      </c>
      <c r="H35" s="777"/>
      <c r="I35" s="852"/>
      <c r="J35" s="853"/>
      <c r="K35" s="852"/>
      <c r="L35" s="852"/>
      <c r="M35" s="852"/>
      <c r="N35" s="852"/>
      <c r="O35" s="852"/>
      <c r="P35" s="854"/>
      <c r="Q35" s="855"/>
      <c r="R35" s="777"/>
      <c r="S35" s="777"/>
      <c r="T35" s="777"/>
      <c r="U35" s="777"/>
      <c r="V35" s="777"/>
    </row>
    <row r="36" spans="1:22" ht="12.75" hidden="1" customHeight="1" x14ac:dyDescent="0.25">
      <c r="A36" s="782" t="s">
        <v>232</v>
      </c>
      <c r="B36" s="779" t="s">
        <v>233</v>
      </c>
      <c r="C36" s="779"/>
      <c r="D36" s="837">
        <v>27.65</v>
      </c>
      <c r="E36" s="838" t="e">
        <f t="shared" ref="E36:E42" si="9">F36/$F$36</f>
        <v>#DIV/0!</v>
      </c>
      <c r="F36" s="764"/>
      <c r="G36" s="835">
        <f t="shared" ref="G36:G42" si="10">F36*D36</f>
        <v>0</v>
      </c>
      <c r="H36" s="777"/>
      <c r="I36" s="852"/>
      <c r="J36" s="853"/>
      <c r="K36" s="852"/>
      <c r="L36" s="852"/>
      <c r="M36" s="852"/>
      <c r="N36" s="852"/>
      <c r="O36" s="852"/>
      <c r="P36" s="854"/>
      <c r="Q36" s="855"/>
      <c r="R36" s="777"/>
      <c r="S36" s="777"/>
      <c r="T36" s="777"/>
      <c r="U36" s="777"/>
      <c r="V36" s="777"/>
    </row>
    <row r="37" spans="1:22" ht="12.75" hidden="1" customHeight="1" x14ac:dyDescent="0.25">
      <c r="A37" s="782" t="s">
        <v>234</v>
      </c>
      <c r="B37" s="779" t="s">
        <v>235</v>
      </c>
      <c r="C37" s="779"/>
      <c r="D37" s="837">
        <v>24.74</v>
      </c>
      <c r="E37" s="838" t="e">
        <f t="shared" si="9"/>
        <v>#DIV/0!</v>
      </c>
      <c r="F37" s="764"/>
      <c r="G37" s="835">
        <f t="shared" si="10"/>
        <v>0</v>
      </c>
      <c r="H37" s="777"/>
      <c r="I37" s="852"/>
      <c r="J37" s="853"/>
      <c r="K37" s="852"/>
      <c r="L37" s="852"/>
      <c r="M37" s="852"/>
      <c r="N37" s="852"/>
      <c r="O37" s="852"/>
      <c r="P37" s="854"/>
      <c r="Q37" s="855"/>
      <c r="R37" s="777"/>
      <c r="S37" s="777"/>
      <c r="T37" s="777"/>
      <c r="U37" s="777"/>
      <c r="V37" s="777"/>
    </row>
    <row r="38" spans="1:22" ht="12.75" hidden="1" customHeight="1" x14ac:dyDescent="0.25">
      <c r="A38" s="782" t="s">
        <v>236</v>
      </c>
      <c r="B38" s="779" t="s">
        <v>237</v>
      </c>
      <c r="C38" s="779"/>
      <c r="D38" s="837">
        <v>7.33</v>
      </c>
      <c r="E38" s="838" t="e">
        <f t="shared" si="9"/>
        <v>#DIV/0!</v>
      </c>
      <c r="F38" s="764"/>
      <c r="G38" s="835">
        <f t="shared" si="10"/>
        <v>0</v>
      </c>
      <c r="H38" s="777"/>
      <c r="I38" s="852"/>
      <c r="J38" s="856"/>
      <c r="K38" s="852"/>
      <c r="L38" s="852"/>
      <c r="M38" s="852"/>
      <c r="N38" s="852"/>
      <c r="O38" s="852"/>
      <c r="P38" s="854"/>
      <c r="Q38" s="855"/>
      <c r="R38" s="777"/>
      <c r="S38" s="777"/>
      <c r="T38" s="777"/>
      <c r="U38" s="777"/>
      <c r="V38" s="777"/>
    </row>
    <row r="39" spans="1:22" ht="12.75" hidden="1" customHeight="1" x14ac:dyDescent="0.25">
      <c r="A39" s="782" t="s">
        <v>238</v>
      </c>
      <c r="B39" s="779" t="s">
        <v>239</v>
      </c>
      <c r="C39" s="779"/>
      <c r="D39" s="837">
        <v>0.86</v>
      </c>
      <c r="E39" s="838" t="e">
        <f t="shared" si="9"/>
        <v>#DIV/0!</v>
      </c>
      <c r="F39" s="828">
        <f>F40+(2*F38)</f>
        <v>0</v>
      </c>
      <c r="G39" s="835">
        <f t="shared" si="10"/>
        <v>0</v>
      </c>
      <c r="H39" s="777"/>
      <c r="I39" s="852"/>
      <c r="J39" s="857"/>
      <c r="K39" s="852"/>
      <c r="L39" s="852"/>
      <c r="M39" s="852"/>
      <c r="N39" s="852"/>
      <c r="O39" s="852"/>
      <c r="P39" s="854"/>
      <c r="Q39" s="855"/>
      <c r="R39" s="777"/>
      <c r="S39" s="777"/>
      <c r="T39" s="777"/>
      <c r="U39" s="777"/>
      <c r="V39" s="777"/>
    </row>
    <row r="40" spans="1:22" ht="12.75" hidden="1" customHeight="1" x14ac:dyDescent="0.25">
      <c r="A40" s="782" t="s">
        <v>240</v>
      </c>
      <c r="B40" s="779" t="s">
        <v>241</v>
      </c>
      <c r="C40" s="779"/>
      <c r="D40" s="837">
        <v>2.21</v>
      </c>
      <c r="E40" s="838" t="e">
        <f t="shared" si="9"/>
        <v>#DIV/0!</v>
      </c>
      <c r="F40" s="828">
        <f>F36+F41</f>
        <v>0</v>
      </c>
      <c r="G40" s="835">
        <f t="shared" si="10"/>
        <v>0</v>
      </c>
      <c r="H40" s="777"/>
      <c r="I40" s="852"/>
      <c r="J40" s="856"/>
      <c r="K40" s="852"/>
      <c r="L40" s="852"/>
      <c r="M40" s="852"/>
      <c r="N40" s="852"/>
      <c r="O40" s="852"/>
      <c r="P40" s="854"/>
      <c r="Q40" s="855"/>
      <c r="R40" s="777"/>
      <c r="S40" s="777"/>
      <c r="T40" s="777"/>
      <c r="U40" s="777"/>
      <c r="V40" s="777"/>
    </row>
    <row r="41" spans="1:22" ht="12.75" hidden="1" customHeight="1" x14ac:dyDescent="0.25">
      <c r="A41" s="782" t="s">
        <v>242</v>
      </c>
      <c r="B41" s="779" t="s">
        <v>243</v>
      </c>
      <c r="C41" s="779"/>
      <c r="D41" s="839">
        <v>0.11</v>
      </c>
      <c r="E41" s="838" t="e">
        <f t="shared" si="9"/>
        <v>#DIV/0!</v>
      </c>
      <c r="F41" s="764"/>
      <c r="G41" s="835">
        <f t="shared" si="10"/>
        <v>0</v>
      </c>
      <c r="H41" s="777"/>
      <c r="I41" s="852"/>
      <c r="J41" s="853"/>
      <c r="K41" s="852"/>
      <c r="L41" s="852"/>
      <c r="M41" s="852"/>
      <c r="N41" s="852"/>
      <c r="O41" s="852"/>
      <c r="P41" s="854"/>
      <c r="Q41" s="855"/>
      <c r="R41" s="777"/>
      <c r="S41" s="777"/>
      <c r="T41" s="777"/>
      <c r="U41" s="777"/>
      <c r="V41" s="777"/>
    </row>
    <row r="42" spans="1:22" ht="12.75" hidden="1" customHeight="1" x14ac:dyDescent="0.25">
      <c r="A42" s="783" t="s">
        <v>247</v>
      </c>
      <c r="B42" s="823" t="s">
        <v>244</v>
      </c>
      <c r="C42" s="823"/>
      <c r="D42" s="840">
        <v>0.21</v>
      </c>
      <c r="E42" s="841" t="e">
        <f t="shared" si="9"/>
        <v>#DIV/0!</v>
      </c>
      <c r="F42" s="833">
        <f>2*F38</f>
        <v>0</v>
      </c>
      <c r="G42" s="836">
        <f t="shared" si="10"/>
        <v>0</v>
      </c>
      <c r="H42" s="777"/>
      <c r="I42" s="777"/>
      <c r="J42" s="777"/>
      <c r="K42" s="777"/>
      <c r="L42" s="777"/>
      <c r="M42" s="777"/>
      <c r="N42" s="777"/>
      <c r="O42" s="777"/>
      <c r="P42" s="777"/>
      <c r="Q42" s="777"/>
      <c r="R42" s="777"/>
      <c r="S42" s="777"/>
      <c r="T42" s="777"/>
      <c r="U42" s="777"/>
      <c r="V42" s="777"/>
    </row>
    <row r="43" spans="1:22" ht="12.75" customHeight="1" x14ac:dyDescent="0.25">
      <c r="A43" s="777"/>
      <c r="B43" s="777"/>
      <c r="C43" s="777"/>
      <c r="D43" s="777"/>
      <c r="E43" s="777"/>
      <c r="F43" s="777"/>
      <c r="G43" s="777"/>
      <c r="H43" s="777"/>
      <c r="I43" s="777"/>
      <c r="J43" s="777"/>
      <c r="K43" s="777"/>
      <c r="L43" s="777"/>
      <c r="M43" s="777"/>
      <c r="N43" s="777"/>
      <c r="O43" s="777"/>
      <c r="P43" s="777"/>
      <c r="Q43" s="777"/>
      <c r="R43" s="777"/>
      <c r="S43" s="777"/>
      <c r="T43" s="777"/>
      <c r="U43" s="777"/>
      <c r="V43" s="777"/>
    </row>
    <row r="44" spans="1:22" ht="12.75" customHeight="1" x14ac:dyDescent="0.25">
      <c r="A44" s="843"/>
      <c r="B44" s="827"/>
      <c r="C44" s="826"/>
      <c r="D44" s="827"/>
      <c r="E44" s="827"/>
      <c r="F44" s="779"/>
      <c r="G44" s="779"/>
      <c r="H44" s="779"/>
      <c r="I44" s="777"/>
      <c r="J44" s="777"/>
      <c r="K44" s="777"/>
      <c r="L44" s="777"/>
      <c r="M44" s="777"/>
      <c r="N44" s="777"/>
      <c r="O44" s="777"/>
      <c r="P44" s="777"/>
      <c r="Q44" s="777"/>
      <c r="R44" s="777"/>
      <c r="S44" s="777"/>
      <c r="T44" s="777"/>
      <c r="U44" s="777"/>
      <c r="V44" s="777"/>
    </row>
    <row r="45" spans="1:22" x14ac:dyDescent="0.25">
      <c r="A45" s="777"/>
      <c r="B45" s="777"/>
      <c r="C45" s="777"/>
      <c r="D45" s="777"/>
      <c r="E45" s="777"/>
      <c r="F45" s="777"/>
      <c r="G45" s="777"/>
      <c r="H45" s="777"/>
      <c r="I45" s="777"/>
      <c r="J45" s="777"/>
      <c r="K45" s="777"/>
      <c r="L45" s="777"/>
      <c r="M45" s="777"/>
      <c r="N45" s="777"/>
      <c r="O45" s="777"/>
      <c r="P45" s="777"/>
      <c r="Q45" s="777"/>
      <c r="R45" s="777"/>
      <c r="S45" s="777"/>
      <c r="T45" s="777"/>
      <c r="U45" s="777"/>
      <c r="V45" s="777"/>
    </row>
    <row r="46" spans="1:22" x14ac:dyDescent="0.25">
      <c r="A46" s="777"/>
      <c r="B46" s="777"/>
      <c r="C46" s="777"/>
      <c r="D46" s="777"/>
      <c r="E46" s="777"/>
      <c r="F46" s="777"/>
      <c r="G46" s="777"/>
      <c r="H46" s="777"/>
      <c r="I46" s="777"/>
      <c r="J46" s="777"/>
      <c r="K46" s="777"/>
      <c r="L46" s="777"/>
      <c r="M46" s="777"/>
      <c r="N46" s="777"/>
      <c r="O46" s="777"/>
      <c r="P46" s="777"/>
      <c r="Q46" s="777"/>
      <c r="R46" s="777"/>
      <c r="S46" s="777"/>
      <c r="T46" s="777"/>
      <c r="U46" s="777"/>
      <c r="V46" s="777"/>
    </row>
    <row r="47" spans="1:22" x14ac:dyDescent="0.25">
      <c r="A47" s="777"/>
      <c r="B47" s="777"/>
      <c r="C47" s="777"/>
      <c r="D47" s="777"/>
      <c r="E47" s="777"/>
      <c r="F47" s="777"/>
      <c r="G47" s="777"/>
      <c r="H47" s="777"/>
      <c r="I47" s="777"/>
      <c r="J47" s="777"/>
      <c r="K47" s="777"/>
      <c r="L47" s="777"/>
      <c r="M47" s="777"/>
      <c r="N47" s="777"/>
      <c r="O47" s="777"/>
      <c r="P47" s="777"/>
      <c r="Q47" s="777"/>
      <c r="R47" s="777"/>
      <c r="S47" s="777"/>
      <c r="T47" s="777"/>
      <c r="U47" s="777"/>
      <c r="V47" s="777"/>
    </row>
    <row r="48" spans="1:22" x14ac:dyDescent="0.25">
      <c r="A48" s="777"/>
      <c r="B48" s="777"/>
      <c r="C48" s="777"/>
      <c r="D48" s="777"/>
      <c r="E48" s="777"/>
      <c r="F48" s="777"/>
      <c r="G48" s="777"/>
      <c r="H48" s="777"/>
      <c r="I48" s="777"/>
      <c r="J48" s="777"/>
      <c r="K48" s="777"/>
      <c r="L48" s="777"/>
      <c r="M48" s="777"/>
      <c r="N48" s="777"/>
      <c r="O48" s="777"/>
      <c r="P48" s="777"/>
      <c r="Q48" s="777"/>
      <c r="R48" s="777"/>
      <c r="S48" s="777"/>
      <c r="T48" s="777"/>
      <c r="U48" s="777"/>
      <c r="V48" s="777"/>
    </row>
    <row r="49" spans="1:22" x14ac:dyDescent="0.25">
      <c r="A49" s="777"/>
      <c r="B49" s="777"/>
      <c r="C49" s="777"/>
      <c r="D49" s="777"/>
      <c r="E49" s="777"/>
      <c r="F49" s="777"/>
      <c r="G49" s="777"/>
      <c r="H49" s="777"/>
      <c r="I49" s="777"/>
      <c r="J49" s="777"/>
      <c r="K49" s="777"/>
      <c r="L49" s="777"/>
      <c r="M49" s="777"/>
      <c r="N49" s="777"/>
      <c r="O49" s="777"/>
      <c r="P49" s="777"/>
      <c r="Q49" s="777"/>
      <c r="R49" s="777"/>
      <c r="S49" s="777"/>
      <c r="T49" s="777"/>
      <c r="U49" s="777"/>
      <c r="V49" s="777"/>
    </row>
    <row r="50" spans="1:22" x14ac:dyDescent="0.25">
      <c r="A50" s="777"/>
      <c r="B50" s="777"/>
      <c r="C50" s="777"/>
      <c r="D50" s="777"/>
      <c r="E50" s="777"/>
      <c r="F50" s="777"/>
      <c r="G50" s="777"/>
      <c r="H50" s="777"/>
      <c r="I50" s="777"/>
      <c r="J50" s="777"/>
      <c r="K50" s="777"/>
      <c r="L50" s="777"/>
      <c r="M50" s="777"/>
      <c r="N50" s="777"/>
      <c r="O50" s="777"/>
      <c r="P50" s="777"/>
      <c r="Q50" s="777"/>
      <c r="R50" s="777"/>
      <c r="S50" s="777"/>
      <c r="T50" s="777"/>
      <c r="U50" s="777"/>
      <c r="V50" s="777"/>
    </row>
    <row r="51" spans="1:22" x14ac:dyDescent="0.25">
      <c r="A51" s="777"/>
      <c r="B51" s="777"/>
      <c r="C51" s="777"/>
      <c r="D51" s="777"/>
      <c r="E51" s="777"/>
      <c r="F51" s="777"/>
      <c r="G51" s="777"/>
      <c r="H51" s="777"/>
      <c r="I51" s="777"/>
      <c r="J51" s="777"/>
      <c r="K51" s="777"/>
      <c r="L51" s="777"/>
      <c r="M51" s="777"/>
      <c r="N51" s="777"/>
      <c r="O51" s="777"/>
      <c r="P51" s="777"/>
      <c r="Q51" s="777"/>
      <c r="R51" s="777"/>
      <c r="S51" s="777"/>
      <c r="T51" s="777"/>
      <c r="U51" s="777"/>
      <c r="V51" s="777"/>
    </row>
    <row r="52" spans="1:22" x14ac:dyDescent="0.25">
      <c r="A52" s="777"/>
      <c r="B52" s="777"/>
      <c r="C52" s="777"/>
      <c r="D52" s="777"/>
      <c r="E52" s="777"/>
      <c r="F52" s="777"/>
      <c r="G52" s="777"/>
      <c r="H52" s="777"/>
      <c r="I52" s="777"/>
      <c r="J52" s="777"/>
      <c r="K52" s="777"/>
      <c r="L52" s="777"/>
      <c r="M52" s="777"/>
      <c r="N52" s="777"/>
      <c r="O52" s="777"/>
      <c r="P52" s="777"/>
      <c r="Q52" s="777"/>
      <c r="R52" s="777"/>
      <c r="S52" s="777"/>
      <c r="T52" s="777"/>
      <c r="U52" s="777"/>
      <c r="V52" s="777"/>
    </row>
    <row r="53" spans="1:22" x14ac:dyDescent="0.25">
      <c r="A53" s="777"/>
      <c r="B53" s="777"/>
      <c r="C53" s="777"/>
      <c r="D53" s="777"/>
      <c r="E53" s="777"/>
      <c r="F53" s="777"/>
      <c r="G53" s="777"/>
      <c r="H53" s="777"/>
      <c r="I53" s="777"/>
      <c r="J53" s="777"/>
      <c r="K53" s="777"/>
      <c r="L53" s="777"/>
      <c r="M53" s="777"/>
      <c r="N53" s="777"/>
      <c r="O53" s="777"/>
      <c r="P53" s="777"/>
      <c r="Q53" s="777"/>
      <c r="R53" s="777"/>
      <c r="S53" s="777"/>
      <c r="T53" s="777"/>
      <c r="U53" s="777"/>
      <c r="V53" s="777"/>
    </row>
    <row r="54" spans="1:22" x14ac:dyDescent="0.25">
      <c r="A54" s="777"/>
      <c r="B54" s="777"/>
      <c r="C54" s="777"/>
      <c r="D54" s="777"/>
      <c r="E54" s="777"/>
      <c r="F54" s="777"/>
      <c r="G54" s="777"/>
      <c r="H54" s="777"/>
      <c r="I54" s="777"/>
      <c r="J54" s="777"/>
      <c r="K54" s="777"/>
      <c r="L54" s="777"/>
      <c r="M54" s="777"/>
      <c r="N54" s="777"/>
      <c r="O54" s="777"/>
      <c r="P54" s="777"/>
      <c r="Q54" s="777"/>
      <c r="R54" s="777"/>
      <c r="S54" s="777"/>
      <c r="T54" s="777"/>
      <c r="U54" s="777"/>
      <c r="V54" s="777"/>
    </row>
    <row r="55" spans="1:22" x14ac:dyDescent="0.25">
      <c r="A55" s="777"/>
      <c r="B55" s="777"/>
      <c r="C55" s="777"/>
      <c r="D55" s="777"/>
      <c r="E55" s="777"/>
      <c r="F55" s="777"/>
      <c r="G55" s="777"/>
      <c r="H55" s="777"/>
      <c r="I55" s="777"/>
      <c r="J55" s="777"/>
      <c r="K55" s="777"/>
      <c r="L55" s="777"/>
      <c r="M55" s="777"/>
      <c r="N55" s="777"/>
      <c r="O55" s="777"/>
      <c r="P55" s="777"/>
      <c r="Q55" s="777"/>
      <c r="R55" s="777"/>
      <c r="S55" s="777"/>
      <c r="T55" s="777"/>
      <c r="U55" s="777"/>
      <c r="V55" s="777"/>
    </row>
    <row r="56" spans="1:22" x14ac:dyDescent="0.25">
      <c r="A56" s="777"/>
      <c r="B56" s="777"/>
      <c r="C56" s="777"/>
      <c r="D56" s="777"/>
      <c r="E56" s="777"/>
      <c r="F56" s="777"/>
      <c r="G56" s="777"/>
      <c r="H56" s="777"/>
      <c r="I56" s="777"/>
      <c r="J56" s="777"/>
      <c r="K56" s="777"/>
      <c r="L56" s="777"/>
      <c r="M56" s="777"/>
      <c r="N56" s="777"/>
      <c r="O56" s="777"/>
      <c r="P56" s="777"/>
      <c r="Q56" s="777"/>
      <c r="R56" s="777"/>
      <c r="S56" s="777"/>
      <c r="T56" s="777"/>
      <c r="U56" s="777"/>
      <c r="V56" s="777"/>
    </row>
    <row r="57" spans="1:22" x14ac:dyDescent="0.25">
      <c r="A57" s="777"/>
      <c r="B57" s="777"/>
      <c r="C57" s="777"/>
      <c r="D57" s="777"/>
      <c r="E57" s="777"/>
      <c r="F57" s="777"/>
      <c r="G57" s="777"/>
      <c r="H57" s="777"/>
      <c r="I57" s="777"/>
      <c r="J57" s="777"/>
      <c r="K57" s="777"/>
      <c r="L57" s="777"/>
      <c r="M57" s="777"/>
      <c r="N57" s="777"/>
      <c r="O57" s="777"/>
      <c r="P57" s="777"/>
      <c r="Q57" s="777"/>
      <c r="R57" s="777"/>
      <c r="S57" s="777"/>
      <c r="T57" s="777"/>
      <c r="U57" s="777"/>
      <c r="V57" s="777"/>
    </row>
    <row r="58" spans="1:22" x14ac:dyDescent="0.25">
      <c r="A58" s="777"/>
      <c r="B58" s="777"/>
      <c r="C58" s="777"/>
      <c r="D58" s="777"/>
      <c r="E58" s="777"/>
      <c r="F58" s="777"/>
      <c r="G58" s="777"/>
      <c r="H58" s="777"/>
      <c r="I58" s="777"/>
      <c r="J58" s="777"/>
      <c r="K58" s="777"/>
      <c r="L58" s="777"/>
      <c r="M58" s="777"/>
      <c r="N58" s="777"/>
      <c r="O58" s="777"/>
      <c r="P58" s="777"/>
      <c r="Q58" s="777"/>
      <c r="R58" s="777"/>
      <c r="S58" s="777"/>
      <c r="T58" s="777"/>
      <c r="U58" s="777"/>
      <c r="V58" s="777"/>
    </row>
    <row r="59" spans="1:22" x14ac:dyDescent="0.25">
      <c r="A59" s="777"/>
      <c r="B59" s="777"/>
      <c r="C59" s="777"/>
      <c r="D59" s="777"/>
      <c r="E59" s="777"/>
      <c r="F59" s="777"/>
      <c r="G59" s="777"/>
      <c r="H59" s="777"/>
      <c r="I59" s="777"/>
      <c r="J59" s="777"/>
      <c r="K59" s="777"/>
      <c r="L59" s="777"/>
      <c r="M59" s="777"/>
      <c r="N59" s="777"/>
      <c r="O59" s="777"/>
      <c r="P59" s="777"/>
      <c r="Q59" s="777"/>
      <c r="R59" s="777"/>
      <c r="S59" s="777"/>
      <c r="T59" s="777"/>
      <c r="U59" s="777"/>
      <c r="V59" s="777"/>
    </row>
    <row r="60" spans="1:22" x14ac:dyDescent="0.25">
      <c r="A60" s="777"/>
      <c r="B60" s="777"/>
      <c r="C60" s="777"/>
      <c r="D60" s="777"/>
      <c r="E60" s="777"/>
      <c r="F60" s="777"/>
      <c r="G60" s="777"/>
      <c r="H60" s="777"/>
      <c r="I60" s="777"/>
      <c r="J60" s="777"/>
      <c r="K60" s="777"/>
      <c r="L60" s="777"/>
      <c r="M60" s="777"/>
      <c r="N60" s="777"/>
      <c r="O60" s="777"/>
      <c r="P60" s="777"/>
      <c r="Q60" s="777"/>
      <c r="R60" s="777"/>
      <c r="S60" s="777"/>
      <c r="T60" s="777"/>
      <c r="U60" s="777"/>
      <c r="V60" s="777"/>
    </row>
    <row r="61" spans="1:22" x14ac:dyDescent="0.25">
      <c r="A61" s="777"/>
      <c r="B61" s="777"/>
      <c r="C61" s="777"/>
      <c r="D61" s="777"/>
      <c r="E61" s="777"/>
      <c r="F61" s="777"/>
      <c r="G61" s="777"/>
      <c r="H61" s="777"/>
      <c r="I61" s="777"/>
      <c r="J61" s="777"/>
      <c r="K61" s="777"/>
      <c r="L61" s="777"/>
      <c r="M61" s="777"/>
      <c r="N61" s="777"/>
      <c r="O61" s="777"/>
      <c r="P61" s="777"/>
      <c r="Q61" s="777"/>
      <c r="R61" s="777"/>
      <c r="S61" s="777"/>
      <c r="T61" s="777"/>
      <c r="U61" s="777"/>
      <c r="V61" s="777"/>
    </row>
    <row r="62" spans="1:22" x14ac:dyDescent="0.25">
      <c r="A62" s="777"/>
      <c r="B62" s="777"/>
      <c r="C62" s="777"/>
      <c r="D62" s="777"/>
      <c r="E62" s="777"/>
      <c r="F62" s="777"/>
      <c r="G62" s="777"/>
      <c r="H62" s="777"/>
      <c r="I62" s="777"/>
      <c r="J62" s="777"/>
      <c r="K62" s="777"/>
      <c r="L62" s="777"/>
      <c r="M62" s="777"/>
      <c r="N62" s="777"/>
      <c r="O62" s="777"/>
      <c r="P62" s="777"/>
      <c r="Q62" s="777"/>
      <c r="R62" s="777"/>
      <c r="S62" s="777"/>
      <c r="T62" s="777"/>
      <c r="U62" s="777"/>
      <c r="V62" s="777"/>
    </row>
    <row r="63" spans="1:22" x14ac:dyDescent="0.25">
      <c r="A63" s="777"/>
      <c r="B63" s="777"/>
      <c r="C63" s="777"/>
      <c r="D63" s="777"/>
      <c r="E63" s="777"/>
      <c r="F63" s="777"/>
      <c r="G63" s="777"/>
      <c r="H63" s="777"/>
      <c r="I63" s="777"/>
      <c r="J63" s="777"/>
      <c r="K63" s="777"/>
      <c r="L63" s="777"/>
      <c r="M63" s="777"/>
      <c r="N63" s="777"/>
      <c r="O63" s="777"/>
      <c r="P63" s="777"/>
      <c r="Q63" s="777"/>
      <c r="R63" s="777"/>
      <c r="S63" s="777"/>
      <c r="T63" s="777"/>
      <c r="U63" s="777"/>
      <c r="V63" s="777"/>
    </row>
    <row r="64" spans="1:22" x14ac:dyDescent="0.25">
      <c r="A64" s="777"/>
      <c r="B64" s="777"/>
      <c r="C64" s="777"/>
      <c r="D64" s="777"/>
      <c r="E64" s="777"/>
      <c r="F64" s="777"/>
      <c r="G64" s="777"/>
      <c r="H64" s="777"/>
      <c r="I64" s="777"/>
      <c r="J64" s="777"/>
      <c r="K64" s="777"/>
      <c r="L64" s="777"/>
      <c r="M64" s="777"/>
      <c r="N64" s="777"/>
      <c r="O64" s="777"/>
      <c r="P64" s="777"/>
      <c r="Q64" s="777"/>
      <c r="R64" s="777"/>
      <c r="S64" s="777"/>
      <c r="T64" s="777"/>
      <c r="U64" s="777"/>
      <c r="V64" s="777"/>
    </row>
    <row r="65" spans="1:22" x14ac:dyDescent="0.25">
      <c r="A65" s="777"/>
      <c r="B65" s="777"/>
      <c r="C65" s="777"/>
      <c r="D65" s="777"/>
      <c r="E65" s="777"/>
      <c r="F65" s="777"/>
      <c r="G65" s="777"/>
      <c r="H65" s="777"/>
      <c r="I65" s="777"/>
      <c r="J65" s="777"/>
      <c r="K65" s="777"/>
      <c r="L65" s="777"/>
      <c r="M65" s="777"/>
      <c r="N65" s="777"/>
      <c r="O65" s="777"/>
      <c r="P65" s="777"/>
      <c r="Q65" s="777"/>
      <c r="R65" s="777"/>
      <c r="S65" s="777"/>
      <c r="T65" s="777"/>
      <c r="U65" s="777"/>
      <c r="V65" s="777"/>
    </row>
    <row r="66" spans="1:22" x14ac:dyDescent="0.25">
      <c r="A66" s="777"/>
      <c r="B66" s="777"/>
      <c r="C66" s="777"/>
      <c r="D66" s="777"/>
      <c r="E66" s="777"/>
      <c r="F66" s="777"/>
      <c r="G66" s="777"/>
      <c r="H66" s="777"/>
      <c r="I66" s="777"/>
      <c r="J66" s="777"/>
      <c r="K66" s="777"/>
      <c r="L66" s="777"/>
      <c r="M66" s="777"/>
      <c r="N66" s="777"/>
      <c r="O66" s="777"/>
      <c r="P66" s="777"/>
      <c r="Q66" s="777"/>
      <c r="R66" s="777"/>
      <c r="S66" s="777"/>
      <c r="T66" s="777"/>
      <c r="U66" s="777"/>
      <c r="V66" s="777"/>
    </row>
    <row r="67" spans="1:22" x14ac:dyDescent="0.25">
      <c r="A67" s="777"/>
      <c r="B67" s="777"/>
      <c r="C67" s="777"/>
      <c r="D67" s="777"/>
      <c r="E67" s="777"/>
      <c r="F67" s="777"/>
      <c r="G67" s="777"/>
      <c r="H67" s="777"/>
      <c r="I67" s="777"/>
      <c r="J67" s="777"/>
      <c r="K67" s="777"/>
      <c r="L67" s="777"/>
      <c r="M67" s="777"/>
      <c r="N67" s="777"/>
      <c r="O67" s="777"/>
      <c r="P67" s="777"/>
      <c r="Q67" s="777"/>
      <c r="R67" s="777"/>
      <c r="S67" s="777"/>
      <c r="T67" s="777"/>
      <c r="U67" s="777"/>
      <c r="V67" s="777"/>
    </row>
    <row r="68" spans="1:22" x14ac:dyDescent="0.25">
      <c r="A68" s="777"/>
      <c r="B68" s="777"/>
      <c r="C68" s="777"/>
      <c r="D68" s="777"/>
      <c r="E68" s="777"/>
      <c r="F68" s="777"/>
      <c r="G68" s="777"/>
      <c r="H68" s="777"/>
      <c r="I68" s="777"/>
      <c r="J68" s="777"/>
      <c r="K68" s="777"/>
      <c r="L68" s="777"/>
      <c r="M68" s="777"/>
      <c r="N68" s="777"/>
      <c r="O68" s="777"/>
      <c r="P68" s="777"/>
      <c r="Q68" s="777"/>
      <c r="R68" s="777"/>
      <c r="S68" s="777"/>
      <c r="T68" s="777"/>
      <c r="U68" s="777"/>
      <c r="V68" s="777"/>
    </row>
    <row r="69" spans="1:22" x14ac:dyDescent="0.25">
      <c r="A69" s="777"/>
      <c r="B69" s="777"/>
      <c r="C69" s="777"/>
      <c r="D69" s="777"/>
      <c r="E69" s="777"/>
      <c r="F69" s="777"/>
      <c r="G69" s="777"/>
      <c r="H69" s="777"/>
      <c r="I69" s="777"/>
      <c r="J69" s="777"/>
      <c r="K69" s="777"/>
      <c r="L69" s="777"/>
      <c r="M69" s="777"/>
      <c r="N69" s="777"/>
      <c r="O69" s="777"/>
      <c r="P69" s="777"/>
      <c r="Q69" s="777"/>
      <c r="R69" s="777"/>
      <c r="S69" s="777"/>
      <c r="T69" s="777"/>
      <c r="U69" s="777"/>
      <c r="V69" s="777"/>
    </row>
    <row r="70" spans="1:22" x14ac:dyDescent="0.25">
      <c r="A70" s="777"/>
      <c r="B70" s="777"/>
      <c r="C70" s="777"/>
      <c r="D70" s="777"/>
      <c r="E70" s="777"/>
      <c r="F70" s="777"/>
      <c r="G70" s="777"/>
      <c r="H70" s="777"/>
      <c r="I70" s="777"/>
      <c r="J70" s="777"/>
      <c r="K70" s="777"/>
      <c r="L70" s="777"/>
      <c r="M70" s="777"/>
      <c r="N70" s="777"/>
      <c r="O70" s="777"/>
      <c r="P70" s="777"/>
      <c r="Q70" s="777"/>
      <c r="R70" s="777"/>
      <c r="S70" s="777"/>
      <c r="T70" s="777"/>
      <c r="U70" s="777"/>
      <c r="V70" s="777"/>
    </row>
    <row r="71" spans="1:22" x14ac:dyDescent="0.25">
      <c r="A71" s="777"/>
      <c r="B71" s="777"/>
      <c r="C71" s="777"/>
      <c r="D71" s="777"/>
      <c r="E71" s="777"/>
      <c r="F71" s="777"/>
      <c r="G71" s="777"/>
      <c r="H71" s="777"/>
      <c r="I71" s="777"/>
      <c r="J71" s="777"/>
      <c r="K71" s="777"/>
      <c r="L71" s="777"/>
      <c r="M71" s="777"/>
      <c r="N71" s="777"/>
      <c r="O71" s="777"/>
      <c r="P71" s="777"/>
      <c r="Q71" s="777"/>
      <c r="R71" s="777"/>
      <c r="S71" s="777"/>
      <c r="T71" s="777"/>
      <c r="U71" s="777"/>
      <c r="V71" s="777"/>
    </row>
    <row r="72" spans="1:22" x14ac:dyDescent="0.25">
      <c r="A72" s="777"/>
      <c r="B72" s="777"/>
      <c r="C72" s="777"/>
      <c r="D72" s="777"/>
      <c r="E72" s="777"/>
      <c r="F72" s="777"/>
      <c r="G72" s="777"/>
      <c r="H72" s="777"/>
      <c r="I72" s="777"/>
      <c r="J72" s="777"/>
      <c r="K72" s="777"/>
      <c r="L72" s="777"/>
      <c r="M72" s="777"/>
      <c r="N72" s="777"/>
      <c r="O72" s="777"/>
      <c r="P72" s="777"/>
      <c r="Q72" s="777"/>
      <c r="R72" s="777"/>
      <c r="S72" s="777"/>
      <c r="T72" s="777"/>
      <c r="U72" s="777"/>
      <c r="V72" s="777"/>
    </row>
    <row r="73" spans="1:22" x14ac:dyDescent="0.25">
      <c r="A73" s="777"/>
      <c r="B73" s="777"/>
      <c r="C73" s="777"/>
      <c r="D73" s="777"/>
      <c r="E73" s="777"/>
      <c r="F73" s="777"/>
      <c r="G73" s="777"/>
      <c r="H73" s="777"/>
      <c r="I73" s="777"/>
      <c r="J73" s="777"/>
      <c r="K73" s="777"/>
      <c r="L73" s="777"/>
      <c r="M73" s="777"/>
      <c r="N73" s="777"/>
      <c r="O73" s="777"/>
      <c r="P73" s="777"/>
      <c r="Q73" s="777"/>
      <c r="R73" s="777"/>
      <c r="S73" s="777"/>
      <c r="T73" s="777"/>
      <c r="U73" s="777"/>
      <c r="V73" s="777"/>
    </row>
    <row r="74" spans="1:22" x14ac:dyDescent="0.25">
      <c r="A74" s="777"/>
      <c r="B74" s="777"/>
      <c r="C74" s="777"/>
      <c r="D74" s="777"/>
      <c r="E74" s="777"/>
      <c r="F74" s="777"/>
      <c r="G74" s="777"/>
      <c r="H74" s="777"/>
      <c r="I74" s="777"/>
      <c r="J74" s="777"/>
      <c r="K74" s="777"/>
      <c r="L74" s="777"/>
      <c r="M74" s="777"/>
      <c r="N74" s="777"/>
      <c r="O74" s="777"/>
      <c r="P74" s="777"/>
      <c r="Q74" s="777"/>
      <c r="R74" s="777"/>
      <c r="S74" s="777"/>
      <c r="T74" s="777"/>
      <c r="U74" s="777"/>
      <c r="V74" s="777"/>
    </row>
    <row r="75" spans="1:22" x14ac:dyDescent="0.25">
      <c r="A75" s="777"/>
      <c r="B75" s="777"/>
      <c r="C75" s="777"/>
      <c r="D75" s="777"/>
      <c r="E75" s="777"/>
      <c r="F75" s="777"/>
      <c r="G75" s="777"/>
      <c r="H75" s="777"/>
      <c r="I75" s="777"/>
      <c r="J75" s="777"/>
      <c r="K75" s="777"/>
      <c r="L75" s="777"/>
      <c r="M75" s="777"/>
      <c r="N75" s="777"/>
      <c r="O75" s="777"/>
      <c r="P75" s="777"/>
      <c r="Q75" s="777"/>
      <c r="R75" s="777"/>
      <c r="S75" s="777"/>
      <c r="T75" s="777"/>
      <c r="U75" s="777"/>
      <c r="V75" s="777"/>
    </row>
    <row r="76" spans="1:22" x14ac:dyDescent="0.25">
      <c r="A76" s="777"/>
      <c r="B76" s="777"/>
      <c r="C76" s="777"/>
      <c r="D76" s="777"/>
      <c r="E76" s="777"/>
      <c r="F76" s="777"/>
      <c r="G76" s="777"/>
      <c r="H76" s="777"/>
      <c r="I76" s="777"/>
      <c r="J76" s="777"/>
      <c r="K76" s="777"/>
      <c r="L76" s="777"/>
      <c r="M76" s="777"/>
      <c r="N76" s="777"/>
      <c r="O76" s="777"/>
      <c r="P76" s="777"/>
      <c r="Q76" s="777"/>
      <c r="R76" s="777"/>
      <c r="S76" s="777"/>
      <c r="T76" s="777"/>
      <c r="U76" s="777"/>
      <c r="V76" s="777"/>
    </row>
    <row r="77" spans="1:22" x14ac:dyDescent="0.25">
      <c r="A77" s="777"/>
      <c r="B77" s="777"/>
      <c r="C77" s="777"/>
      <c r="D77" s="777"/>
      <c r="E77" s="777"/>
      <c r="F77" s="777"/>
      <c r="G77" s="777"/>
      <c r="H77" s="777"/>
      <c r="I77" s="777"/>
      <c r="J77" s="777"/>
      <c r="K77" s="777"/>
      <c r="L77" s="777"/>
      <c r="M77" s="777"/>
      <c r="N77" s="777"/>
      <c r="O77" s="777"/>
      <c r="P77" s="777"/>
      <c r="Q77" s="777"/>
      <c r="R77" s="777"/>
      <c r="S77" s="777"/>
      <c r="T77" s="777"/>
      <c r="U77" s="777"/>
      <c r="V77" s="777"/>
    </row>
    <row r="78" spans="1:22" x14ac:dyDescent="0.25">
      <c r="A78" s="777"/>
      <c r="B78" s="777"/>
      <c r="C78" s="777"/>
      <c r="D78" s="777"/>
      <c r="E78" s="777"/>
      <c r="F78" s="777"/>
      <c r="G78" s="777"/>
      <c r="H78" s="777"/>
      <c r="I78" s="777"/>
      <c r="J78" s="777"/>
      <c r="K78" s="777"/>
      <c r="L78" s="777"/>
      <c r="M78" s="777"/>
      <c r="N78" s="777"/>
      <c r="O78" s="777"/>
      <c r="P78" s="777"/>
      <c r="Q78" s="777"/>
      <c r="R78" s="777"/>
      <c r="S78" s="777"/>
      <c r="T78" s="777"/>
      <c r="U78" s="777"/>
      <c r="V78" s="777"/>
    </row>
    <row r="79" spans="1:22" x14ac:dyDescent="0.25">
      <c r="A79" s="777"/>
      <c r="B79" s="777"/>
      <c r="C79" s="777"/>
      <c r="D79" s="777"/>
      <c r="E79" s="777"/>
      <c r="F79" s="777"/>
      <c r="G79" s="777"/>
      <c r="H79" s="777"/>
      <c r="I79" s="777"/>
      <c r="J79" s="777"/>
      <c r="K79" s="777"/>
      <c r="L79" s="777"/>
      <c r="M79" s="777"/>
      <c r="N79" s="777"/>
      <c r="O79" s="777"/>
      <c r="P79" s="777"/>
      <c r="Q79" s="777"/>
      <c r="R79" s="777"/>
      <c r="S79" s="777"/>
      <c r="T79" s="777"/>
      <c r="U79" s="777"/>
      <c r="V79" s="777"/>
    </row>
    <row r="80" spans="1:22" x14ac:dyDescent="0.25">
      <c r="A80" s="777"/>
      <c r="B80" s="777"/>
      <c r="C80" s="777"/>
      <c r="D80" s="777"/>
      <c r="E80" s="777"/>
      <c r="F80" s="777"/>
      <c r="G80" s="777"/>
      <c r="H80" s="777"/>
      <c r="I80" s="777"/>
      <c r="J80" s="777"/>
      <c r="K80" s="777"/>
      <c r="L80" s="777"/>
      <c r="M80" s="777"/>
      <c r="N80" s="777"/>
      <c r="O80" s="777"/>
      <c r="P80" s="777"/>
      <c r="Q80" s="777"/>
      <c r="R80" s="777"/>
      <c r="S80" s="777"/>
      <c r="T80" s="777"/>
      <c r="U80" s="777"/>
      <c r="V80" s="777"/>
    </row>
    <row r="81" spans="1:22" x14ac:dyDescent="0.25">
      <c r="A81" s="777"/>
      <c r="B81" s="777"/>
      <c r="C81" s="777"/>
      <c r="D81" s="777"/>
      <c r="E81" s="777"/>
      <c r="F81" s="777"/>
      <c r="G81" s="777"/>
      <c r="H81" s="777"/>
      <c r="I81" s="777"/>
      <c r="J81" s="777"/>
      <c r="K81" s="777"/>
      <c r="L81" s="777"/>
      <c r="M81" s="777"/>
      <c r="N81" s="777"/>
      <c r="O81" s="777"/>
      <c r="P81" s="777"/>
      <c r="Q81" s="777"/>
      <c r="R81" s="777"/>
      <c r="S81" s="777"/>
      <c r="T81" s="777"/>
      <c r="U81" s="777"/>
      <c r="V81" s="777"/>
    </row>
    <row r="82" spans="1:22" x14ac:dyDescent="0.25">
      <c r="A82" s="777"/>
      <c r="B82" s="777"/>
      <c r="C82" s="777"/>
      <c r="D82" s="777"/>
      <c r="E82" s="777"/>
      <c r="F82" s="777"/>
      <c r="G82" s="777"/>
      <c r="H82" s="777"/>
      <c r="I82" s="777"/>
      <c r="J82" s="777"/>
      <c r="K82" s="777"/>
      <c r="L82" s="777"/>
      <c r="M82" s="777"/>
      <c r="N82" s="777"/>
      <c r="O82" s="777"/>
      <c r="P82" s="777"/>
      <c r="Q82" s="777"/>
      <c r="R82" s="777"/>
      <c r="S82" s="777"/>
      <c r="T82" s="777"/>
      <c r="U82" s="777"/>
      <c r="V82" s="777"/>
    </row>
    <row r="83" spans="1:22" x14ac:dyDescent="0.25">
      <c r="A83" s="777"/>
      <c r="B83" s="777"/>
      <c r="C83" s="777"/>
      <c r="D83" s="777"/>
      <c r="E83" s="777"/>
      <c r="F83" s="777"/>
      <c r="G83" s="777"/>
      <c r="H83" s="777"/>
      <c r="I83" s="777"/>
      <c r="J83" s="777"/>
      <c r="K83" s="777"/>
      <c r="L83" s="777"/>
      <c r="M83" s="777"/>
      <c r="N83" s="777"/>
      <c r="O83" s="777"/>
      <c r="P83" s="777"/>
      <c r="Q83" s="777"/>
      <c r="R83" s="777"/>
      <c r="S83" s="777"/>
      <c r="T83" s="777"/>
      <c r="U83" s="777"/>
      <c r="V83" s="777"/>
    </row>
    <row r="84" spans="1:22" x14ac:dyDescent="0.25">
      <c r="A84" s="777"/>
      <c r="B84" s="777"/>
      <c r="C84" s="777"/>
      <c r="D84" s="777"/>
      <c r="E84" s="777"/>
      <c r="F84" s="777"/>
      <c r="G84" s="777"/>
      <c r="H84" s="777"/>
      <c r="I84" s="777"/>
      <c r="J84" s="777"/>
      <c r="K84" s="777"/>
      <c r="L84" s="777"/>
      <c r="M84" s="777"/>
      <c r="N84" s="777"/>
      <c r="O84" s="777"/>
      <c r="P84" s="777"/>
      <c r="Q84" s="777"/>
      <c r="R84" s="777"/>
      <c r="S84" s="777"/>
      <c r="T84" s="777"/>
      <c r="U84" s="777"/>
      <c r="V84" s="777"/>
    </row>
    <row r="85" spans="1:22" x14ac:dyDescent="0.25">
      <c r="A85" s="777"/>
      <c r="B85" s="777"/>
      <c r="C85" s="777"/>
      <c r="D85" s="777"/>
      <c r="E85" s="777"/>
      <c r="F85" s="777"/>
      <c r="G85" s="777"/>
      <c r="H85" s="777"/>
      <c r="I85" s="777"/>
      <c r="J85" s="777"/>
      <c r="K85" s="777"/>
      <c r="L85" s="777"/>
      <c r="M85" s="777"/>
      <c r="N85" s="777"/>
      <c r="O85" s="777"/>
      <c r="P85" s="777"/>
      <c r="Q85" s="777"/>
      <c r="R85" s="777"/>
      <c r="S85" s="777"/>
      <c r="T85" s="777"/>
      <c r="U85" s="777"/>
      <c r="V85" s="777"/>
    </row>
    <row r="86" spans="1:22" x14ac:dyDescent="0.25">
      <c r="A86" s="777"/>
      <c r="B86" s="777"/>
      <c r="C86" s="777"/>
      <c r="D86" s="777"/>
      <c r="E86" s="777"/>
      <c r="F86" s="777"/>
      <c r="G86" s="777"/>
      <c r="H86" s="777"/>
      <c r="I86" s="777"/>
      <c r="J86" s="777"/>
      <c r="K86" s="777"/>
      <c r="L86" s="777"/>
      <c r="M86" s="777"/>
      <c r="N86" s="777"/>
      <c r="O86" s="777"/>
      <c r="P86" s="777"/>
      <c r="Q86" s="777"/>
      <c r="R86" s="777"/>
      <c r="S86" s="777"/>
      <c r="T86" s="777"/>
      <c r="U86" s="777"/>
      <c r="V86" s="777"/>
    </row>
    <row r="87" spans="1:22" x14ac:dyDescent="0.25">
      <c r="A87" s="777"/>
      <c r="B87" s="777"/>
      <c r="C87" s="777"/>
      <c r="D87" s="777"/>
      <c r="E87" s="777"/>
      <c r="F87" s="777"/>
      <c r="G87" s="777"/>
      <c r="H87" s="777"/>
      <c r="I87" s="777"/>
      <c r="J87" s="777"/>
      <c r="K87" s="777"/>
      <c r="L87" s="777"/>
      <c r="M87" s="777"/>
      <c r="N87" s="777"/>
      <c r="O87" s="777"/>
      <c r="P87" s="777"/>
      <c r="Q87" s="777"/>
      <c r="R87" s="777"/>
      <c r="S87" s="777"/>
      <c r="T87" s="777"/>
      <c r="U87" s="777"/>
      <c r="V87" s="777"/>
    </row>
    <row r="88" spans="1:22" x14ac:dyDescent="0.25">
      <c r="A88" s="777"/>
      <c r="B88" s="777"/>
      <c r="C88" s="777"/>
      <c r="D88" s="777"/>
      <c r="E88" s="777"/>
      <c r="F88" s="777"/>
      <c r="G88" s="777"/>
      <c r="H88" s="777"/>
      <c r="I88" s="777"/>
      <c r="J88" s="777"/>
      <c r="K88" s="777"/>
      <c r="L88" s="777"/>
      <c r="M88" s="777"/>
      <c r="N88" s="777"/>
      <c r="O88" s="777"/>
      <c r="P88" s="777"/>
      <c r="Q88" s="777"/>
      <c r="R88" s="777"/>
      <c r="S88" s="777"/>
      <c r="T88" s="777"/>
      <c r="U88" s="777"/>
      <c r="V88" s="777"/>
    </row>
    <row r="89" spans="1:22" x14ac:dyDescent="0.25">
      <c r="A89" s="777"/>
      <c r="B89" s="777"/>
      <c r="C89" s="777"/>
      <c r="D89" s="777"/>
      <c r="E89" s="777"/>
      <c r="F89" s="777"/>
      <c r="G89" s="777"/>
      <c r="H89" s="777"/>
      <c r="I89" s="777"/>
      <c r="J89" s="777"/>
      <c r="K89" s="777"/>
      <c r="L89" s="777"/>
      <c r="M89" s="777"/>
      <c r="N89" s="777"/>
      <c r="O89" s="777"/>
      <c r="P89" s="777"/>
      <c r="Q89" s="777"/>
      <c r="R89" s="777"/>
      <c r="S89" s="777"/>
      <c r="T89" s="777"/>
      <c r="U89" s="777"/>
      <c r="V89" s="777"/>
    </row>
    <row r="90" spans="1:22" x14ac:dyDescent="0.25">
      <c r="A90" s="777"/>
      <c r="B90" s="777"/>
      <c r="C90" s="777"/>
      <c r="D90" s="777"/>
      <c r="E90" s="777"/>
      <c r="F90" s="777"/>
      <c r="G90" s="777"/>
      <c r="H90" s="777"/>
      <c r="I90" s="777"/>
      <c r="J90" s="777"/>
      <c r="K90" s="777"/>
      <c r="L90" s="777"/>
      <c r="M90" s="777"/>
      <c r="N90" s="777"/>
      <c r="O90" s="777"/>
      <c r="P90" s="777"/>
      <c r="Q90" s="777"/>
      <c r="R90" s="777"/>
      <c r="S90" s="777"/>
      <c r="T90" s="777"/>
      <c r="U90" s="777"/>
      <c r="V90" s="777"/>
    </row>
    <row r="91" spans="1:22" x14ac:dyDescent="0.25">
      <c r="A91" s="777"/>
      <c r="B91" s="777"/>
      <c r="C91" s="777"/>
      <c r="D91" s="777"/>
      <c r="E91" s="777"/>
      <c r="F91" s="777"/>
      <c r="G91" s="777"/>
      <c r="H91" s="777"/>
      <c r="I91" s="777"/>
      <c r="J91" s="777"/>
      <c r="K91" s="777"/>
      <c r="L91" s="777"/>
      <c r="M91" s="777"/>
      <c r="N91" s="777"/>
      <c r="O91" s="777"/>
      <c r="P91" s="777"/>
      <c r="Q91" s="777"/>
      <c r="R91" s="777"/>
      <c r="S91" s="777"/>
      <c r="T91" s="777"/>
      <c r="U91" s="777"/>
      <c r="V91" s="777"/>
    </row>
    <row r="92" spans="1:22" x14ac:dyDescent="0.25">
      <c r="A92" s="777"/>
      <c r="B92" s="777"/>
      <c r="C92" s="777"/>
      <c r="D92" s="777"/>
      <c r="E92" s="777"/>
      <c r="F92" s="777"/>
      <c r="G92" s="777"/>
      <c r="H92" s="777"/>
      <c r="I92" s="777"/>
      <c r="J92" s="777"/>
      <c r="K92" s="777"/>
      <c r="L92" s="777"/>
      <c r="M92" s="777"/>
      <c r="N92" s="777"/>
      <c r="O92" s="777"/>
      <c r="P92" s="777"/>
      <c r="Q92" s="777"/>
      <c r="R92" s="777"/>
      <c r="S92" s="777"/>
      <c r="T92" s="777"/>
      <c r="U92" s="777"/>
      <c r="V92" s="777"/>
    </row>
    <row r="93" spans="1:22" x14ac:dyDescent="0.25">
      <c r="A93" s="777"/>
      <c r="B93" s="777"/>
      <c r="C93" s="777"/>
      <c r="D93" s="777"/>
      <c r="E93" s="777"/>
      <c r="F93" s="777"/>
      <c r="G93" s="777"/>
      <c r="H93" s="777"/>
      <c r="I93" s="777"/>
      <c r="J93" s="777"/>
      <c r="K93" s="777"/>
      <c r="L93" s="777"/>
      <c r="M93" s="777"/>
      <c r="N93" s="777"/>
      <c r="O93" s="777"/>
      <c r="P93" s="777"/>
      <c r="Q93" s="777"/>
      <c r="R93" s="777"/>
      <c r="S93" s="777"/>
      <c r="T93" s="777"/>
      <c r="U93" s="777"/>
      <c r="V93" s="777"/>
    </row>
    <row r="94" spans="1:22" x14ac:dyDescent="0.25">
      <c r="A94" s="777"/>
      <c r="B94" s="777"/>
      <c r="C94" s="777"/>
      <c r="D94" s="777"/>
      <c r="E94" s="777"/>
      <c r="F94" s="777"/>
      <c r="G94" s="777"/>
      <c r="H94" s="777"/>
      <c r="I94" s="777"/>
      <c r="J94" s="777"/>
      <c r="K94" s="777"/>
      <c r="L94" s="777"/>
      <c r="M94" s="777"/>
      <c r="N94" s="777"/>
      <c r="O94" s="777"/>
      <c r="P94" s="777"/>
      <c r="Q94" s="777"/>
      <c r="R94" s="777"/>
      <c r="S94" s="777"/>
      <c r="T94" s="777"/>
      <c r="U94" s="777"/>
      <c r="V94" s="777"/>
    </row>
    <row r="95" spans="1:22" x14ac:dyDescent="0.25">
      <c r="A95" s="777"/>
      <c r="B95" s="777"/>
      <c r="C95" s="777"/>
      <c r="D95" s="777"/>
      <c r="E95" s="777"/>
      <c r="F95" s="777"/>
      <c r="G95" s="777"/>
      <c r="H95" s="777"/>
      <c r="I95" s="777"/>
      <c r="J95" s="777"/>
      <c r="K95" s="777"/>
      <c r="L95" s="777"/>
      <c r="M95" s="777"/>
      <c r="N95" s="777"/>
      <c r="O95" s="777"/>
      <c r="P95" s="777"/>
      <c r="Q95" s="777"/>
      <c r="R95" s="777"/>
      <c r="S95" s="777"/>
      <c r="T95" s="777"/>
      <c r="U95" s="777"/>
      <c r="V95" s="777"/>
    </row>
    <row r="96" spans="1:22" x14ac:dyDescent="0.25">
      <c r="A96" s="777"/>
      <c r="B96" s="777"/>
      <c r="C96" s="777"/>
      <c r="D96" s="777"/>
      <c r="E96" s="777"/>
      <c r="F96" s="777"/>
      <c r="G96" s="777"/>
      <c r="H96" s="777"/>
      <c r="I96" s="777"/>
      <c r="J96" s="777"/>
      <c r="K96" s="777"/>
      <c r="L96" s="777"/>
      <c r="M96" s="777"/>
      <c r="N96" s="777"/>
      <c r="O96" s="777"/>
      <c r="P96" s="777"/>
      <c r="Q96" s="777"/>
      <c r="R96" s="777"/>
      <c r="S96" s="777"/>
      <c r="T96" s="777"/>
      <c r="U96" s="777"/>
      <c r="V96" s="777"/>
    </row>
    <row r="97" spans="1:22" x14ac:dyDescent="0.25">
      <c r="A97" s="777"/>
      <c r="B97" s="777"/>
      <c r="C97" s="777"/>
      <c r="D97" s="777"/>
      <c r="E97" s="777"/>
      <c r="F97" s="777"/>
      <c r="G97" s="777"/>
      <c r="H97" s="777"/>
      <c r="I97" s="777"/>
      <c r="J97" s="777"/>
      <c r="K97" s="777"/>
      <c r="L97" s="777"/>
      <c r="M97" s="777"/>
      <c r="N97" s="777"/>
      <c r="O97" s="777"/>
      <c r="P97" s="777"/>
      <c r="Q97" s="777"/>
      <c r="R97" s="777"/>
      <c r="S97" s="777"/>
      <c r="T97" s="777"/>
      <c r="U97" s="777"/>
      <c r="V97" s="777"/>
    </row>
    <row r="98" spans="1:22" x14ac:dyDescent="0.25">
      <c r="A98" s="777"/>
      <c r="B98" s="777"/>
      <c r="C98" s="777"/>
      <c r="D98" s="777"/>
      <c r="E98" s="777"/>
      <c r="F98" s="777"/>
      <c r="G98" s="777"/>
      <c r="H98" s="777"/>
      <c r="I98" s="777"/>
      <c r="J98" s="777"/>
      <c r="K98" s="777"/>
      <c r="L98" s="777"/>
      <c r="M98" s="777"/>
      <c r="N98" s="777"/>
      <c r="O98" s="777"/>
      <c r="P98" s="777"/>
      <c r="Q98" s="777"/>
      <c r="R98" s="777"/>
      <c r="S98" s="777"/>
      <c r="T98" s="777"/>
      <c r="U98" s="777"/>
      <c r="V98" s="777"/>
    </row>
    <row r="99" spans="1:22" x14ac:dyDescent="0.25">
      <c r="A99" s="777"/>
      <c r="B99" s="777"/>
      <c r="C99" s="777"/>
      <c r="D99" s="777"/>
      <c r="E99" s="777"/>
      <c r="F99" s="777"/>
      <c r="G99" s="777"/>
      <c r="H99" s="777"/>
      <c r="I99" s="777"/>
      <c r="J99" s="777"/>
      <c r="K99" s="777"/>
      <c r="L99" s="777"/>
      <c r="M99" s="777"/>
      <c r="N99" s="777"/>
      <c r="O99" s="777"/>
      <c r="P99" s="777"/>
      <c r="Q99" s="777"/>
      <c r="R99" s="777"/>
      <c r="S99" s="777"/>
      <c r="T99" s="777"/>
      <c r="U99" s="777"/>
      <c r="V99" s="777"/>
    </row>
    <row r="100" spans="1:22" x14ac:dyDescent="0.25">
      <c r="A100" s="777"/>
      <c r="B100" s="777"/>
      <c r="C100" s="777"/>
      <c r="D100" s="777"/>
      <c r="E100" s="777"/>
      <c r="F100" s="777"/>
      <c r="G100" s="777"/>
      <c r="H100" s="777"/>
      <c r="I100" s="777"/>
      <c r="J100" s="777"/>
      <c r="K100" s="777"/>
      <c r="L100" s="777"/>
      <c r="M100" s="777"/>
      <c r="N100" s="777"/>
      <c r="O100" s="777"/>
      <c r="P100" s="777"/>
      <c r="Q100" s="777"/>
      <c r="R100" s="777"/>
      <c r="S100" s="777"/>
      <c r="T100" s="777"/>
      <c r="U100" s="777"/>
      <c r="V100" s="777"/>
    </row>
    <row r="101" spans="1:22" x14ac:dyDescent="0.25">
      <c r="A101" s="777"/>
      <c r="B101" s="777"/>
      <c r="C101" s="777"/>
      <c r="D101" s="777"/>
      <c r="E101" s="777"/>
      <c r="F101" s="777"/>
      <c r="G101" s="777"/>
      <c r="H101" s="777"/>
      <c r="I101" s="777"/>
      <c r="J101" s="777"/>
      <c r="K101" s="777"/>
      <c r="L101" s="777"/>
      <c r="M101" s="777"/>
      <c r="N101" s="777"/>
      <c r="O101" s="777"/>
      <c r="P101" s="777"/>
      <c r="Q101" s="777"/>
      <c r="R101" s="777"/>
      <c r="S101" s="777"/>
      <c r="T101" s="777"/>
      <c r="U101" s="777"/>
      <c r="V101" s="777"/>
    </row>
    <row r="102" spans="1:22" x14ac:dyDescent="0.25">
      <c r="A102" s="777"/>
      <c r="B102" s="777"/>
      <c r="C102" s="777"/>
      <c r="D102" s="777"/>
      <c r="E102" s="777"/>
      <c r="F102" s="777"/>
      <c r="G102" s="777"/>
      <c r="H102" s="777"/>
      <c r="I102" s="777"/>
      <c r="J102" s="777"/>
      <c r="K102" s="777"/>
      <c r="L102" s="777"/>
      <c r="M102" s="777"/>
      <c r="N102" s="777"/>
      <c r="O102" s="777"/>
      <c r="P102" s="777"/>
      <c r="Q102" s="777"/>
      <c r="R102" s="777"/>
      <c r="S102" s="777"/>
      <c r="T102" s="777"/>
      <c r="U102" s="777"/>
      <c r="V102" s="777"/>
    </row>
    <row r="103" spans="1:22" x14ac:dyDescent="0.25">
      <c r="A103" s="777"/>
      <c r="B103" s="777"/>
      <c r="C103" s="777"/>
      <c r="D103" s="777"/>
      <c r="E103" s="777"/>
      <c r="F103" s="777"/>
      <c r="G103" s="777"/>
      <c r="H103" s="777"/>
      <c r="I103" s="777"/>
      <c r="J103" s="777"/>
      <c r="K103" s="777"/>
      <c r="L103" s="777"/>
      <c r="M103" s="777"/>
      <c r="N103" s="777"/>
      <c r="O103" s="777"/>
      <c r="P103" s="777"/>
      <c r="Q103" s="777"/>
      <c r="R103" s="777"/>
      <c r="S103" s="777"/>
      <c r="T103" s="777"/>
      <c r="U103" s="777"/>
      <c r="V103" s="777"/>
    </row>
    <row r="104" spans="1:22" x14ac:dyDescent="0.25">
      <c r="A104" s="777"/>
      <c r="B104" s="777"/>
      <c r="C104" s="777"/>
      <c r="D104" s="777"/>
      <c r="E104" s="777"/>
      <c r="F104" s="777"/>
      <c r="G104" s="777"/>
      <c r="H104" s="777"/>
      <c r="I104" s="777"/>
      <c r="J104" s="777"/>
      <c r="K104" s="777"/>
      <c r="L104" s="777"/>
      <c r="M104" s="777"/>
      <c r="N104" s="777"/>
      <c r="O104" s="777"/>
      <c r="P104" s="777"/>
      <c r="Q104" s="777"/>
      <c r="R104" s="777"/>
      <c r="S104" s="777"/>
      <c r="T104" s="777"/>
      <c r="U104" s="777"/>
      <c r="V104" s="777"/>
    </row>
    <row r="105" spans="1:22" x14ac:dyDescent="0.25">
      <c r="A105" s="777"/>
      <c r="B105" s="777"/>
      <c r="C105" s="777"/>
      <c r="D105" s="777"/>
      <c r="E105" s="777"/>
      <c r="F105" s="777"/>
      <c r="G105" s="777"/>
      <c r="H105" s="777"/>
      <c r="I105" s="777"/>
      <c r="J105" s="777"/>
      <c r="K105" s="777"/>
      <c r="L105" s="777"/>
      <c r="M105" s="777"/>
      <c r="N105" s="777"/>
      <c r="O105" s="777"/>
      <c r="P105" s="777"/>
      <c r="Q105" s="777"/>
      <c r="R105" s="777"/>
      <c r="S105" s="777"/>
      <c r="T105" s="777"/>
      <c r="U105" s="777"/>
      <c r="V105" s="777"/>
    </row>
    <row r="106" spans="1:22" x14ac:dyDescent="0.25">
      <c r="A106" s="777"/>
      <c r="B106" s="777"/>
      <c r="C106" s="777"/>
      <c r="D106" s="777"/>
      <c r="E106" s="777"/>
      <c r="F106" s="777"/>
      <c r="G106" s="777"/>
      <c r="H106" s="777"/>
      <c r="I106" s="777"/>
      <c r="J106" s="777"/>
      <c r="K106" s="777"/>
      <c r="L106" s="777"/>
      <c r="M106" s="777"/>
      <c r="N106" s="777"/>
      <c r="O106" s="777"/>
      <c r="P106" s="777"/>
      <c r="Q106" s="777"/>
      <c r="R106" s="777"/>
      <c r="S106" s="777"/>
      <c r="T106" s="777"/>
      <c r="U106" s="777"/>
      <c r="V106" s="777"/>
    </row>
    <row r="107" spans="1:22" x14ac:dyDescent="0.25">
      <c r="A107" s="777"/>
      <c r="B107" s="777"/>
      <c r="C107" s="777"/>
      <c r="D107" s="777"/>
      <c r="E107" s="777"/>
      <c r="F107" s="777"/>
      <c r="G107" s="777"/>
      <c r="H107" s="777"/>
      <c r="I107" s="777"/>
      <c r="J107" s="777"/>
      <c r="K107" s="777"/>
      <c r="L107" s="777"/>
      <c r="M107" s="777"/>
      <c r="N107" s="777"/>
      <c r="O107" s="777"/>
      <c r="P107" s="777"/>
      <c r="Q107" s="777"/>
      <c r="R107" s="777"/>
      <c r="S107" s="777"/>
      <c r="T107" s="777"/>
      <c r="U107" s="777"/>
      <c r="V107" s="777"/>
    </row>
    <row r="108" spans="1:22" x14ac:dyDescent="0.25">
      <c r="A108" s="777"/>
      <c r="B108" s="777"/>
      <c r="C108" s="777"/>
      <c r="D108" s="777"/>
      <c r="E108" s="777"/>
      <c r="F108" s="777"/>
      <c r="G108" s="777"/>
      <c r="H108" s="777"/>
      <c r="I108" s="777"/>
      <c r="J108" s="777"/>
      <c r="K108" s="777"/>
      <c r="L108" s="777"/>
      <c r="M108" s="777"/>
      <c r="N108" s="777"/>
      <c r="O108" s="777"/>
      <c r="P108" s="777"/>
      <c r="Q108" s="777"/>
      <c r="R108" s="777"/>
      <c r="S108" s="777"/>
      <c r="T108" s="777"/>
      <c r="U108" s="777"/>
      <c r="V108" s="777"/>
    </row>
    <row r="109" spans="1:22" x14ac:dyDescent="0.25">
      <c r="A109" s="777"/>
      <c r="B109" s="777"/>
      <c r="C109" s="777"/>
      <c r="D109" s="777"/>
      <c r="E109" s="777"/>
      <c r="F109" s="777"/>
      <c r="G109" s="777"/>
      <c r="H109" s="777"/>
      <c r="I109" s="777"/>
      <c r="J109" s="777"/>
      <c r="K109" s="777"/>
      <c r="L109" s="777"/>
      <c r="M109" s="777"/>
      <c r="N109" s="777"/>
      <c r="O109" s="777"/>
      <c r="P109" s="777"/>
      <c r="Q109" s="777"/>
      <c r="R109" s="777"/>
      <c r="S109" s="777"/>
      <c r="T109" s="777"/>
      <c r="U109" s="777"/>
      <c r="V109" s="777"/>
    </row>
    <row r="110" spans="1:22" x14ac:dyDescent="0.25">
      <c r="A110" s="777"/>
      <c r="B110" s="777"/>
      <c r="C110" s="777"/>
      <c r="D110" s="777"/>
      <c r="E110" s="777"/>
      <c r="F110" s="777"/>
      <c r="G110" s="777"/>
      <c r="H110" s="777"/>
      <c r="I110" s="777"/>
      <c r="J110" s="777"/>
      <c r="K110" s="777"/>
      <c r="L110" s="777"/>
      <c r="M110" s="777"/>
      <c r="N110" s="777"/>
      <c r="O110" s="777"/>
      <c r="P110" s="777"/>
      <c r="Q110" s="777"/>
      <c r="R110" s="777"/>
      <c r="S110" s="777"/>
      <c r="T110" s="777"/>
      <c r="U110" s="777"/>
      <c r="V110" s="777"/>
    </row>
    <row r="111" spans="1:22" x14ac:dyDescent="0.25">
      <c r="A111" s="777"/>
      <c r="B111" s="777"/>
      <c r="C111" s="777"/>
      <c r="D111" s="777"/>
      <c r="E111" s="777"/>
      <c r="F111" s="777"/>
      <c r="G111" s="777"/>
      <c r="H111" s="777"/>
      <c r="I111" s="777"/>
      <c r="J111" s="777"/>
      <c r="K111" s="777"/>
      <c r="L111" s="777"/>
      <c r="M111" s="777"/>
      <c r="N111" s="777"/>
      <c r="O111" s="777"/>
      <c r="P111" s="777"/>
      <c r="Q111" s="777"/>
      <c r="R111" s="777"/>
      <c r="S111" s="777"/>
      <c r="T111" s="777"/>
      <c r="U111" s="777"/>
      <c r="V111" s="777"/>
    </row>
    <row r="112" spans="1:22" x14ac:dyDescent="0.25">
      <c r="A112" s="777"/>
      <c r="B112" s="777"/>
      <c r="C112" s="777"/>
      <c r="D112" s="777"/>
      <c r="E112" s="777"/>
      <c r="F112" s="777"/>
      <c r="G112" s="777"/>
      <c r="H112" s="777"/>
      <c r="I112" s="777"/>
      <c r="J112" s="777"/>
      <c r="K112" s="777"/>
      <c r="L112" s="777"/>
      <c r="M112" s="777"/>
      <c r="N112" s="777"/>
      <c r="O112" s="777"/>
      <c r="P112" s="777"/>
      <c r="Q112" s="777"/>
      <c r="R112" s="777"/>
      <c r="S112" s="777"/>
      <c r="T112" s="777"/>
      <c r="U112" s="777"/>
      <c r="V112" s="777"/>
    </row>
    <row r="113" spans="1:22" x14ac:dyDescent="0.25">
      <c r="A113" s="777"/>
      <c r="B113" s="777"/>
      <c r="C113" s="777"/>
      <c r="D113" s="777"/>
      <c r="E113" s="777"/>
      <c r="F113" s="777"/>
      <c r="G113" s="777"/>
      <c r="H113" s="777"/>
      <c r="I113" s="777"/>
      <c r="J113" s="777"/>
      <c r="K113" s="777"/>
      <c r="L113" s="777"/>
      <c r="M113" s="777"/>
      <c r="N113" s="777"/>
      <c r="O113" s="777"/>
      <c r="P113" s="777"/>
      <c r="Q113" s="777"/>
      <c r="R113" s="777"/>
      <c r="S113" s="777"/>
      <c r="T113" s="777"/>
      <c r="U113" s="777"/>
      <c r="V113" s="777"/>
    </row>
    <row r="114" spans="1:22" x14ac:dyDescent="0.25">
      <c r="A114" s="777"/>
      <c r="B114" s="777"/>
      <c r="C114" s="777"/>
      <c r="D114" s="777"/>
      <c r="E114" s="777"/>
      <c r="F114" s="777"/>
      <c r="G114" s="777"/>
      <c r="H114" s="777"/>
      <c r="I114" s="777"/>
      <c r="J114" s="777"/>
      <c r="K114" s="777"/>
      <c r="L114" s="777"/>
      <c r="M114" s="777"/>
      <c r="N114" s="777"/>
      <c r="O114" s="777"/>
      <c r="P114" s="777"/>
      <c r="Q114" s="777"/>
      <c r="R114" s="777"/>
      <c r="S114" s="777"/>
      <c r="T114" s="777"/>
      <c r="U114" s="777"/>
      <c r="V114" s="777"/>
    </row>
    <row r="115" spans="1:22" x14ac:dyDescent="0.25">
      <c r="A115" s="777"/>
      <c r="B115" s="777"/>
      <c r="C115" s="777"/>
      <c r="D115" s="777"/>
      <c r="E115" s="777"/>
      <c r="F115" s="777"/>
      <c r="G115" s="777"/>
      <c r="H115" s="777"/>
      <c r="I115" s="777"/>
      <c r="J115" s="777"/>
      <c r="K115" s="777"/>
      <c r="L115" s="777"/>
      <c r="M115" s="777"/>
      <c r="N115" s="777"/>
      <c r="O115" s="777"/>
      <c r="P115" s="777"/>
      <c r="Q115" s="777"/>
      <c r="R115" s="777"/>
      <c r="S115" s="777"/>
      <c r="T115" s="777"/>
      <c r="U115" s="777"/>
      <c r="V115" s="777"/>
    </row>
    <row r="116" spans="1:22" x14ac:dyDescent="0.25">
      <c r="A116" s="777"/>
      <c r="B116" s="777"/>
      <c r="C116" s="777"/>
      <c r="D116" s="777"/>
      <c r="E116" s="777"/>
      <c r="F116" s="777"/>
      <c r="G116" s="777"/>
      <c r="H116" s="777"/>
      <c r="I116" s="777"/>
      <c r="J116" s="777"/>
      <c r="K116" s="777"/>
      <c r="L116" s="777"/>
      <c r="M116" s="777"/>
      <c r="N116" s="777"/>
      <c r="O116" s="777"/>
      <c r="P116" s="777"/>
      <c r="Q116" s="777"/>
      <c r="R116" s="777"/>
      <c r="S116" s="777"/>
      <c r="T116" s="777"/>
      <c r="U116" s="777"/>
      <c r="V116" s="777"/>
    </row>
    <row r="117" spans="1:22" x14ac:dyDescent="0.25">
      <c r="A117" s="777"/>
      <c r="B117" s="777"/>
      <c r="C117" s="777"/>
      <c r="D117" s="777"/>
      <c r="E117" s="777"/>
      <c r="F117" s="777"/>
      <c r="G117" s="777"/>
      <c r="H117" s="777"/>
      <c r="I117" s="777"/>
      <c r="J117" s="777"/>
      <c r="K117" s="777"/>
      <c r="L117" s="777"/>
      <c r="M117" s="777"/>
      <c r="N117" s="777"/>
      <c r="O117" s="777"/>
      <c r="P117" s="777"/>
      <c r="Q117" s="777"/>
      <c r="R117" s="777"/>
      <c r="S117" s="777"/>
      <c r="T117" s="777"/>
      <c r="U117" s="777"/>
      <c r="V117" s="777"/>
    </row>
    <row r="118" spans="1:22" x14ac:dyDescent="0.25">
      <c r="A118" s="777"/>
      <c r="B118" s="777"/>
      <c r="C118" s="777"/>
      <c r="D118" s="777"/>
      <c r="E118" s="777"/>
      <c r="F118" s="777"/>
      <c r="G118" s="777"/>
      <c r="H118" s="777"/>
      <c r="I118" s="777"/>
      <c r="J118" s="777"/>
      <c r="K118" s="777"/>
      <c r="L118" s="777"/>
      <c r="M118" s="777"/>
      <c r="N118" s="777"/>
      <c r="O118" s="777"/>
      <c r="P118" s="777"/>
      <c r="Q118" s="777"/>
      <c r="R118" s="777"/>
      <c r="S118" s="777"/>
      <c r="T118" s="777"/>
      <c r="U118" s="777"/>
      <c r="V118" s="777"/>
    </row>
    <row r="119" spans="1:22" x14ac:dyDescent="0.25">
      <c r="A119" s="777"/>
      <c r="B119" s="777"/>
      <c r="C119" s="777"/>
      <c r="D119" s="777"/>
      <c r="E119" s="777"/>
      <c r="F119" s="777"/>
      <c r="G119" s="777"/>
      <c r="H119" s="777"/>
      <c r="I119" s="777"/>
      <c r="J119" s="777"/>
      <c r="K119" s="777"/>
      <c r="L119" s="777"/>
      <c r="M119" s="777"/>
      <c r="N119" s="777"/>
      <c r="O119" s="777"/>
      <c r="P119" s="777"/>
      <c r="Q119" s="777"/>
      <c r="R119" s="777"/>
      <c r="S119" s="777"/>
      <c r="T119" s="777"/>
      <c r="U119" s="777"/>
      <c r="V119" s="777"/>
    </row>
    <row r="120" spans="1:22" x14ac:dyDescent="0.25">
      <c r="A120" s="777"/>
      <c r="B120" s="777"/>
      <c r="C120" s="777"/>
      <c r="D120" s="777"/>
      <c r="E120" s="777"/>
      <c r="F120" s="777"/>
      <c r="G120" s="777"/>
      <c r="H120" s="777"/>
      <c r="I120" s="777"/>
      <c r="J120" s="777"/>
      <c r="K120" s="777"/>
      <c r="L120" s="777"/>
      <c r="M120" s="777"/>
      <c r="N120" s="777"/>
      <c r="O120" s="777"/>
      <c r="P120" s="777"/>
      <c r="Q120" s="777"/>
      <c r="R120" s="777"/>
      <c r="S120" s="777"/>
      <c r="T120" s="777"/>
      <c r="U120" s="777"/>
      <c r="V120" s="777"/>
    </row>
    <row r="121" spans="1:22" x14ac:dyDescent="0.25">
      <c r="A121" s="777"/>
      <c r="B121" s="777"/>
      <c r="C121" s="777"/>
      <c r="D121" s="777"/>
      <c r="E121" s="777"/>
      <c r="F121" s="777"/>
      <c r="G121" s="777"/>
      <c r="H121" s="777"/>
      <c r="I121" s="777"/>
      <c r="J121" s="777"/>
      <c r="K121" s="777"/>
      <c r="L121" s="777"/>
      <c r="M121" s="777"/>
      <c r="N121" s="777"/>
      <c r="O121" s="777"/>
      <c r="P121" s="777"/>
      <c r="Q121" s="777"/>
      <c r="R121" s="777"/>
      <c r="S121" s="777"/>
      <c r="T121" s="777"/>
      <c r="U121" s="777"/>
      <c r="V121" s="777"/>
    </row>
    <row r="122" spans="1:22" x14ac:dyDescent="0.25">
      <c r="A122" s="777"/>
      <c r="B122" s="777"/>
      <c r="C122" s="777"/>
      <c r="D122" s="777"/>
      <c r="E122" s="777"/>
      <c r="F122" s="777"/>
      <c r="G122" s="777"/>
      <c r="H122" s="777"/>
      <c r="I122" s="777"/>
      <c r="J122" s="777"/>
      <c r="K122" s="777"/>
      <c r="L122" s="777"/>
      <c r="M122" s="777"/>
      <c r="N122" s="777"/>
      <c r="O122" s="777"/>
      <c r="P122" s="777"/>
      <c r="Q122" s="777"/>
      <c r="R122" s="777"/>
      <c r="S122" s="777"/>
      <c r="T122" s="777"/>
      <c r="U122" s="777"/>
      <c r="V122" s="777"/>
    </row>
    <row r="123" spans="1:22" x14ac:dyDescent="0.25">
      <c r="A123" s="777"/>
      <c r="B123" s="777"/>
      <c r="C123" s="777"/>
      <c r="D123" s="777"/>
      <c r="E123" s="777"/>
      <c r="F123" s="777"/>
      <c r="G123" s="777"/>
      <c r="H123" s="777"/>
      <c r="I123" s="777"/>
      <c r="J123" s="777"/>
      <c r="K123" s="777"/>
      <c r="L123" s="777"/>
      <c r="M123" s="777"/>
      <c r="N123" s="777"/>
      <c r="O123" s="777"/>
      <c r="P123" s="777"/>
      <c r="Q123" s="777"/>
      <c r="R123" s="777"/>
      <c r="S123" s="777"/>
      <c r="T123" s="777"/>
      <c r="U123" s="777"/>
      <c r="V123" s="777"/>
    </row>
    <row r="124" spans="1:22" x14ac:dyDescent="0.25">
      <c r="A124" s="777"/>
      <c r="B124" s="777"/>
      <c r="C124" s="777"/>
      <c r="D124" s="777"/>
      <c r="E124" s="777"/>
      <c r="F124" s="777"/>
      <c r="G124" s="777"/>
      <c r="H124" s="777"/>
      <c r="I124" s="777"/>
      <c r="J124" s="777"/>
      <c r="K124" s="777"/>
      <c r="L124" s="777"/>
      <c r="M124" s="777"/>
      <c r="N124" s="777"/>
      <c r="O124" s="777"/>
      <c r="P124" s="777"/>
      <c r="Q124" s="777"/>
      <c r="R124" s="777"/>
      <c r="S124" s="777"/>
      <c r="T124" s="777"/>
      <c r="U124" s="777"/>
      <c r="V124" s="777"/>
    </row>
    <row r="125" spans="1:22" x14ac:dyDescent="0.25">
      <c r="A125" s="777"/>
      <c r="B125" s="777"/>
      <c r="C125" s="777"/>
      <c r="D125" s="777"/>
      <c r="E125" s="777"/>
      <c r="F125" s="777"/>
      <c r="G125" s="777"/>
      <c r="H125" s="777"/>
      <c r="I125" s="777"/>
      <c r="J125" s="777"/>
      <c r="K125" s="777"/>
      <c r="L125" s="777"/>
      <c r="M125" s="777"/>
      <c r="N125" s="777"/>
      <c r="O125" s="777"/>
      <c r="P125" s="777"/>
      <c r="Q125" s="777"/>
      <c r="R125" s="777"/>
      <c r="S125" s="777"/>
      <c r="T125" s="777"/>
      <c r="U125" s="777"/>
      <c r="V125" s="777"/>
    </row>
    <row r="126" spans="1:22" x14ac:dyDescent="0.25">
      <c r="A126" s="777"/>
      <c r="B126" s="777"/>
      <c r="C126" s="777"/>
      <c r="D126" s="777"/>
      <c r="E126" s="777"/>
      <c r="F126" s="777"/>
      <c r="G126" s="777"/>
      <c r="H126" s="777"/>
      <c r="I126" s="777"/>
      <c r="J126" s="777"/>
      <c r="K126" s="777"/>
      <c r="L126" s="777"/>
      <c r="M126" s="777"/>
      <c r="N126" s="777"/>
      <c r="O126" s="777"/>
      <c r="P126" s="777"/>
      <c r="Q126" s="777"/>
      <c r="R126" s="777"/>
      <c r="S126" s="777"/>
      <c r="T126" s="777"/>
      <c r="U126" s="777"/>
      <c r="V126" s="777"/>
    </row>
    <row r="127" spans="1:22" x14ac:dyDescent="0.25">
      <c r="A127" s="777"/>
      <c r="B127" s="777"/>
      <c r="C127" s="777"/>
      <c r="D127" s="777"/>
      <c r="E127" s="777"/>
      <c r="F127" s="777"/>
      <c r="G127" s="777"/>
      <c r="H127" s="777"/>
      <c r="I127" s="777"/>
      <c r="J127" s="777"/>
      <c r="K127" s="777"/>
      <c r="L127" s="777"/>
      <c r="M127" s="777"/>
      <c r="N127" s="777"/>
      <c r="O127" s="777"/>
      <c r="P127" s="777"/>
      <c r="Q127" s="777"/>
      <c r="R127" s="777"/>
      <c r="S127" s="777"/>
      <c r="T127" s="777"/>
      <c r="U127" s="777"/>
      <c r="V127" s="777"/>
    </row>
    <row r="128" spans="1:22" x14ac:dyDescent="0.25">
      <c r="A128" s="777"/>
      <c r="B128" s="777"/>
      <c r="C128" s="777"/>
      <c r="D128" s="777"/>
      <c r="E128" s="777"/>
      <c r="F128" s="777"/>
      <c r="G128" s="777"/>
      <c r="H128" s="777"/>
      <c r="I128" s="777"/>
      <c r="J128" s="777"/>
      <c r="K128" s="777"/>
      <c r="L128" s="777"/>
      <c r="M128" s="777"/>
      <c r="N128" s="777"/>
      <c r="O128" s="777"/>
      <c r="P128" s="777"/>
      <c r="Q128" s="777"/>
      <c r="R128" s="777"/>
      <c r="S128" s="777"/>
      <c r="T128" s="777"/>
      <c r="U128" s="777"/>
      <c r="V128" s="777"/>
    </row>
    <row r="129" spans="1:22" x14ac:dyDescent="0.25">
      <c r="A129" s="777"/>
      <c r="B129" s="777"/>
      <c r="C129" s="777"/>
      <c r="D129" s="777"/>
      <c r="E129" s="777"/>
      <c r="F129" s="777"/>
      <c r="G129" s="777"/>
      <c r="H129" s="777"/>
      <c r="I129" s="777"/>
      <c r="J129" s="777"/>
      <c r="K129" s="777"/>
      <c r="L129" s="777"/>
      <c r="M129" s="777"/>
      <c r="N129" s="777"/>
      <c r="O129" s="777"/>
      <c r="P129" s="777"/>
      <c r="Q129" s="777"/>
      <c r="R129" s="777"/>
      <c r="S129" s="777"/>
      <c r="T129" s="777"/>
      <c r="U129" s="777"/>
      <c r="V129" s="777"/>
    </row>
    <row r="130" spans="1:22" x14ac:dyDescent="0.25">
      <c r="A130" s="777"/>
      <c r="B130" s="777"/>
      <c r="C130" s="777"/>
      <c r="D130" s="777"/>
      <c r="E130" s="777"/>
      <c r="F130" s="777"/>
      <c r="G130" s="777"/>
      <c r="H130" s="777"/>
      <c r="I130" s="777"/>
      <c r="J130" s="777"/>
      <c r="K130" s="777"/>
      <c r="L130" s="777"/>
      <c r="M130" s="777"/>
      <c r="N130" s="777"/>
      <c r="O130" s="777"/>
      <c r="P130" s="777"/>
      <c r="Q130" s="777"/>
      <c r="R130" s="777"/>
      <c r="S130" s="777"/>
      <c r="T130" s="777"/>
      <c r="U130" s="777"/>
      <c r="V130" s="777"/>
    </row>
    <row r="131" spans="1:22" x14ac:dyDescent="0.25">
      <c r="A131" s="777"/>
      <c r="B131" s="777"/>
      <c r="C131" s="777"/>
      <c r="D131" s="777"/>
      <c r="E131" s="777"/>
      <c r="F131" s="777"/>
      <c r="G131" s="777"/>
      <c r="H131" s="777"/>
      <c r="I131" s="777"/>
      <c r="J131" s="777"/>
      <c r="K131" s="777"/>
      <c r="L131" s="777"/>
      <c r="M131" s="777"/>
      <c r="N131" s="777"/>
      <c r="O131" s="777"/>
      <c r="P131" s="777"/>
      <c r="Q131" s="777"/>
      <c r="R131" s="777"/>
      <c r="S131" s="777"/>
      <c r="T131" s="777"/>
      <c r="U131" s="777"/>
      <c r="V131" s="777"/>
    </row>
    <row r="132" spans="1:22" x14ac:dyDescent="0.25">
      <c r="A132" s="777"/>
      <c r="B132" s="777"/>
      <c r="C132" s="777"/>
      <c r="D132" s="777"/>
      <c r="E132" s="777"/>
      <c r="F132" s="777"/>
      <c r="G132" s="777"/>
      <c r="H132" s="777"/>
      <c r="I132" s="777"/>
      <c r="J132" s="777"/>
      <c r="K132" s="777"/>
      <c r="L132" s="777"/>
      <c r="M132" s="777"/>
      <c r="N132" s="777"/>
      <c r="O132" s="777"/>
      <c r="P132" s="777"/>
      <c r="Q132" s="777"/>
      <c r="R132" s="777"/>
      <c r="S132" s="777"/>
      <c r="T132" s="777"/>
      <c r="U132" s="777"/>
      <c r="V132" s="777"/>
    </row>
    <row r="133" spans="1:22" x14ac:dyDescent="0.25">
      <c r="A133" s="777"/>
      <c r="B133" s="777"/>
      <c r="C133" s="777"/>
      <c r="D133" s="777"/>
      <c r="E133" s="777"/>
      <c r="F133" s="777"/>
      <c r="G133" s="777"/>
      <c r="H133" s="777"/>
      <c r="I133" s="777"/>
      <c r="J133" s="777"/>
      <c r="K133" s="777"/>
      <c r="L133" s="777"/>
      <c r="M133" s="777"/>
      <c r="N133" s="777"/>
      <c r="O133" s="777"/>
      <c r="P133" s="777"/>
      <c r="Q133" s="777"/>
      <c r="R133" s="777"/>
      <c r="S133" s="777"/>
      <c r="T133" s="777"/>
      <c r="U133" s="777"/>
      <c r="V133" s="777"/>
    </row>
    <row r="134" spans="1:22" x14ac:dyDescent="0.25">
      <c r="A134" s="777"/>
      <c r="B134" s="777"/>
      <c r="C134" s="777"/>
      <c r="D134" s="777"/>
      <c r="E134" s="777"/>
      <c r="F134" s="777"/>
      <c r="G134" s="777"/>
      <c r="H134" s="777"/>
      <c r="I134" s="777"/>
      <c r="J134" s="777"/>
      <c r="K134" s="777"/>
      <c r="L134" s="777"/>
      <c r="M134" s="777"/>
      <c r="N134" s="777"/>
      <c r="O134" s="777"/>
      <c r="P134" s="777"/>
      <c r="Q134" s="777"/>
      <c r="R134" s="777"/>
      <c r="S134" s="777"/>
      <c r="T134" s="777"/>
      <c r="U134" s="777"/>
      <c r="V134" s="777"/>
    </row>
    <row r="135" spans="1:22" x14ac:dyDescent="0.25">
      <c r="A135" s="777"/>
      <c r="B135" s="777"/>
      <c r="C135" s="777"/>
      <c r="D135" s="777"/>
      <c r="E135" s="777"/>
      <c r="F135" s="777"/>
      <c r="G135" s="777"/>
      <c r="H135" s="777"/>
      <c r="I135" s="777"/>
      <c r="J135" s="777"/>
      <c r="K135" s="777"/>
      <c r="L135" s="777"/>
      <c r="M135" s="777"/>
      <c r="N135" s="777"/>
      <c r="O135" s="777"/>
      <c r="P135" s="777"/>
      <c r="Q135" s="777"/>
      <c r="R135" s="777"/>
      <c r="S135" s="777"/>
      <c r="T135" s="777"/>
      <c r="U135" s="777"/>
      <c r="V135" s="777"/>
    </row>
    <row r="136" spans="1:22" x14ac:dyDescent="0.25">
      <c r="A136" s="777"/>
      <c r="B136" s="777"/>
      <c r="C136" s="777"/>
      <c r="D136" s="777"/>
      <c r="E136" s="777"/>
      <c r="F136" s="777"/>
      <c r="G136" s="777"/>
      <c r="H136" s="777"/>
      <c r="I136" s="777"/>
      <c r="J136" s="777"/>
      <c r="K136" s="777"/>
      <c r="L136" s="777"/>
      <c r="M136" s="777"/>
      <c r="N136" s="777"/>
      <c r="O136" s="777"/>
      <c r="P136" s="777"/>
      <c r="Q136" s="777"/>
      <c r="R136" s="777"/>
      <c r="S136" s="777"/>
      <c r="T136" s="777"/>
      <c r="U136" s="777"/>
      <c r="V136" s="777"/>
    </row>
    <row r="137" spans="1:22" x14ac:dyDescent="0.25">
      <c r="A137" s="777"/>
      <c r="B137" s="777"/>
      <c r="C137" s="777"/>
      <c r="D137" s="777"/>
      <c r="E137" s="777"/>
      <c r="F137" s="777"/>
      <c r="G137" s="777"/>
      <c r="H137" s="777"/>
      <c r="I137" s="777"/>
      <c r="J137" s="777"/>
      <c r="K137" s="777"/>
      <c r="L137" s="777"/>
      <c r="M137" s="777"/>
      <c r="N137" s="777"/>
      <c r="O137" s="777"/>
      <c r="P137" s="777"/>
      <c r="Q137" s="777"/>
      <c r="R137" s="777"/>
      <c r="S137" s="777"/>
      <c r="T137" s="777"/>
      <c r="U137" s="777"/>
      <c r="V137" s="777"/>
    </row>
    <row r="138" spans="1:22" x14ac:dyDescent="0.25">
      <c r="A138" s="777"/>
      <c r="B138" s="777"/>
      <c r="C138" s="777"/>
      <c r="D138" s="777"/>
      <c r="E138" s="777"/>
      <c r="F138" s="777"/>
      <c r="G138" s="777"/>
      <c r="H138" s="777"/>
      <c r="I138" s="777"/>
      <c r="J138" s="777"/>
      <c r="K138" s="777"/>
      <c r="L138" s="777"/>
      <c r="M138" s="777"/>
      <c r="N138" s="777"/>
      <c r="O138" s="777"/>
      <c r="P138" s="777"/>
      <c r="Q138" s="777"/>
      <c r="R138" s="777"/>
      <c r="S138" s="777"/>
      <c r="T138" s="777"/>
      <c r="U138" s="777"/>
      <c r="V138" s="777"/>
    </row>
    <row r="139" spans="1:22" x14ac:dyDescent="0.25">
      <c r="A139" s="777"/>
      <c r="B139" s="777"/>
      <c r="C139" s="777"/>
      <c r="D139" s="777"/>
      <c r="E139" s="777"/>
      <c r="F139" s="777"/>
      <c r="G139" s="777"/>
      <c r="H139" s="777"/>
      <c r="I139" s="777"/>
      <c r="J139" s="777"/>
      <c r="K139" s="777"/>
      <c r="L139" s="777"/>
      <c r="M139" s="777"/>
      <c r="N139" s="777"/>
      <c r="O139" s="777"/>
      <c r="P139" s="777"/>
      <c r="Q139" s="777"/>
      <c r="R139" s="777"/>
      <c r="S139" s="777"/>
      <c r="T139" s="777"/>
      <c r="U139" s="777"/>
      <c r="V139" s="777"/>
    </row>
    <row r="140" spans="1:22" x14ac:dyDescent="0.25">
      <c r="A140" s="777"/>
      <c r="B140" s="777"/>
      <c r="C140" s="777"/>
      <c r="D140" s="777"/>
      <c r="E140" s="777"/>
      <c r="F140" s="777"/>
      <c r="G140" s="777"/>
      <c r="H140" s="777"/>
      <c r="I140" s="777"/>
      <c r="J140" s="777"/>
      <c r="K140" s="777"/>
      <c r="L140" s="777"/>
      <c r="M140" s="777"/>
      <c r="N140" s="777"/>
      <c r="O140" s="777"/>
      <c r="P140" s="777"/>
      <c r="Q140" s="777"/>
      <c r="R140" s="777"/>
      <c r="S140" s="777"/>
      <c r="T140" s="777"/>
      <c r="U140" s="777"/>
      <c r="V140" s="777"/>
    </row>
    <row r="141" spans="1:22" x14ac:dyDescent="0.25">
      <c r="A141" s="777"/>
      <c r="B141" s="777"/>
      <c r="C141" s="777"/>
      <c r="D141" s="777"/>
      <c r="E141" s="777"/>
      <c r="F141" s="777"/>
      <c r="G141" s="777"/>
      <c r="H141" s="777"/>
      <c r="I141" s="777"/>
      <c r="J141" s="777"/>
      <c r="K141" s="777"/>
      <c r="L141" s="777"/>
      <c r="M141" s="777"/>
      <c r="N141" s="777"/>
      <c r="O141" s="777"/>
      <c r="P141" s="777"/>
      <c r="Q141" s="777"/>
      <c r="R141" s="777"/>
      <c r="S141" s="777"/>
      <c r="T141" s="777"/>
      <c r="U141" s="777"/>
      <c r="V141" s="777"/>
    </row>
    <row r="142" spans="1:22" x14ac:dyDescent="0.25">
      <c r="A142" s="777"/>
      <c r="B142" s="777"/>
      <c r="C142" s="777"/>
      <c r="D142" s="777"/>
      <c r="E142" s="777"/>
      <c r="F142" s="777"/>
      <c r="G142" s="777"/>
      <c r="H142" s="777"/>
      <c r="I142" s="777"/>
      <c r="J142" s="777"/>
      <c r="K142" s="777"/>
      <c r="L142" s="777"/>
      <c r="M142" s="777"/>
      <c r="N142" s="777"/>
      <c r="O142" s="777"/>
      <c r="P142" s="777"/>
      <c r="Q142" s="777"/>
      <c r="R142" s="777"/>
      <c r="S142" s="777"/>
      <c r="T142" s="777"/>
      <c r="U142" s="777"/>
      <c r="V142" s="777"/>
    </row>
    <row r="143" spans="1:22" x14ac:dyDescent="0.25">
      <c r="A143" s="777"/>
      <c r="B143" s="777"/>
      <c r="C143" s="777"/>
      <c r="D143" s="777"/>
      <c r="E143" s="777"/>
      <c r="F143" s="777"/>
      <c r="G143" s="777"/>
      <c r="H143" s="777"/>
      <c r="I143" s="777"/>
      <c r="J143" s="777"/>
      <c r="K143" s="777"/>
      <c r="L143" s="777"/>
      <c r="M143" s="777"/>
      <c r="N143" s="777"/>
      <c r="O143" s="777"/>
      <c r="P143" s="777"/>
      <c r="Q143" s="777"/>
      <c r="R143" s="777"/>
      <c r="S143" s="777"/>
      <c r="T143" s="777"/>
      <c r="U143" s="777"/>
      <c r="V143" s="777"/>
    </row>
    <row r="144" spans="1:22" x14ac:dyDescent="0.25">
      <c r="A144" s="777"/>
      <c r="B144" s="777"/>
      <c r="C144" s="777"/>
      <c r="D144" s="777"/>
      <c r="E144" s="777"/>
      <c r="F144" s="777"/>
      <c r="G144" s="777"/>
      <c r="H144" s="777"/>
      <c r="I144" s="777"/>
      <c r="J144" s="777"/>
      <c r="K144" s="777"/>
      <c r="L144" s="777"/>
      <c r="M144" s="777"/>
      <c r="N144" s="777"/>
      <c r="O144" s="777"/>
      <c r="P144" s="777"/>
      <c r="Q144" s="777"/>
      <c r="R144" s="777"/>
      <c r="S144" s="777"/>
      <c r="T144" s="777"/>
      <c r="U144" s="777"/>
      <c r="V144" s="777"/>
    </row>
    <row r="145" spans="1:22" x14ac:dyDescent="0.25">
      <c r="A145" s="777"/>
      <c r="B145" s="777"/>
      <c r="C145" s="777"/>
      <c r="D145" s="777"/>
      <c r="E145" s="777"/>
      <c r="F145" s="777"/>
      <c r="G145" s="777"/>
      <c r="H145" s="777"/>
      <c r="I145" s="777"/>
      <c r="J145" s="777"/>
      <c r="K145" s="777"/>
      <c r="L145" s="777"/>
      <c r="M145" s="777"/>
      <c r="N145" s="777"/>
      <c r="O145" s="777"/>
      <c r="P145" s="777"/>
      <c r="Q145" s="777"/>
      <c r="R145" s="777"/>
      <c r="S145" s="777"/>
      <c r="T145" s="777"/>
      <c r="U145" s="777"/>
      <c r="V145" s="777"/>
    </row>
    <row r="146" spans="1:22" x14ac:dyDescent="0.25">
      <c r="A146" s="777"/>
      <c r="B146" s="777"/>
      <c r="C146" s="777"/>
      <c r="D146" s="777"/>
      <c r="E146" s="777"/>
      <c r="F146" s="777"/>
      <c r="G146" s="777"/>
      <c r="H146" s="777"/>
      <c r="I146" s="777"/>
      <c r="J146" s="777"/>
      <c r="K146" s="777"/>
      <c r="L146" s="777"/>
      <c r="M146" s="777"/>
      <c r="N146" s="777"/>
      <c r="O146" s="777"/>
      <c r="P146" s="777"/>
      <c r="Q146" s="777"/>
      <c r="R146" s="777"/>
      <c r="S146" s="777"/>
      <c r="T146" s="777"/>
      <c r="U146" s="777"/>
      <c r="V146" s="777"/>
    </row>
    <row r="147" spans="1:22" x14ac:dyDescent="0.25">
      <c r="A147" s="777"/>
      <c r="B147" s="777"/>
      <c r="C147" s="777"/>
      <c r="D147" s="777"/>
      <c r="E147" s="777"/>
      <c r="F147" s="777"/>
      <c r="G147" s="777"/>
      <c r="H147" s="777"/>
      <c r="I147" s="777"/>
      <c r="J147" s="777"/>
      <c r="K147" s="777"/>
      <c r="L147" s="777"/>
      <c r="M147" s="777"/>
      <c r="N147" s="777"/>
      <c r="O147" s="777"/>
      <c r="P147" s="777"/>
      <c r="Q147" s="777"/>
      <c r="R147" s="777"/>
      <c r="S147" s="777"/>
      <c r="T147" s="777"/>
      <c r="U147" s="777"/>
      <c r="V147" s="777"/>
    </row>
    <row r="148" spans="1:22" x14ac:dyDescent="0.25">
      <c r="A148" s="777"/>
      <c r="B148" s="777"/>
      <c r="C148" s="777"/>
      <c r="D148" s="777"/>
      <c r="E148" s="777"/>
      <c r="F148" s="777"/>
      <c r="G148" s="777"/>
      <c r="H148" s="777"/>
      <c r="I148" s="777"/>
      <c r="J148" s="777"/>
      <c r="K148" s="777"/>
      <c r="L148" s="777"/>
      <c r="M148" s="777"/>
      <c r="N148" s="777"/>
      <c r="O148" s="777"/>
      <c r="P148" s="777"/>
      <c r="Q148" s="777"/>
      <c r="R148" s="777"/>
      <c r="S148" s="777"/>
      <c r="T148" s="777"/>
      <c r="U148" s="777"/>
      <c r="V148" s="777"/>
    </row>
    <row r="149" spans="1:22" x14ac:dyDescent="0.25">
      <c r="A149" s="777"/>
      <c r="B149" s="777"/>
      <c r="C149" s="777"/>
      <c r="D149" s="777"/>
      <c r="E149" s="777"/>
      <c r="F149" s="777"/>
      <c r="G149" s="777"/>
      <c r="H149" s="777"/>
      <c r="I149" s="777"/>
      <c r="J149" s="777"/>
      <c r="K149" s="777"/>
      <c r="L149" s="777"/>
      <c r="M149" s="777"/>
      <c r="N149" s="777"/>
      <c r="O149" s="777"/>
      <c r="P149" s="777"/>
      <c r="Q149" s="777"/>
      <c r="R149" s="777"/>
      <c r="S149" s="777"/>
      <c r="T149" s="777"/>
      <c r="U149" s="777"/>
      <c r="V149" s="777"/>
    </row>
    <row r="150" spans="1:22" x14ac:dyDescent="0.25">
      <c r="A150" s="777"/>
      <c r="B150" s="777"/>
      <c r="C150" s="777"/>
      <c r="D150" s="777"/>
      <c r="E150" s="777"/>
      <c r="F150" s="777"/>
      <c r="G150" s="777"/>
      <c r="H150" s="777"/>
      <c r="I150" s="777"/>
      <c r="J150" s="777"/>
      <c r="K150" s="777"/>
      <c r="L150" s="777"/>
      <c r="M150" s="777"/>
      <c r="N150" s="777"/>
      <c r="O150" s="777"/>
      <c r="P150" s="777"/>
      <c r="Q150" s="777"/>
      <c r="R150" s="777"/>
      <c r="S150" s="777"/>
      <c r="T150" s="777"/>
      <c r="U150" s="777"/>
      <c r="V150" s="777"/>
    </row>
    <row r="151" spans="1:22" x14ac:dyDescent="0.25">
      <c r="A151" s="777"/>
      <c r="B151" s="777"/>
      <c r="C151" s="777"/>
      <c r="D151" s="777"/>
      <c r="E151" s="777"/>
      <c r="F151" s="777"/>
      <c r="G151" s="777"/>
      <c r="H151" s="777"/>
      <c r="I151" s="777"/>
      <c r="J151" s="777"/>
      <c r="K151" s="777"/>
      <c r="L151" s="777"/>
      <c r="M151" s="777"/>
      <c r="N151" s="777"/>
      <c r="O151" s="777"/>
      <c r="P151" s="777"/>
      <c r="Q151" s="777"/>
      <c r="R151" s="777"/>
      <c r="S151" s="777"/>
      <c r="T151" s="777"/>
      <c r="U151" s="777"/>
      <c r="V151" s="777"/>
    </row>
    <row r="152" spans="1:22" x14ac:dyDescent="0.25">
      <c r="A152" s="777"/>
      <c r="B152" s="777"/>
      <c r="C152" s="777"/>
      <c r="D152" s="777"/>
      <c r="E152" s="777"/>
      <c r="F152" s="777"/>
      <c r="G152" s="777"/>
      <c r="H152" s="777"/>
      <c r="I152" s="777"/>
      <c r="J152" s="777"/>
      <c r="K152" s="777"/>
      <c r="L152" s="777"/>
      <c r="M152" s="777"/>
      <c r="N152" s="777"/>
      <c r="O152" s="777"/>
      <c r="P152" s="777"/>
      <c r="Q152" s="777"/>
      <c r="R152" s="777"/>
      <c r="S152" s="777"/>
      <c r="T152" s="777"/>
      <c r="U152" s="777"/>
      <c r="V152" s="777"/>
    </row>
    <row r="153" spans="1:22" x14ac:dyDescent="0.25">
      <c r="A153" s="777"/>
      <c r="B153" s="777"/>
      <c r="C153" s="777"/>
      <c r="D153" s="777"/>
      <c r="E153" s="777"/>
      <c r="F153" s="777"/>
      <c r="G153" s="777"/>
      <c r="H153" s="777"/>
      <c r="I153" s="777"/>
      <c r="J153" s="777"/>
      <c r="K153" s="777"/>
      <c r="L153" s="777"/>
      <c r="M153" s="777"/>
      <c r="N153" s="777"/>
      <c r="O153" s="777"/>
      <c r="P153" s="777"/>
      <c r="Q153" s="777"/>
      <c r="R153" s="777"/>
      <c r="S153" s="777"/>
      <c r="T153" s="777"/>
      <c r="U153" s="777"/>
      <c r="V153" s="777"/>
    </row>
    <row r="154" spans="1:22" x14ac:dyDescent="0.25">
      <c r="A154" s="777"/>
      <c r="B154" s="777"/>
      <c r="C154" s="777"/>
      <c r="D154" s="777"/>
      <c r="E154" s="777"/>
      <c r="F154" s="777"/>
      <c r="G154" s="777"/>
      <c r="H154" s="777"/>
      <c r="I154" s="777"/>
      <c r="J154" s="777"/>
      <c r="K154" s="777"/>
      <c r="L154" s="777"/>
      <c r="M154" s="777"/>
      <c r="N154" s="777"/>
      <c r="O154" s="777"/>
      <c r="P154" s="777"/>
      <c r="Q154" s="777"/>
      <c r="R154" s="777"/>
      <c r="S154" s="777"/>
      <c r="T154" s="777"/>
      <c r="U154" s="777"/>
      <c r="V154" s="777"/>
    </row>
    <row r="155" spans="1:22" x14ac:dyDescent="0.25">
      <c r="A155" s="777"/>
      <c r="B155" s="777"/>
      <c r="C155" s="777"/>
      <c r="D155" s="777"/>
      <c r="E155" s="777"/>
      <c r="F155" s="777"/>
      <c r="G155" s="777"/>
      <c r="H155" s="777"/>
      <c r="I155" s="777"/>
      <c r="J155" s="777"/>
      <c r="K155" s="777"/>
      <c r="L155" s="777"/>
      <c r="M155" s="777"/>
      <c r="N155" s="777"/>
      <c r="O155" s="777"/>
      <c r="P155" s="777"/>
      <c r="Q155" s="777"/>
      <c r="R155" s="777"/>
      <c r="S155" s="777"/>
      <c r="T155" s="777"/>
      <c r="U155" s="777"/>
      <c r="V155" s="777"/>
    </row>
    <row r="156" spans="1:22" x14ac:dyDescent="0.25">
      <c r="A156" s="777"/>
      <c r="B156" s="777"/>
      <c r="C156" s="777"/>
      <c r="D156" s="777"/>
      <c r="E156" s="777"/>
      <c r="F156" s="777"/>
      <c r="G156" s="777"/>
      <c r="H156" s="777"/>
      <c r="I156" s="777"/>
      <c r="J156" s="777"/>
      <c r="K156" s="777"/>
      <c r="L156" s="777"/>
      <c r="M156" s="777"/>
      <c r="N156" s="777"/>
      <c r="O156" s="777"/>
      <c r="P156" s="777"/>
      <c r="Q156" s="777"/>
      <c r="R156" s="777"/>
      <c r="S156" s="777"/>
      <c r="T156" s="777"/>
      <c r="U156" s="777"/>
      <c r="V156" s="777"/>
    </row>
    <row r="157" spans="1:22" x14ac:dyDescent="0.25">
      <c r="A157" s="777"/>
      <c r="B157" s="777"/>
      <c r="C157" s="777"/>
      <c r="D157" s="777"/>
      <c r="E157" s="777"/>
      <c r="F157" s="777"/>
      <c r="G157" s="777"/>
      <c r="H157" s="777"/>
      <c r="I157" s="777"/>
      <c r="J157" s="777"/>
      <c r="K157" s="777"/>
      <c r="L157" s="777"/>
      <c r="M157" s="777"/>
      <c r="N157" s="777"/>
      <c r="O157" s="777"/>
      <c r="P157" s="777"/>
      <c r="Q157" s="777"/>
      <c r="R157" s="777"/>
      <c r="S157" s="777"/>
      <c r="T157" s="777"/>
      <c r="U157" s="777"/>
      <c r="V157" s="777"/>
    </row>
    <row r="158" spans="1:22" x14ac:dyDescent="0.25">
      <c r="A158" s="777"/>
      <c r="B158" s="777"/>
      <c r="C158" s="777"/>
      <c r="D158" s="777"/>
      <c r="E158" s="777"/>
      <c r="F158" s="777"/>
      <c r="G158" s="777"/>
      <c r="H158" s="777"/>
      <c r="I158" s="777"/>
      <c r="J158" s="777"/>
      <c r="K158" s="777"/>
      <c r="L158" s="777"/>
      <c r="M158" s="777"/>
      <c r="N158" s="777"/>
      <c r="O158" s="777"/>
      <c r="P158" s="777"/>
      <c r="Q158" s="777"/>
      <c r="R158" s="777"/>
      <c r="S158" s="777"/>
      <c r="T158" s="777"/>
      <c r="U158" s="777"/>
      <c r="V158" s="777"/>
    </row>
    <row r="159" spans="1:22" x14ac:dyDescent="0.25">
      <c r="A159" s="777"/>
      <c r="B159" s="777"/>
      <c r="C159" s="777"/>
      <c r="D159" s="777"/>
      <c r="E159" s="777"/>
      <c r="F159" s="777"/>
      <c r="G159" s="777"/>
      <c r="H159" s="777"/>
      <c r="I159" s="777"/>
      <c r="J159" s="777"/>
      <c r="K159" s="777"/>
      <c r="L159" s="777"/>
      <c r="M159" s="777"/>
      <c r="N159" s="777"/>
      <c r="O159" s="777"/>
      <c r="P159" s="777"/>
      <c r="Q159" s="777"/>
      <c r="R159" s="777"/>
      <c r="S159" s="777"/>
      <c r="T159" s="777"/>
      <c r="U159" s="777"/>
      <c r="V159" s="777"/>
    </row>
    <row r="160" spans="1:22" x14ac:dyDescent="0.25">
      <c r="A160" s="777"/>
      <c r="B160" s="777"/>
      <c r="C160" s="777"/>
      <c r="D160" s="777"/>
      <c r="E160" s="777"/>
      <c r="F160" s="777"/>
      <c r="G160" s="777"/>
      <c r="H160" s="777"/>
      <c r="I160" s="777"/>
      <c r="J160" s="777"/>
      <c r="K160" s="777"/>
      <c r="L160" s="777"/>
      <c r="M160" s="777"/>
      <c r="N160" s="777"/>
      <c r="O160" s="777"/>
      <c r="P160" s="777"/>
      <c r="Q160" s="777"/>
      <c r="R160" s="777"/>
      <c r="S160" s="777"/>
      <c r="T160" s="777"/>
      <c r="U160" s="777"/>
      <c r="V160" s="777"/>
    </row>
    <row r="161" spans="1:22" x14ac:dyDescent="0.25">
      <c r="A161" s="777"/>
      <c r="B161" s="777"/>
      <c r="C161" s="777"/>
      <c r="D161" s="777"/>
      <c r="E161" s="777"/>
      <c r="F161" s="777"/>
      <c r="G161" s="777"/>
      <c r="H161" s="777"/>
      <c r="I161" s="777"/>
      <c r="J161" s="777"/>
      <c r="K161" s="777"/>
      <c r="L161" s="777"/>
      <c r="M161" s="777"/>
      <c r="N161" s="777"/>
      <c r="O161" s="777"/>
      <c r="P161" s="777"/>
      <c r="Q161" s="777"/>
      <c r="R161" s="777"/>
      <c r="S161" s="777"/>
      <c r="T161" s="777"/>
      <c r="U161" s="777"/>
      <c r="V161" s="777"/>
    </row>
    <row r="162" spans="1:22" x14ac:dyDescent="0.25">
      <c r="A162" s="777"/>
      <c r="B162" s="777"/>
      <c r="C162" s="777"/>
      <c r="D162" s="777"/>
      <c r="E162" s="777"/>
      <c r="F162" s="777"/>
      <c r="G162" s="777"/>
      <c r="H162" s="777"/>
      <c r="I162" s="777"/>
      <c r="J162" s="777"/>
      <c r="K162" s="777"/>
      <c r="L162" s="777"/>
      <c r="M162" s="777"/>
      <c r="N162" s="777"/>
      <c r="O162" s="777"/>
      <c r="P162" s="777"/>
      <c r="Q162" s="777"/>
      <c r="R162" s="777"/>
      <c r="S162" s="777"/>
      <c r="T162" s="777"/>
      <c r="U162" s="777"/>
      <c r="V162" s="777"/>
    </row>
    <row r="163" spans="1:22" x14ac:dyDescent="0.25">
      <c r="A163" s="777"/>
      <c r="B163" s="777"/>
      <c r="C163" s="777"/>
      <c r="D163" s="777"/>
      <c r="E163" s="777"/>
      <c r="F163" s="777"/>
      <c r="G163" s="777"/>
      <c r="H163" s="777"/>
      <c r="I163" s="777"/>
      <c r="J163" s="777"/>
      <c r="K163" s="777"/>
      <c r="L163" s="777"/>
      <c r="M163" s="777"/>
      <c r="N163" s="777"/>
      <c r="O163" s="777"/>
      <c r="P163" s="777"/>
      <c r="Q163" s="777"/>
      <c r="R163" s="777"/>
      <c r="S163" s="777"/>
      <c r="T163" s="777"/>
      <c r="U163" s="777"/>
      <c r="V163" s="777"/>
    </row>
    <row r="164" spans="1:22" x14ac:dyDescent="0.25">
      <c r="A164" s="777"/>
      <c r="B164" s="777"/>
      <c r="C164" s="777"/>
      <c r="D164" s="777"/>
      <c r="E164" s="777"/>
      <c r="F164" s="777"/>
      <c r="G164" s="777"/>
      <c r="H164" s="777"/>
      <c r="I164" s="777"/>
      <c r="J164" s="777"/>
      <c r="K164" s="777"/>
      <c r="L164" s="777"/>
      <c r="M164" s="777"/>
      <c r="N164" s="777"/>
      <c r="O164" s="777"/>
      <c r="P164" s="777"/>
      <c r="Q164" s="777"/>
      <c r="R164" s="777"/>
      <c r="S164" s="777"/>
      <c r="T164" s="777"/>
      <c r="U164" s="777"/>
      <c r="V164" s="777"/>
    </row>
    <row r="165" spans="1:22" x14ac:dyDescent="0.25">
      <c r="A165" s="777"/>
      <c r="B165" s="777"/>
      <c r="C165" s="777"/>
      <c r="D165" s="777"/>
      <c r="E165" s="777"/>
      <c r="F165" s="777"/>
      <c r="G165" s="777"/>
      <c r="H165" s="777"/>
      <c r="I165" s="777"/>
      <c r="J165" s="777"/>
      <c r="K165" s="777"/>
      <c r="L165" s="777"/>
      <c r="M165" s="777"/>
      <c r="N165" s="777"/>
      <c r="O165" s="777"/>
      <c r="P165" s="777"/>
      <c r="Q165" s="777"/>
      <c r="R165" s="777"/>
      <c r="S165" s="777"/>
      <c r="T165" s="777"/>
      <c r="U165" s="777"/>
      <c r="V165" s="777"/>
    </row>
    <row r="166" spans="1:22" x14ac:dyDescent="0.25">
      <c r="A166" s="777"/>
      <c r="B166" s="777"/>
      <c r="C166" s="777"/>
      <c r="D166" s="777"/>
      <c r="E166" s="777"/>
      <c r="F166" s="777"/>
      <c r="G166" s="777"/>
      <c r="H166" s="777"/>
      <c r="I166" s="777"/>
      <c r="J166" s="777"/>
      <c r="K166" s="777"/>
      <c r="L166" s="777"/>
      <c r="M166" s="777"/>
      <c r="N166" s="777"/>
      <c r="O166" s="777"/>
      <c r="P166" s="777"/>
      <c r="Q166" s="777"/>
      <c r="R166" s="777"/>
      <c r="S166" s="777"/>
      <c r="T166" s="777"/>
      <c r="U166" s="777"/>
      <c r="V166" s="777"/>
    </row>
    <row r="167" spans="1:22" x14ac:dyDescent="0.25">
      <c r="A167" s="777"/>
      <c r="B167" s="777"/>
      <c r="C167" s="777"/>
      <c r="D167" s="777"/>
      <c r="E167" s="777"/>
      <c r="F167" s="777"/>
      <c r="G167" s="777"/>
      <c r="H167" s="777"/>
      <c r="I167" s="777"/>
      <c r="J167" s="777"/>
      <c r="K167" s="777"/>
      <c r="L167" s="777"/>
      <c r="M167" s="777"/>
      <c r="N167" s="777"/>
      <c r="O167" s="777"/>
      <c r="P167" s="777"/>
      <c r="Q167" s="777"/>
      <c r="R167" s="777"/>
      <c r="S167" s="777"/>
      <c r="T167" s="777"/>
      <c r="U167" s="777"/>
      <c r="V167" s="777"/>
    </row>
    <row r="168" spans="1:22" x14ac:dyDescent="0.25">
      <c r="A168" s="777"/>
      <c r="B168" s="777"/>
      <c r="C168" s="777"/>
      <c r="D168" s="777"/>
      <c r="E168" s="777"/>
      <c r="F168" s="777"/>
      <c r="G168" s="777"/>
      <c r="H168" s="777"/>
      <c r="I168" s="777"/>
      <c r="J168" s="777"/>
      <c r="K168" s="777"/>
      <c r="L168" s="777"/>
      <c r="M168" s="777"/>
      <c r="N168" s="777"/>
      <c r="O168" s="777"/>
      <c r="P168" s="777"/>
      <c r="Q168" s="777"/>
      <c r="R168" s="777"/>
      <c r="S168" s="777"/>
      <c r="T168" s="777"/>
      <c r="U168" s="777"/>
      <c r="V168" s="777"/>
    </row>
    <row r="169" spans="1:22" x14ac:dyDescent="0.25">
      <c r="A169" s="777"/>
      <c r="B169" s="777"/>
      <c r="C169" s="777"/>
      <c r="D169" s="777"/>
      <c r="E169" s="777"/>
      <c r="F169" s="777"/>
      <c r="G169" s="777"/>
      <c r="H169" s="777"/>
      <c r="I169" s="777"/>
      <c r="J169" s="777"/>
      <c r="K169" s="777"/>
      <c r="L169" s="777"/>
      <c r="M169" s="777"/>
      <c r="N169" s="777"/>
      <c r="O169" s="777"/>
      <c r="P169" s="777"/>
      <c r="Q169" s="777"/>
      <c r="R169" s="777"/>
      <c r="S169" s="777"/>
      <c r="T169" s="777"/>
      <c r="U169" s="777"/>
      <c r="V169" s="777"/>
    </row>
    <row r="170" spans="1:22" x14ac:dyDescent="0.25">
      <c r="A170" s="777"/>
      <c r="B170" s="777"/>
      <c r="C170" s="777"/>
      <c r="D170" s="777"/>
      <c r="E170" s="777"/>
      <c r="F170" s="777"/>
      <c r="G170" s="777"/>
      <c r="H170" s="777"/>
      <c r="I170" s="777"/>
      <c r="J170" s="777"/>
      <c r="K170" s="777"/>
      <c r="L170" s="777"/>
      <c r="M170" s="777"/>
      <c r="N170" s="777"/>
      <c r="O170" s="777"/>
      <c r="P170" s="777"/>
      <c r="Q170" s="777"/>
      <c r="R170" s="777"/>
      <c r="S170" s="777"/>
      <c r="T170" s="777"/>
      <c r="U170" s="777"/>
      <c r="V170" s="777"/>
    </row>
    <row r="171" spans="1:22" x14ac:dyDescent="0.25">
      <c r="A171" s="777"/>
      <c r="B171" s="777"/>
      <c r="C171" s="777"/>
      <c r="D171" s="777"/>
      <c r="E171" s="777"/>
      <c r="F171" s="777"/>
      <c r="G171" s="777"/>
      <c r="H171" s="777"/>
      <c r="I171" s="777"/>
      <c r="J171" s="777"/>
      <c r="K171" s="777"/>
      <c r="L171" s="777"/>
      <c r="M171" s="777"/>
      <c r="N171" s="777"/>
      <c r="O171" s="777"/>
      <c r="P171" s="777"/>
      <c r="Q171" s="777"/>
      <c r="R171" s="777"/>
      <c r="S171" s="777"/>
      <c r="T171" s="777"/>
      <c r="U171" s="777"/>
      <c r="V171" s="777"/>
    </row>
    <row r="172" spans="1:22" x14ac:dyDescent="0.25">
      <c r="A172" s="777"/>
      <c r="B172" s="777"/>
      <c r="C172" s="777"/>
      <c r="D172" s="777"/>
      <c r="E172" s="777"/>
      <c r="F172" s="777"/>
      <c r="G172" s="777"/>
      <c r="H172" s="777"/>
      <c r="I172" s="777"/>
      <c r="J172" s="777"/>
      <c r="K172" s="777"/>
      <c r="L172" s="777"/>
      <c r="M172" s="777"/>
      <c r="N172" s="777"/>
      <c r="O172" s="777"/>
      <c r="P172" s="777"/>
      <c r="Q172" s="777"/>
      <c r="R172" s="777"/>
      <c r="S172" s="777"/>
      <c r="T172" s="777"/>
      <c r="U172" s="777"/>
      <c r="V172" s="777"/>
    </row>
    <row r="173" spans="1:22" x14ac:dyDescent="0.25">
      <c r="A173" s="777"/>
      <c r="B173" s="777"/>
      <c r="C173" s="777"/>
      <c r="D173" s="777"/>
      <c r="E173" s="777"/>
      <c r="F173" s="777"/>
      <c r="G173" s="777"/>
      <c r="H173" s="777"/>
      <c r="I173" s="777"/>
      <c r="J173" s="777"/>
      <c r="K173" s="777"/>
      <c r="L173" s="777"/>
      <c r="M173" s="777"/>
      <c r="N173" s="777"/>
      <c r="O173" s="777"/>
      <c r="P173" s="777"/>
      <c r="Q173" s="777"/>
      <c r="R173" s="777"/>
      <c r="S173" s="777"/>
      <c r="T173" s="777"/>
      <c r="U173" s="777"/>
      <c r="V173" s="777"/>
    </row>
    <row r="174" spans="1:22" x14ac:dyDescent="0.25">
      <c r="A174" s="777"/>
      <c r="B174" s="777"/>
      <c r="C174" s="777"/>
      <c r="D174" s="777"/>
      <c r="E174" s="777"/>
      <c r="F174" s="777"/>
      <c r="G174" s="777"/>
      <c r="H174" s="777"/>
      <c r="I174" s="777"/>
      <c r="J174" s="777"/>
      <c r="K174" s="777"/>
      <c r="L174" s="777"/>
      <c r="M174" s="777"/>
      <c r="N174" s="777"/>
      <c r="O174" s="777"/>
      <c r="P174" s="777"/>
      <c r="Q174" s="777"/>
      <c r="R174" s="777"/>
      <c r="S174" s="777"/>
      <c r="T174" s="777"/>
      <c r="U174" s="777"/>
      <c r="V174" s="777"/>
    </row>
    <row r="175" spans="1:22" x14ac:dyDescent="0.25">
      <c r="A175" s="777"/>
      <c r="B175" s="777"/>
      <c r="C175" s="777"/>
      <c r="D175" s="777"/>
      <c r="E175" s="777"/>
      <c r="F175" s="777"/>
      <c r="G175" s="777"/>
      <c r="H175" s="777"/>
      <c r="I175" s="777"/>
      <c r="J175" s="777"/>
      <c r="K175" s="777"/>
      <c r="L175" s="777"/>
      <c r="M175" s="777"/>
      <c r="N175" s="777"/>
      <c r="O175" s="777"/>
      <c r="P175" s="777"/>
      <c r="Q175" s="777"/>
      <c r="R175" s="777"/>
      <c r="S175" s="777"/>
      <c r="T175" s="777"/>
      <c r="U175" s="777"/>
      <c r="V175" s="777"/>
    </row>
    <row r="176" spans="1:22" x14ac:dyDescent="0.25">
      <c r="A176" s="777"/>
      <c r="B176" s="777"/>
      <c r="C176" s="777"/>
      <c r="D176" s="777"/>
      <c r="E176" s="777"/>
      <c r="F176" s="777"/>
      <c r="G176" s="777"/>
      <c r="H176" s="777"/>
      <c r="I176" s="777"/>
      <c r="J176" s="777"/>
      <c r="K176" s="777"/>
      <c r="L176" s="777"/>
      <c r="M176" s="777"/>
      <c r="N176" s="777"/>
      <c r="O176" s="777"/>
      <c r="P176" s="777"/>
      <c r="Q176" s="777"/>
      <c r="R176" s="777"/>
      <c r="S176" s="777"/>
      <c r="T176" s="777"/>
      <c r="U176" s="777"/>
      <c r="V176" s="777"/>
    </row>
    <row r="177" spans="1:22" x14ac:dyDescent="0.25">
      <c r="A177" s="777"/>
      <c r="B177" s="777"/>
      <c r="C177" s="777"/>
      <c r="D177" s="777"/>
      <c r="E177" s="777"/>
      <c r="F177" s="777"/>
      <c r="G177" s="777"/>
      <c r="H177" s="777"/>
      <c r="I177" s="777"/>
      <c r="J177" s="777"/>
      <c r="K177" s="777"/>
      <c r="L177" s="777"/>
      <c r="M177" s="777"/>
      <c r="N177" s="777"/>
      <c r="O177" s="777"/>
      <c r="P177" s="777"/>
      <c r="Q177" s="777"/>
      <c r="R177" s="777"/>
      <c r="S177" s="777"/>
      <c r="T177" s="777"/>
      <c r="U177" s="777"/>
      <c r="V177" s="777"/>
    </row>
    <row r="178" spans="1:22" x14ac:dyDescent="0.25">
      <c r="A178" s="777"/>
      <c r="B178" s="777"/>
      <c r="C178" s="777"/>
      <c r="D178" s="777"/>
      <c r="E178" s="777"/>
      <c r="F178" s="777"/>
      <c r="G178" s="777"/>
      <c r="H178" s="777"/>
      <c r="I178" s="777"/>
      <c r="J178" s="777"/>
      <c r="K178" s="777"/>
      <c r="L178" s="777"/>
      <c r="M178" s="777"/>
      <c r="N178" s="777"/>
      <c r="O178" s="777"/>
      <c r="P178" s="777"/>
      <c r="Q178" s="777"/>
      <c r="R178" s="777"/>
      <c r="S178" s="777"/>
      <c r="T178" s="777"/>
      <c r="U178" s="777"/>
      <c r="V178" s="777"/>
    </row>
    <row r="179" spans="1:22" x14ac:dyDescent="0.25">
      <c r="A179" s="777"/>
      <c r="B179" s="777"/>
      <c r="C179" s="777"/>
      <c r="D179" s="777"/>
      <c r="E179" s="777"/>
      <c r="F179" s="777"/>
      <c r="G179" s="777"/>
      <c r="H179" s="777"/>
      <c r="I179" s="777"/>
      <c r="J179" s="777"/>
      <c r="K179" s="777"/>
      <c r="L179" s="777"/>
      <c r="M179" s="777"/>
      <c r="N179" s="777"/>
      <c r="O179" s="777"/>
      <c r="P179" s="777"/>
      <c r="Q179" s="777"/>
      <c r="R179" s="777"/>
      <c r="S179" s="777"/>
      <c r="T179" s="777"/>
      <c r="U179" s="777"/>
      <c r="V179" s="777"/>
    </row>
    <row r="180" spans="1:22" x14ac:dyDescent="0.25">
      <c r="A180" s="777"/>
      <c r="B180" s="777"/>
      <c r="C180" s="777"/>
      <c r="D180" s="777"/>
      <c r="E180" s="777"/>
      <c r="F180" s="777"/>
      <c r="G180" s="777"/>
      <c r="H180" s="777"/>
      <c r="I180" s="777"/>
      <c r="J180" s="777"/>
      <c r="K180" s="777"/>
      <c r="L180" s="777"/>
      <c r="M180" s="777"/>
      <c r="N180" s="777"/>
      <c r="O180" s="777"/>
      <c r="P180" s="777"/>
      <c r="Q180" s="777"/>
      <c r="R180" s="777"/>
      <c r="S180" s="777"/>
      <c r="T180" s="777"/>
      <c r="U180" s="777"/>
      <c r="V180" s="777"/>
    </row>
    <row r="181" spans="1:22" x14ac:dyDescent="0.25">
      <c r="A181" s="777"/>
      <c r="B181" s="777"/>
      <c r="C181" s="777"/>
      <c r="D181" s="777"/>
      <c r="E181" s="777"/>
      <c r="F181" s="777"/>
      <c r="G181" s="777"/>
      <c r="H181" s="777"/>
      <c r="I181" s="777"/>
      <c r="J181" s="777"/>
      <c r="K181" s="777"/>
      <c r="L181" s="777"/>
      <c r="M181" s="777"/>
      <c r="N181" s="777"/>
      <c r="O181" s="777"/>
      <c r="P181" s="777"/>
      <c r="Q181" s="777"/>
      <c r="R181" s="777"/>
      <c r="S181" s="777"/>
      <c r="T181" s="777"/>
      <c r="U181" s="777"/>
      <c r="V181" s="777"/>
    </row>
    <row r="182" spans="1:22" x14ac:dyDescent="0.25">
      <c r="A182" s="777"/>
      <c r="B182" s="777"/>
      <c r="C182" s="777"/>
      <c r="D182" s="777"/>
      <c r="E182" s="777"/>
      <c r="F182" s="777"/>
      <c r="G182" s="777"/>
      <c r="H182" s="777"/>
      <c r="I182" s="777"/>
      <c r="J182" s="777"/>
      <c r="K182" s="777"/>
      <c r="L182" s="777"/>
      <c r="M182" s="777"/>
      <c r="N182" s="777"/>
      <c r="O182" s="777"/>
      <c r="P182" s="777"/>
      <c r="Q182" s="777"/>
      <c r="R182" s="777"/>
      <c r="S182" s="777"/>
      <c r="T182" s="777"/>
      <c r="U182" s="777"/>
      <c r="V182" s="777"/>
    </row>
    <row r="183" spans="1:22" x14ac:dyDescent="0.25">
      <c r="A183" s="777"/>
      <c r="B183" s="777"/>
      <c r="C183" s="777"/>
      <c r="D183" s="777"/>
      <c r="E183" s="777"/>
      <c r="F183" s="777"/>
      <c r="G183" s="777"/>
      <c r="H183" s="777"/>
      <c r="I183" s="777"/>
      <c r="J183" s="777"/>
      <c r="K183" s="777"/>
      <c r="L183" s="777"/>
      <c r="M183" s="777"/>
      <c r="N183" s="777"/>
      <c r="O183" s="777"/>
      <c r="P183" s="777"/>
      <c r="Q183" s="777"/>
      <c r="R183" s="777"/>
      <c r="S183" s="777"/>
      <c r="T183" s="777"/>
      <c r="U183" s="777"/>
      <c r="V183" s="777"/>
    </row>
    <row r="184" spans="1:22" x14ac:dyDescent="0.25">
      <c r="A184" s="777"/>
      <c r="B184" s="777"/>
      <c r="C184" s="777"/>
      <c r="D184" s="777"/>
      <c r="E184" s="777"/>
      <c r="F184" s="777"/>
      <c r="G184" s="777"/>
      <c r="H184" s="777"/>
      <c r="I184" s="777"/>
      <c r="J184" s="777"/>
      <c r="K184" s="777"/>
      <c r="L184" s="777"/>
      <c r="M184" s="777"/>
      <c r="N184" s="777"/>
      <c r="O184" s="777"/>
      <c r="P184" s="777"/>
      <c r="Q184" s="777"/>
      <c r="R184" s="777"/>
      <c r="S184" s="777"/>
      <c r="T184" s="777"/>
      <c r="U184" s="777"/>
      <c r="V184" s="777"/>
    </row>
    <row r="185" spans="1:22" x14ac:dyDescent="0.25">
      <c r="A185" s="777"/>
      <c r="B185" s="777"/>
      <c r="C185" s="777"/>
      <c r="D185" s="777"/>
      <c r="E185" s="777"/>
      <c r="F185" s="777"/>
      <c r="G185" s="777"/>
      <c r="H185" s="777"/>
      <c r="I185" s="777"/>
      <c r="J185" s="777"/>
      <c r="K185" s="777"/>
      <c r="L185" s="777"/>
      <c r="M185" s="777"/>
      <c r="N185" s="777"/>
      <c r="O185" s="777"/>
      <c r="P185" s="777"/>
      <c r="Q185" s="777"/>
      <c r="R185" s="777"/>
      <c r="S185" s="777"/>
      <c r="T185" s="777"/>
      <c r="U185" s="777"/>
      <c r="V185" s="777"/>
    </row>
    <row r="186" spans="1:22" x14ac:dyDescent="0.25">
      <c r="A186" s="777"/>
      <c r="B186" s="777"/>
      <c r="C186" s="777"/>
      <c r="D186" s="777"/>
      <c r="E186" s="777"/>
      <c r="F186" s="777"/>
      <c r="G186" s="777"/>
      <c r="H186" s="777"/>
      <c r="I186" s="777"/>
      <c r="J186" s="777"/>
      <c r="K186" s="777"/>
      <c r="L186" s="777"/>
      <c r="M186" s="777"/>
      <c r="N186" s="777"/>
      <c r="O186" s="777"/>
      <c r="P186" s="777"/>
      <c r="Q186" s="777"/>
      <c r="R186" s="777"/>
      <c r="S186" s="777"/>
      <c r="T186" s="777"/>
      <c r="U186" s="777"/>
      <c r="V186" s="777"/>
    </row>
    <row r="187" spans="1:22" x14ac:dyDescent="0.25">
      <c r="A187" s="777"/>
      <c r="B187" s="777"/>
      <c r="C187" s="777"/>
      <c r="D187" s="777"/>
      <c r="E187" s="777"/>
      <c r="F187" s="777"/>
      <c r="G187" s="777"/>
      <c r="H187" s="777"/>
      <c r="I187" s="777"/>
      <c r="J187" s="777"/>
      <c r="K187" s="777"/>
      <c r="L187" s="777"/>
      <c r="M187" s="777"/>
      <c r="N187" s="777"/>
      <c r="O187" s="777"/>
      <c r="P187" s="777"/>
      <c r="Q187" s="777"/>
      <c r="R187" s="777"/>
      <c r="S187" s="777"/>
      <c r="T187" s="777"/>
      <c r="U187" s="777"/>
      <c r="V187" s="777"/>
    </row>
    <row r="188" spans="1:22" x14ac:dyDescent="0.25">
      <c r="A188" s="777"/>
      <c r="B188" s="777"/>
      <c r="C188" s="777"/>
      <c r="D188" s="777"/>
      <c r="E188" s="777"/>
      <c r="F188" s="777"/>
      <c r="G188" s="777"/>
      <c r="H188" s="777"/>
      <c r="I188" s="777"/>
      <c r="J188" s="777"/>
      <c r="K188" s="777"/>
      <c r="L188" s="777"/>
      <c r="M188" s="777"/>
      <c r="N188" s="777"/>
      <c r="O188" s="777"/>
      <c r="P188" s="777"/>
      <c r="Q188" s="777"/>
      <c r="R188" s="777"/>
      <c r="S188" s="777"/>
      <c r="T188" s="777"/>
      <c r="U188" s="777"/>
      <c r="V188" s="777"/>
    </row>
    <row r="189" spans="1:22" x14ac:dyDescent="0.25">
      <c r="A189" s="777"/>
      <c r="B189" s="777"/>
      <c r="C189" s="777"/>
      <c r="D189" s="777"/>
      <c r="E189" s="777"/>
      <c r="F189" s="777"/>
      <c r="G189" s="777"/>
      <c r="H189" s="777"/>
      <c r="I189" s="777"/>
      <c r="J189" s="777"/>
      <c r="K189" s="777"/>
      <c r="L189" s="777"/>
      <c r="M189" s="777"/>
      <c r="N189" s="777"/>
      <c r="O189" s="777"/>
      <c r="P189" s="777"/>
      <c r="Q189" s="777"/>
      <c r="R189" s="777"/>
      <c r="S189" s="777"/>
      <c r="T189" s="777"/>
      <c r="U189" s="777"/>
      <c r="V189" s="777"/>
    </row>
    <row r="190" spans="1:22" x14ac:dyDescent="0.25">
      <c r="A190" s="777"/>
      <c r="B190" s="777"/>
      <c r="C190" s="777"/>
      <c r="D190" s="777"/>
      <c r="E190" s="777"/>
      <c r="F190" s="777"/>
      <c r="G190" s="777"/>
      <c r="H190" s="777"/>
      <c r="I190" s="777"/>
      <c r="J190" s="777"/>
      <c r="K190" s="777"/>
      <c r="L190" s="777"/>
      <c r="M190" s="777"/>
      <c r="N190" s="777"/>
      <c r="O190" s="777"/>
      <c r="P190" s="777"/>
      <c r="Q190" s="777"/>
      <c r="R190" s="777"/>
      <c r="S190" s="777"/>
      <c r="T190" s="777"/>
      <c r="U190" s="777"/>
      <c r="V190" s="777"/>
    </row>
    <row r="191" spans="1:22" x14ac:dyDescent="0.25">
      <c r="A191" s="777"/>
      <c r="B191" s="777"/>
      <c r="C191" s="777"/>
      <c r="D191" s="777"/>
      <c r="E191" s="777"/>
      <c r="F191" s="777"/>
      <c r="G191" s="777"/>
      <c r="H191" s="777"/>
      <c r="I191" s="777"/>
      <c r="J191" s="777"/>
      <c r="K191" s="777"/>
      <c r="L191" s="777"/>
      <c r="M191" s="777"/>
      <c r="N191" s="777"/>
      <c r="O191" s="777"/>
      <c r="P191" s="777"/>
      <c r="Q191" s="777"/>
      <c r="R191" s="777"/>
      <c r="S191" s="777"/>
      <c r="T191" s="777"/>
      <c r="U191" s="777"/>
      <c r="V191" s="777"/>
    </row>
    <row r="192" spans="1:22" x14ac:dyDescent="0.25">
      <c r="A192" s="777"/>
      <c r="B192" s="777"/>
      <c r="C192" s="777"/>
      <c r="D192" s="777"/>
      <c r="E192" s="777"/>
      <c r="F192" s="777"/>
      <c r="G192" s="777"/>
      <c r="H192" s="777"/>
      <c r="I192" s="777"/>
      <c r="J192" s="777"/>
      <c r="K192" s="777"/>
      <c r="L192" s="777"/>
      <c r="M192" s="777"/>
      <c r="N192" s="777"/>
      <c r="O192" s="777"/>
      <c r="P192" s="777"/>
      <c r="Q192" s="777"/>
      <c r="R192" s="777"/>
      <c r="S192" s="777"/>
      <c r="T192" s="777"/>
      <c r="U192" s="777"/>
      <c r="V192" s="777"/>
    </row>
    <row r="193" spans="1:22" x14ac:dyDescent="0.25">
      <c r="A193" s="777"/>
      <c r="B193" s="777"/>
      <c r="C193" s="777"/>
      <c r="D193" s="777"/>
      <c r="E193" s="777"/>
      <c r="F193" s="777"/>
      <c r="G193" s="777"/>
      <c r="H193" s="777"/>
      <c r="I193" s="777"/>
      <c r="J193" s="777"/>
      <c r="K193" s="777"/>
      <c r="L193" s="777"/>
      <c r="M193" s="777"/>
      <c r="N193" s="777"/>
      <c r="O193" s="777"/>
      <c r="P193" s="777"/>
      <c r="Q193" s="777"/>
      <c r="R193" s="777"/>
      <c r="S193" s="777"/>
      <c r="T193" s="777"/>
      <c r="U193" s="777"/>
      <c r="V193" s="777"/>
    </row>
    <row r="194" spans="1:22" x14ac:dyDescent="0.25">
      <c r="A194" s="777"/>
      <c r="B194" s="777"/>
      <c r="C194" s="777"/>
      <c r="D194" s="777"/>
      <c r="E194" s="777"/>
      <c r="F194" s="777"/>
      <c r="G194" s="777"/>
      <c r="H194" s="777"/>
      <c r="I194" s="777"/>
      <c r="J194" s="777"/>
      <c r="K194" s="777"/>
      <c r="L194" s="777"/>
      <c r="M194" s="777"/>
      <c r="N194" s="777"/>
      <c r="O194" s="777"/>
      <c r="P194" s="777"/>
      <c r="Q194" s="777"/>
      <c r="R194" s="777"/>
      <c r="S194" s="777"/>
      <c r="T194" s="777"/>
      <c r="U194" s="777"/>
      <c r="V194" s="777"/>
    </row>
    <row r="195" spans="1:22" x14ac:dyDescent="0.25">
      <c r="A195" s="777"/>
      <c r="B195" s="777"/>
      <c r="C195" s="777"/>
      <c r="D195" s="777"/>
      <c r="E195" s="777"/>
      <c r="F195" s="777"/>
      <c r="G195" s="777"/>
      <c r="H195" s="777"/>
      <c r="I195" s="777"/>
      <c r="J195" s="777"/>
      <c r="K195" s="777"/>
      <c r="L195" s="777"/>
      <c r="M195" s="777"/>
      <c r="N195" s="777"/>
      <c r="O195" s="777"/>
      <c r="P195" s="777"/>
      <c r="Q195" s="777"/>
      <c r="R195" s="777"/>
      <c r="S195" s="777"/>
      <c r="T195" s="777"/>
      <c r="U195" s="777"/>
      <c r="V195" s="777"/>
    </row>
    <row r="196" spans="1:22" x14ac:dyDescent="0.25">
      <c r="A196" s="777"/>
      <c r="B196" s="777"/>
      <c r="C196" s="777"/>
      <c r="D196" s="777"/>
      <c r="E196" s="777"/>
      <c r="F196" s="777"/>
      <c r="G196" s="777"/>
      <c r="H196" s="777"/>
      <c r="I196" s="777"/>
      <c r="J196" s="777"/>
      <c r="K196" s="777"/>
      <c r="L196" s="777"/>
      <c r="M196" s="777"/>
      <c r="N196" s="777"/>
      <c r="O196" s="777"/>
      <c r="P196" s="777"/>
      <c r="Q196" s="777"/>
      <c r="R196" s="777"/>
      <c r="S196" s="777"/>
      <c r="T196" s="777"/>
      <c r="U196" s="777"/>
      <c r="V196" s="777"/>
    </row>
    <row r="197" spans="1:22" x14ac:dyDescent="0.25">
      <c r="A197" s="777"/>
      <c r="B197" s="777"/>
      <c r="C197" s="777"/>
      <c r="D197" s="777"/>
      <c r="E197" s="777"/>
      <c r="F197" s="777"/>
      <c r="G197" s="777"/>
      <c r="H197" s="777"/>
      <c r="I197" s="777"/>
      <c r="J197" s="777"/>
      <c r="K197" s="777"/>
      <c r="L197" s="777"/>
      <c r="M197" s="777"/>
      <c r="N197" s="777"/>
      <c r="O197" s="777"/>
      <c r="P197" s="777"/>
      <c r="Q197" s="777"/>
      <c r="R197" s="777"/>
      <c r="S197" s="777"/>
      <c r="T197" s="777"/>
      <c r="U197" s="777"/>
      <c r="V197" s="777"/>
    </row>
    <row r="198" spans="1:22" x14ac:dyDescent="0.25">
      <c r="A198" s="777"/>
      <c r="B198" s="777"/>
      <c r="C198" s="777"/>
      <c r="D198" s="777"/>
      <c r="E198" s="777"/>
      <c r="F198" s="777"/>
      <c r="G198" s="777"/>
      <c r="H198" s="777"/>
      <c r="I198" s="777"/>
      <c r="J198" s="777"/>
      <c r="K198" s="777"/>
      <c r="L198" s="777"/>
      <c r="M198" s="777"/>
      <c r="N198" s="777"/>
      <c r="O198" s="777"/>
      <c r="P198" s="777"/>
      <c r="Q198" s="777"/>
      <c r="R198" s="777"/>
      <c r="S198" s="777"/>
      <c r="T198" s="777"/>
      <c r="U198" s="777"/>
      <c r="V198" s="777"/>
    </row>
    <row r="199" spans="1:22" x14ac:dyDescent="0.25">
      <c r="A199" s="777"/>
      <c r="B199" s="777"/>
      <c r="C199" s="777"/>
      <c r="D199" s="777"/>
      <c r="E199" s="777"/>
      <c r="F199" s="777"/>
      <c r="G199" s="777"/>
      <c r="H199" s="777"/>
      <c r="I199" s="777"/>
      <c r="J199" s="777"/>
      <c r="K199" s="777"/>
      <c r="L199" s="777"/>
      <c r="M199" s="777"/>
      <c r="N199" s="777"/>
      <c r="O199" s="777"/>
      <c r="P199" s="777"/>
      <c r="Q199" s="777"/>
      <c r="R199" s="777"/>
      <c r="S199" s="777"/>
      <c r="T199" s="777"/>
      <c r="U199" s="777"/>
      <c r="V199" s="777"/>
    </row>
    <row r="200" spans="1:22" x14ac:dyDescent="0.25">
      <c r="A200" s="777"/>
      <c r="B200" s="777"/>
      <c r="C200" s="777"/>
      <c r="D200" s="777"/>
      <c r="E200" s="777"/>
      <c r="F200" s="777"/>
      <c r="G200" s="777"/>
      <c r="H200" s="777"/>
      <c r="I200" s="777"/>
      <c r="J200" s="777"/>
      <c r="K200" s="777"/>
      <c r="L200" s="777"/>
      <c r="M200" s="777"/>
      <c r="N200" s="777"/>
      <c r="O200" s="777"/>
      <c r="P200" s="777"/>
      <c r="Q200" s="777"/>
      <c r="R200" s="777"/>
      <c r="S200" s="777"/>
      <c r="T200" s="777"/>
      <c r="U200" s="777"/>
      <c r="V200" s="777"/>
    </row>
    <row r="201" spans="1:22" x14ac:dyDescent="0.25">
      <c r="A201" s="777"/>
      <c r="B201" s="777"/>
      <c r="C201" s="777"/>
      <c r="D201" s="777"/>
      <c r="E201" s="777"/>
      <c r="F201" s="777"/>
      <c r="G201" s="777"/>
      <c r="H201" s="777"/>
      <c r="I201" s="777"/>
      <c r="J201" s="777"/>
      <c r="K201" s="777"/>
      <c r="L201" s="777"/>
      <c r="M201" s="777"/>
      <c r="N201" s="777"/>
      <c r="O201" s="777"/>
      <c r="P201" s="777"/>
      <c r="Q201" s="777"/>
      <c r="R201" s="777"/>
      <c r="S201" s="777"/>
      <c r="T201" s="777"/>
      <c r="U201" s="777"/>
      <c r="V201" s="777"/>
    </row>
    <row r="202" spans="1:22" x14ac:dyDescent="0.25">
      <c r="A202" s="777"/>
      <c r="B202" s="777"/>
      <c r="C202" s="777"/>
      <c r="D202" s="777"/>
      <c r="E202" s="777"/>
      <c r="F202" s="777"/>
      <c r="G202" s="777"/>
      <c r="H202" s="777"/>
      <c r="I202" s="777"/>
      <c r="J202" s="777"/>
      <c r="K202" s="777"/>
      <c r="L202" s="777"/>
      <c r="M202" s="777"/>
      <c r="N202" s="777"/>
      <c r="O202" s="777"/>
      <c r="P202" s="777"/>
      <c r="Q202" s="777"/>
      <c r="R202" s="777"/>
      <c r="S202" s="777"/>
      <c r="T202" s="777"/>
      <c r="U202" s="777"/>
      <c r="V202" s="777"/>
    </row>
    <row r="203" spans="1:22" x14ac:dyDescent="0.25">
      <c r="A203" s="777"/>
      <c r="B203" s="777"/>
      <c r="C203" s="777"/>
      <c r="D203" s="777"/>
      <c r="E203" s="777"/>
      <c r="F203" s="777"/>
      <c r="G203" s="777"/>
      <c r="H203" s="777"/>
      <c r="I203" s="777"/>
      <c r="J203" s="777"/>
      <c r="K203" s="777"/>
      <c r="L203" s="777"/>
      <c r="M203" s="777"/>
      <c r="N203" s="777"/>
      <c r="O203" s="777"/>
      <c r="P203" s="777"/>
      <c r="Q203" s="777"/>
      <c r="R203" s="777"/>
      <c r="S203" s="777"/>
      <c r="T203" s="777"/>
      <c r="U203" s="777"/>
      <c r="V203" s="777"/>
    </row>
    <row r="204" spans="1:22" x14ac:dyDescent="0.25">
      <c r="A204" s="777"/>
      <c r="B204" s="777"/>
      <c r="C204" s="777"/>
      <c r="D204" s="777"/>
      <c r="E204" s="777"/>
      <c r="F204" s="777"/>
      <c r="G204" s="777"/>
      <c r="H204" s="777"/>
      <c r="I204" s="777"/>
      <c r="J204" s="777"/>
      <c r="K204" s="777"/>
      <c r="L204" s="777"/>
      <c r="M204" s="777"/>
      <c r="N204" s="777"/>
      <c r="O204" s="777"/>
      <c r="P204" s="777"/>
      <c r="Q204" s="777"/>
      <c r="R204" s="777"/>
      <c r="S204" s="777"/>
      <c r="T204" s="777"/>
      <c r="U204" s="777"/>
      <c r="V204" s="777"/>
    </row>
    <row r="205" spans="1:22" x14ac:dyDescent="0.25">
      <c r="A205" s="777"/>
      <c r="B205" s="777"/>
      <c r="C205" s="777"/>
      <c r="D205" s="777"/>
      <c r="E205" s="777"/>
      <c r="F205" s="777"/>
      <c r="G205" s="777"/>
      <c r="H205" s="777"/>
      <c r="I205" s="777"/>
      <c r="J205" s="777"/>
      <c r="K205" s="777"/>
      <c r="L205" s="777"/>
      <c r="M205" s="777"/>
      <c r="N205" s="777"/>
      <c r="O205" s="777"/>
      <c r="P205" s="777"/>
      <c r="Q205" s="777"/>
      <c r="R205" s="777"/>
      <c r="S205" s="777"/>
      <c r="T205" s="777"/>
      <c r="U205" s="777"/>
      <c r="V205" s="777"/>
    </row>
    <row r="206" spans="1:22" x14ac:dyDescent="0.25">
      <c r="A206" s="777"/>
      <c r="B206" s="777"/>
      <c r="C206" s="777"/>
      <c r="D206" s="777"/>
      <c r="E206" s="777"/>
      <c r="F206" s="777"/>
      <c r="G206" s="777"/>
      <c r="H206" s="777"/>
      <c r="I206" s="777"/>
      <c r="J206" s="777"/>
      <c r="K206" s="777"/>
      <c r="L206" s="777"/>
      <c r="M206" s="777"/>
      <c r="N206" s="777"/>
      <c r="O206" s="777"/>
      <c r="P206" s="777"/>
      <c r="Q206" s="777"/>
      <c r="R206" s="777"/>
      <c r="S206" s="777"/>
      <c r="T206" s="777"/>
      <c r="U206" s="777"/>
      <c r="V206" s="777"/>
    </row>
    <row r="207" spans="1:22" x14ac:dyDescent="0.25">
      <c r="A207" s="777"/>
      <c r="B207" s="777"/>
      <c r="C207" s="777"/>
      <c r="D207" s="777"/>
      <c r="E207" s="777"/>
      <c r="F207" s="777"/>
      <c r="G207" s="777"/>
      <c r="H207" s="777"/>
      <c r="I207" s="777"/>
      <c r="J207" s="777"/>
      <c r="K207" s="777"/>
      <c r="L207" s="777"/>
      <c r="M207" s="777"/>
      <c r="N207" s="777"/>
      <c r="O207" s="777"/>
      <c r="P207" s="777"/>
      <c r="Q207" s="777"/>
      <c r="R207" s="777"/>
      <c r="S207" s="777"/>
      <c r="T207" s="777"/>
      <c r="U207" s="777"/>
      <c r="V207" s="777"/>
    </row>
    <row r="208" spans="1:22" x14ac:dyDescent="0.25">
      <c r="A208" s="777"/>
      <c r="B208" s="777"/>
      <c r="C208" s="777"/>
      <c r="D208" s="777"/>
      <c r="E208" s="777"/>
      <c r="F208" s="777"/>
      <c r="G208" s="777"/>
      <c r="H208" s="777"/>
      <c r="I208" s="777"/>
      <c r="J208" s="777"/>
      <c r="K208" s="777"/>
      <c r="L208" s="777"/>
      <c r="M208" s="777"/>
      <c r="N208" s="777"/>
      <c r="O208" s="777"/>
      <c r="P208" s="777"/>
      <c r="Q208" s="777"/>
      <c r="R208" s="777"/>
      <c r="S208" s="777"/>
      <c r="T208" s="777"/>
      <c r="U208" s="777"/>
      <c r="V208" s="777"/>
    </row>
    <row r="209" spans="1:22" x14ac:dyDescent="0.25">
      <c r="A209" s="777"/>
      <c r="B209" s="777"/>
      <c r="C209" s="777"/>
      <c r="D209" s="777"/>
      <c r="E209" s="777"/>
      <c r="F209" s="777"/>
      <c r="G209" s="777"/>
      <c r="H209" s="777"/>
      <c r="I209" s="777"/>
      <c r="J209" s="777"/>
      <c r="K209" s="777"/>
      <c r="L209" s="777"/>
      <c r="M209" s="777"/>
      <c r="N209" s="777"/>
      <c r="O209" s="777"/>
      <c r="P209" s="777"/>
      <c r="Q209" s="777"/>
      <c r="R209" s="777"/>
      <c r="S209" s="777"/>
      <c r="T209" s="777"/>
      <c r="U209" s="777"/>
      <c r="V209" s="777"/>
    </row>
    <row r="210" spans="1:22" x14ac:dyDescent="0.25">
      <c r="A210" s="777"/>
      <c r="B210" s="777"/>
      <c r="C210" s="777"/>
      <c r="D210" s="777"/>
      <c r="E210" s="777"/>
      <c r="F210" s="777"/>
      <c r="G210" s="777"/>
      <c r="H210" s="777"/>
      <c r="I210" s="777"/>
      <c r="J210" s="777"/>
      <c r="K210" s="777"/>
      <c r="L210" s="777"/>
      <c r="M210" s="777"/>
      <c r="N210" s="777"/>
      <c r="O210" s="777"/>
      <c r="P210" s="777"/>
      <c r="Q210" s="777"/>
      <c r="R210" s="777"/>
      <c r="S210" s="777"/>
      <c r="T210" s="777"/>
      <c r="U210" s="777"/>
      <c r="V210" s="777"/>
    </row>
    <row r="211" spans="1:22" x14ac:dyDescent="0.25">
      <c r="A211" s="777"/>
      <c r="B211" s="777"/>
      <c r="C211" s="777"/>
      <c r="D211" s="777"/>
      <c r="E211" s="777"/>
      <c r="F211" s="777"/>
      <c r="G211" s="777"/>
      <c r="H211" s="777"/>
      <c r="I211" s="777"/>
      <c r="J211" s="777"/>
      <c r="K211" s="777"/>
      <c r="L211" s="777"/>
      <c r="M211" s="777"/>
      <c r="N211" s="777"/>
      <c r="O211" s="777"/>
      <c r="P211" s="777"/>
      <c r="Q211" s="777"/>
      <c r="R211" s="777"/>
      <c r="S211" s="777"/>
      <c r="T211" s="777"/>
      <c r="U211" s="777"/>
      <c r="V211" s="777"/>
    </row>
    <row r="212" spans="1:22" x14ac:dyDescent="0.25">
      <c r="A212" s="777"/>
      <c r="B212" s="777"/>
      <c r="C212" s="777"/>
      <c r="D212" s="777"/>
      <c r="E212" s="777"/>
      <c r="F212" s="777"/>
      <c r="G212" s="777"/>
      <c r="H212" s="777"/>
      <c r="I212" s="777"/>
      <c r="J212" s="777"/>
      <c r="K212" s="777"/>
      <c r="L212" s="777"/>
      <c r="M212" s="777"/>
      <c r="N212" s="777"/>
      <c r="O212" s="777"/>
      <c r="P212" s="777"/>
      <c r="Q212" s="777"/>
      <c r="R212" s="777"/>
      <c r="S212" s="777"/>
      <c r="T212" s="777"/>
      <c r="U212" s="777"/>
      <c r="V212" s="777"/>
    </row>
    <row r="213" spans="1:22" x14ac:dyDescent="0.25">
      <c r="A213" s="777"/>
      <c r="B213" s="777"/>
      <c r="C213" s="777"/>
      <c r="D213" s="777"/>
      <c r="E213" s="777"/>
      <c r="F213" s="777"/>
      <c r="G213" s="777"/>
      <c r="H213" s="777"/>
      <c r="I213" s="777"/>
      <c r="J213" s="777"/>
      <c r="K213" s="777"/>
      <c r="L213" s="777"/>
      <c r="M213" s="777"/>
      <c r="N213" s="777"/>
      <c r="O213" s="777"/>
      <c r="P213" s="777"/>
      <c r="Q213" s="777"/>
      <c r="R213" s="777"/>
      <c r="S213" s="777"/>
      <c r="T213" s="777"/>
      <c r="U213" s="777"/>
      <c r="V213" s="777"/>
    </row>
    <row r="214" spans="1:22" x14ac:dyDescent="0.25">
      <c r="A214" s="777"/>
      <c r="B214" s="777"/>
      <c r="C214" s="777"/>
      <c r="D214" s="777"/>
      <c r="E214" s="777"/>
      <c r="F214" s="777"/>
      <c r="G214" s="777"/>
      <c r="H214" s="777"/>
      <c r="I214" s="777"/>
      <c r="J214" s="777"/>
      <c r="K214" s="777"/>
      <c r="L214" s="777"/>
      <c r="M214" s="777"/>
      <c r="N214" s="777"/>
      <c r="O214" s="777"/>
      <c r="P214" s="777"/>
      <c r="Q214" s="777"/>
      <c r="R214" s="777"/>
      <c r="S214" s="777"/>
      <c r="T214" s="777"/>
      <c r="U214" s="777"/>
      <c r="V214" s="777"/>
    </row>
    <row r="215" spans="1:22" x14ac:dyDescent="0.25">
      <c r="A215" s="777"/>
      <c r="B215" s="777"/>
      <c r="C215" s="777"/>
      <c r="D215" s="777"/>
      <c r="E215" s="777"/>
      <c r="F215" s="777"/>
      <c r="G215" s="777"/>
      <c r="H215" s="777"/>
      <c r="I215" s="777"/>
      <c r="J215" s="777"/>
      <c r="K215" s="777"/>
      <c r="L215" s="777"/>
      <c r="M215" s="777"/>
      <c r="N215" s="777"/>
      <c r="O215" s="777"/>
      <c r="P215" s="777"/>
      <c r="Q215" s="777"/>
      <c r="R215" s="777"/>
      <c r="S215" s="777"/>
      <c r="T215" s="777"/>
      <c r="U215" s="777"/>
      <c r="V215" s="777"/>
    </row>
    <row r="216" spans="1:22" x14ac:dyDescent="0.25">
      <c r="A216" s="777"/>
      <c r="B216" s="777"/>
      <c r="C216" s="777"/>
      <c r="D216" s="777"/>
      <c r="E216" s="777"/>
      <c r="F216" s="777"/>
      <c r="G216" s="777"/>
      <c r="H216" s="777"/>
      <c r="I216" s="777"/>
      <c r="J216" s="777"/>
      <c r="K216" s="777"/>
      <c r="L216" s="777"/>
      <c r="M216" s="777"/>
      <c r="N216" s="777"/>
      <c r="O216" s="777"/>
      <c r="P216" s="777"/>
      <c r="Q216" s="777"/>
      <c r="R216" s="777"/>
      <c r="S216" s="777"/>
      <c r="T216" s="777"/>
      <c r="U216" s="777"/>
      <c r="V216" s="777"/>
    </row>
    <row r="217" spans="1:22" x14ac:dyDescent="0.25">
      <c r="A217" s="777"/>
      <c r="B217" s="777"/>
      <c r="C217" s="777"/>
      <c r="D217" s="777"/>
      <c r="E217" s="777"/>
      <c r="F217" s="777"/>
      <c r="G217" s="777"/>
      <c r="H217" s="777"/>
      <c r="I217" s="777"/>
      <c r="J217" s="777"/>
      <c r="K217" s="777"/>
      <c r="L217" s="777"/>
      <c r="M217" s="777"/>
      <c r="N217" s="777"/>
      <c r="O217" s="777"/>
      <c r="P217" s="777"/>
      <c r="Q217" s="777"/>
      <c r="R217" s="777"/>
      <c r="S217" s="777"/>
      <c r="T217" s="777"/>
      <c r="U217" s="777"/>
      <c r="V217" s="777"/>
    </row>
    <row r="218" spans="1:22" x14ac:dyDescent="0.25">
      <c r="A218" s="777"/>
      <c r="B218" s="777"/>
      <c r="C218" s="777"/>
      <c r="D218" s="777"/>
      <c r="E218" s="777"/>
      <c r="F218" s="777"/>
      <c r="G218" s="777"/>
      <c r="H218" s="777"/>
      <c r="I218" s="777"/>
      <c r="J218" s="777"/>
      <c r="K218" s="777"/>
      <c r="L218" s="777"/>
      <c r="M218" s="777"/>
      <c r="N218" s="777"/>
      <c r="O218" s="777"/>
      <c r="P218" s="777"/>
      <c r="Q218" s="777"/>
      <c r="R218" s="777"/>
      <c r="S218" s="777"/>
      <c r="T218" s="777"/>
      <c r="U218" s="777"/>
      <c r="V218" s="777"/>
    </row>
    <row r="219" spans="1:22" x14ac:dyDescent="0.25">
      <c r="A219" s="777"/>
      <c r="B219" s="777"/>
      <c r="C219" s="777"/>
      <c r="D219" s="777"/>
      <c r="E219" s="777"/>
      <c r="F219" s="777"/>
      <c r="G219" s="777"/>
      <c r="H219" s="777"/>
      <c r="I219" s="777"/>
      <c r="J219" s="777"/>
      <c r="K219" s="777"/>
      <c r="L219" s="777"/>
      <c r="M219" s="777"/>
      <c r="N219" s="777"/>
      <c r="O219" s="777"/>
      <c r="P219" s="777"/>
      <c r="Q219" s="777"/>
      <c r="R219" s="777"/>
      <c r="S219" s="777"/>
      <c r="T219" s="777"/>
      <c r="U219" s="777"/>
      <c r="V219" s="777"/>
    </row>
    <row r="220" spans="1:22" x14ac:dyDescent="0.25">
      <c r="A220" s="777"/>
      <c r="B220" s="777"/>
      <c r="C220" s="777"/>
      <c r="D220" s="777"/>
      <c r="E220" s="777"/>
      <c r="F220" s="777"/>
      <c r="G220" s="777"/>
      <c r="H220" s="777"/>
      <c r="I220" s="777"/>
      <c r="J220" s="777"/>
      <c r="K220" s="777"/>
      <c r="L220" s="777"/>
      <c r="M220" s="777"/>
      <c r="N220" s="777"/>
      <c r="O220" s="777"/>
      <c r="P220" s="777"/>
      <c r="Q220" s="777"/>
      <c r="R220" s="777"/>
      <c r="S220" s="777"/>
      <c r="T220" s="777"/>
      <c r="U220" s="777"/>
      <c r="V220" s="777"/>
    </row>
    <row r="221" spans="1:22" x14ac:dyDescent="0.25">
      <c r="A221" s="777"/>
      <c r="B221" s="777"/>
      <c r="C221" s="777"/>
      <c r="D221" s="777"/>
      <c r="E221" s="777"/>
      <c r="F221" s="777"/>
      <c r="G221" s="777"/>
      <c r="H221" s="777"/>
      <c r="I221" s="777"/>
      <c r="J221" s="777"/>
      <c r="K221" s="777"/>
      <c r="L221" s="777"/>
      <c r="M221" s="777"/>
      <c r="N221" s="777"/>
      <c r="O221" s="777"/>
      <c r="P221" s="777"/>
      <c r="Q221" s="777"/>
      <c r="R221" s="777"/>
      <c r="S221" s="777"/>
      <c r="T221" s="777"/>
      <c r="U221" s="777"/>
      <c r="V221" s="777"/>
    </row>
    <row r="222" spans="1:22" x14ac:dyDescent="0.25">
      <c r="A222" s="777"/>
      <c r="B222" s="777"/>
      <c r="C222" s="777"/>
      <c r="D222" s="777"/>
      <c r="E222" s="777"/>
      <c r="F222" s="777"/>
      <c r="G222" s="777"/>
      <c r="H222" s="777"/>
      <c r="I222" s="777"/>
      <c r="J222" s="777"/>
      <c r="K222" s="777"/>
      <c r="L222" s="777"/>
      <c r="M222" s="777"/>
      <c r="N222" s="777"/>
      <c r="O222" s="777"/>
      <c r="P222" s="777"/>
      <c r="Q222" s="777"/>
      <c r="R222" s="777"/>
      <c r="S222" s="777"/>
      <c r="T222" s="777"/>
      <c r="U222" s="777"/>
      <c r="V222" s="777"/>
    </row>
    <row r="223" spans="1:22" x14ac:dyDescent="0.25">
      <c r="A223" s="777"/>
      <c r="B223" s="777"/>
      <c r="C223" s="777"/>
      <c r="D223" s="777"/>
      <c r="E223" s="777"/>
      <c r="F223" s="777"/>
      <c r="G223" s="777"/>
      <c r="H223" s="777"/>
      <c r="I223" s="777"/>
      <c r="J223" s="777"/>
      <c r="K223" s="777"/>
      <c r="L223" s="777"/>
      <c r="M223" s="777"/>
      <c r="N223" s="777"/>
      <c r="O223" s="777"/>
      <c r="P223" s="777"/>
      <c r="Q223" s="777"/>
      <c r="R223" s="777"/>
      <c r="S223" s="777"/>
      <c r="T223" s="777"/>
      <c r="U223" s="777"/>
      <c r="V223" s="777"/>
    </row>
    <row r="224" spans="1:22" x14ac:dyDescent="0.25">
      <c r="A224" s="777"/>
      <c r="B224" s="777"/>
      <c r="C224" s="777"/>
      <c r="D224" s="777"/>
      <c r="E224" s="777"/>
      <c r="F224" s="777"/>
      <c r="G224" s="777"/>
      <c r="H224" s="777"/>
      <c r="I224" s="777"/>
      <c r="J224" s="777"/>
      <c r="K224" s="777"/>
      <c r="L224" s="777"/>
      <c r="M224" s="777"/>
      <c r="N224" s="777"/>
      <c r="O224" s="777"/>
      <c r="P224" s="777"/>
      <c r="Q224" s="777"/>
      <c r="R224" s="777"/>
      <c r="S224" s="777"/>
      <c r="T224" s="777"/>
      <c r="U224" s="777"/>
      <c r="V224" s="777"/>
    </row>
    <row r="225" spans="1:22" x14ac:dyDescent="0.25">
      <c r="A225" s="777"/>
      <c r="B225" s="777"/>
      <c r="C225" s="777"/>
      <c r="D225" s="777"/>
      <c r="E225" s="777"/>
      <c r="F225" s="777"/>
      <c r="G225" s="777"/>
      <c r="H225" s="777"/>
      <c r="I225" s="777"/>
      <c r="J225" s="777"/>
      <c r="K225" s="777"/>
      <c r="L225" s="777"/>
      <c r="M225" s="777"/>
      <c r="N225" s="777"/>
      <c r="O225" s="777"/>
      <c r="P225" s="777"/>
      <c r="Q225" s="777"/>
      <c r="R225" s="777"/>
      <c r="S225" s="777"/>
      <c r="T225" s="777"/>
      <c r="U225" s="777"/>
      <c r="V225" s="777"/>
    </row>
    <row r="226" spans="1:22" x14ac:dyDescent="0.25">
      <c r="A226" s="777"/>
      <c r="B226" s="777"/>
      <c r="C226" s="777"/>
      <c r="D226" s="777"/>
      <c r="E226" s="777"/>
      <c r="F226" s="777"/>
      <c r="G226" s="777"/>
      <c r="H226" s="777"/>
      <c r="I226" s="777"/>
      <c r="J226" s="777"/>
      <c r="K226" s="777"/>
      <c r="L226" s="777"/>
      <c r="M226" s="777"/>
      <c r="N226" s="777"/>
      <c r="O226" s="777"/>
      <c r="P226" s="777"/>
      <c r="Q226" s="777"/>
      <c r="R226" s="777"/>
      <c r="S226" s="777"/>
      <c r="T226" s="777"/>
      <c r="U226" s="777"/>
      <c r="V226" s="777"/>
    </row>
    <row r="227" spans="1:22" x14ac:dyDescent="0.25">
      <c r="A227" s="777"/>
      <c r="B227" s="777"/>
      <c r="C227" s="777"/>
      <c r="D227" s="777"/>
      <c r="E227" s="777"/>
      <c r="F227" s="777"/>
      <c r="G227" s="777"/>
      <c r="H227" s="777"/>
      <c r="I227" s="777"/>
      <c r="J227" s="777"/>
      <c r="K227" s="777"/>
      <c r="L227" s="777"/>
      <c r="M227" s="777"/>
      <c r="N227" s="777"/>
      <c r="O227" s="777"/>
      <c r="P227" s="777"/>
      <c r="Q227" s="777"/>
      <c r="R227" s="777"/>
      <c r="S227" s="777"/>
      <c r="T227" s="777"/>
      <c r="U227" s="777"/>
      <c r="V227" s="777"/>
    </row>
    <row r="228" spans="1:22" x14ac:dyDescent="0.25">
      <c r="A228" s="777"/>
      <c r="B228" s="777"/>
      <c r="C228" s="777"/>
      <c r="D228" s="777"/>
      <c r="E228" s="777"/>
      <c r="F228" s="777"/>
      <c r="G228" s="777"/>
      <c r="H228" s="777"/>
      <c r="I228" s="777"/>
      <c r="J228" s="777"/>
      <c r="K228" s="777"/>
      <c r="L228" s="777"/>
      <c r="M228" s="777"/>
      <c r="N228" s="777"/>
      <c r="O228" s="777"/>
      <c r="P228" s="777"/>
      <c r="Q228" s="777"/>
      <c r="R228" s="777"/>
      <c r="S228" s="777"/>
      <c r="T228" s="777"/>
      <c r="U228" s="777"/>
      <c r="V228" s="777"/>
    </row>
    <row r="229" spans="1:22" x14ac:dyDescent="0.25">
      <c r="A229" s="777"/>
      <c r="B229" s="777"/>
      <c r="C229" s="777"/>
      <c r="D229" s="777"/>
      <c r="E229" s="777"/>
      <c r="F229" s="777"/>
      <c r="G229" s="777"/>
      <c r="H229" s="777"/>
      <c r="I229" s="777"/>
      <c r="J229" s="777"/>
      <c r="K229" s="777"/>
      <c r="L229" s="777"/>
      <c r="M229" s="777"/>
      <c r="N229" s="777"/>
      <c r="O229" s="777"/>
      <c r="P229" s="777"/>
      <c r="Q229" s="777"/>
      <c r="R229" s="777"/>
      <c r="S229" s="777"/>
      <c r="T229" s="777"/>
      <c r="U229" s="777"/>
      <c r="V229" s="777"/>
    </row>
    <row r="230" spans="1:22" x14ac:dyDescent="0.25">
      <c r="A230" s="777"/>
      <c r="B230" s="777"/>
      <c r="C230" s="777"/>
      <c r="D230" s="777"/>
      <c r="E230" s="777"/>
      <c r="F230" s="777"/>
      <c r="G230" s="777"/>
      <c r="H230" s="777"/>
      <c r="I230" s="777"/>
      <c r="J230" s="777"/>
      <c r="K230" s="777"/>
      <c r="L230" s="777"/>
      <c r="M230" s="777"/>
      <c r="N230" s="777"/>
      <c r="O230" s="777"/>
      <c r="P230" s="777"/>
      <c r="Q230" s="777"/>
      <c r="R230" s="777"/>
      <c r="S230" s="777"/>
      <c r="T230" s="777"/>
      <c r="U230" s="777"/>
      <c r="V230" s="777"/>
    </row>
    <row r="231" spans="1:22" x14ac:dyDescent="0.25">
      <c r="A231" s="777"/>
      <c r="B231" s="777"/>
      <c r="C231" s="777"/>
      <c r="D231" s="777"/>
      <c r="E231" s="777"/>
      <c r="F231" s="777"/>
      <c r="G231" s="777"/>
      <c r="H231" s="777"/>
      <c r="I231" s="777"/>
      <c r="J231" s="777"/>
      <c r="K231" s="777"/>
      <c r="L231" s="777"/>
      <c r="M231" s="777"/>
      <c r="N231" s="777"/>
      <c r="O231" s="777"/>
      <c r="P231" s="777"/>
      <c r="Q231" s="777"/>
      <c r="R231" s="777"/>
      <c r="S231" s="777"/>
      <c r="T231" s="777"/>
      <c r="U231" s="777"/>
      <c r="V231" s="777"/>
    </row>
    <row r="232" spans="1:22" x14ac:dyDescent="0.25">
      <c r="A232" s="777"/>
      <c r="B232" s="777"/>
      <c r="C232" s="777"/>
      <c r="D232" s="777"/>
      <c r="E232" s="777"/>
      <c r="F232" s="777"/>
      <c r="G232" s="777"/>
      <c r="H232" s="777"/>
      <c r="I232" s="777"/>
      <c r="J232" s="777"/>
      <c r="K232" s="777"/>
      <c r="L232" s="777"/>
      <c r="M232" s="777"/>
      <c r="N232" s="777"/>
      <c r="O232" s="777"/>
      <c r="P232" s="777"/>
      <c r="Q232" s="777"/>
      <c r="R232" s="777"/>
      <c r="S232" s="777"/>
      <c r="T232" s="777"/>
      <c r="U232" s="777"/>
      <c r="V232" s="777"/>
    </row>
    <row r="233" spans="1:22" x14ac:dyDescent="0.25">
      <c r="A233" s="777"/>
      <c r="B233" s="777"/>
      <c r="C233" s="777"/>
      <c r="D233" s="777"/>
      <c r="E233" s="777"/>
      <c r="F233" s="777"/>
      <c r="G233" s="777"/>
      <c r="H233" s="777"/>
      <c r="I233" s="777"/>
      <c r="J233" s="777"/>
      <c r="K233" s="777"/>
      <c r="L233" s="777"/>
      <c r="M233" s="777"/>
      <c r="N233" s="777"/>
      <c r="O233" s="777"/>
      <c r="P233" s="777"/>
      <c r="Q233" s="777"/>
      <c r="R233" s="777"/>
      <c r="S233" s="777"/>
      <c r="T233" s="777"/>
      <c r="U233" s="777"/>
      <c r="V233" s="777"/>
    </row>
    <row r="234" spans="1:22" x14ac:dyDescent="0.25">
      <c r="A234" s="777"/>
      <c r="B234" s="777"/>
      <c r="C234" s="777"/>
      <c r="D234" s="777"/>
      <c r="E234" s="777"/>
      <c r="F234" s="777"/>
      <c r="G234" s="777"/>
      <c r="H234" s="777"/>
      <c r="I234" s="777"/>
      <c r="J234" s="777"/>
      <c r="K234" s="777"/>
      <c r="L234" s="777"/>
      <c r="M234" s="777"/>
      <c r="N234" s="777"/>
      <c r="O234" s="777"/>
      <c r="P234" s="777"/>
      <c r="Q234" s="777"/>
      <c r="R234" s="777"/>
      <c r="S234" s="777"/>
      <c r="T234" s="777"/>
      <c r="U234" s="777"/>
      <c r="V234" s="777"/>
    </row>
    <row r="235" spans="1:22" x14ac:dyDescent="0.25">
      <c r="A235" s="777"/>
      <c r="B235" s="777"/>
      <c r="C235" s="777"/>
      <c r="D235" s="777"/>
      <c r="E235" s="777"/>
      <c r="F235" s="777"/>
      <c r="G235" s="777"/>
      <c r="H235" s="777"/>
      <c r="I235" s="777"/>
      <c r="J235" s="777"/>
      <c r="K235" s="777"/>
      <c r="L235" s="777"/>
      <c r="M235" s="777"/>
      <c r="N235" s="777"/>
      <c r="O235" s="777"/>
      <c r="P235" s="777"/>
      <c r="Q235" s="777"/>
      <c r="R235" s="777"/>
      <c r="S235" s="777"/>
      <c r="T235" s="777"/>
      <c r="U235" s="777"/>
      <c r="V235" s="777"/>
    </row>
    <row r="236" spans="1:22" x14ac:dyDescent="0.25">
      <c r="A236" s="777"/>
      <c r="B236" s="777"/>
      <c r="C236" s="777"/>
      <c r="D236" s="777"/>
      <c r="E236" s="777"/>
      <c r="F236" s="777"/>
      <c r="G236" s="777"/>
      <c r="H236" s="777"/>
      <c r="I236" s="777"/>
      <c r="J236" s="777"/>
      <c r="K236" s="777"/>
      <c r="L236" s="777"/>
      <c r="M236" s="777"/>
      <c r="N236" s="777"/>
      <c r="O236" s="777"/>
      <c r="P236" s="777"/>
      <c r="Q236" s="777"/>
      <c r="R236" s="777"/>
      <c r="S236" s="777"/>
      <c r="T236" s="777"/>
      <c r="U236" s="777"/>
      <c r="V236" s="777"/>
    </row>
    <row r="237" spans="1:22" x14ac:dyDescent="0.25">
      <c r="A237" s="777"/>
      <c r="B237" s="777"/>
      <c r="C237" s="777"/>
      <c r="D237" s="777"/>
      <c r="E237" s="777"/>
      <c r="F237" s="777"/>
      <c r="G237" s="777"/>
      <c r="H237" s="777"/>
      <c r="I237" s="777"/>
      <c r="J237" s="777"/>
      <c r="K237" s="777"/>
      <c r="L237" s="777"/>
      <c r="M237" s="777"/>
      <c r="N237" s="777"/>
      <c r="O237" s="777"/>
      <c r="P237" s="777"/>
      <c r="Q237" s="777"/>
      <c r="R237" s="777"/>
      <c r="S237" s="777"/>
      <c r="T237" s="777"/>
      <c r="U237" s="777"/>
      <c r="V237" s="777"/>
    </row>
    <row r="238" spans="1:22" x14ac:dyDescent="0.25">
      <c r="A238" s="777"/>
      <c r="B238" s="777"/>
      <c r="C238" s="777"/>
      <c r="D238" s="777"/>
      <c r="E238" s="777"/>
      <c r="F238" s="777"/>
      <c r="G238" s="777"/>
      <c r="H238" s="777"/>
      <c r="I238" s="777"/>
      <c r="J238" s="777"/>
      <c r="K238" s="777"/>
      <c r="L238" s="777"/>
      <c r="M238" s="777"/>
      <c r="N238" s="777"/>
      <c r="O238" s="777"/>
      <c r="P238" s="777"/>
      <c r="Q238" s="777"/>
      <c r="R238" s="777"/>
      <c r="S238" s="777"/>
      <c r="T238" s="777"/>
      <c r="U238" s="777"/>
      <c r="V238" s="777"/>
    </row>
    <row r="239" spans="1:22" x14ac:dyDescent="0.25">
      <c r="A239" s="777"/>
      <c r="B239" s="777"/>
      <c r="C239" s="777"/>
      <c r="D239" s="777"/>
      <c r="E239" s="777"/>
      <c r="F239" s="777"/>
      <c r="G239" s="777"/>
      <c r="H239" s="777"/>
      <c r="I239" s="777"/>
      <c r="J239" s="777"/>
      <c r="K239" s="777"/>
      <c r="L239" s="777"/>
      <c r="M239" s="777"/>
      <c r="N239" s="777"/>
      <c r="O239" s="777"/>
      <c r="P239" s="777"/>
      <c r="Q239" s="777"/>
      <c r="R239" s="777"/>
      <c r="S239" s="777"/>
      <c r="T239" s="777"/>
      <c r="U239" s="777"/>
      <c r="V239" s="777"/>
    </row>
    <row r="240" spans="1:22" x14ac:dyDescent="0.25">
      <c r="A240" s="777"/>
      <c r="B240" s="777"/>
      <c r="C240" s="777"/>
      <c r="D240" s="777"/>
      <c r="E240" s="777"/>
      <c r="F240" s="777"/>
      <c r="G240" s="777"/>
      <c r="H240" s="777"/>
      <c r="I240" s="777"/>
      <c r="J240" s="777"/>
      <c r="K240" s="777"/>
      <c r="L240" s="777"/>
      <c r="M240" s="777"/>
      <c r="N240" s="777"/>
      <c r="O240" s="777"/>
      <c r="P240" s="777"/>
      <c r="Q240" s="777"/>
      <c r="R240" s="777"/>
      <c r="S240" s="777"/>
      <c r="T240" s="777"/>
      <c r="U240" s="777"/>
      <c r="V240" s="777"/>
    </row>
    <row r="241" spans="1:22" x14ac:dyDescent="0.25">
      <c r="A241" s="777"/>
      <c r="B241" s="777"/>
      <c r="C241" s="777"/>
      <c r="D241" s="777"/>
      <c r="E241" s="777"/>
      <c r="F241" s="777"/>
      <c r="G241" s="777"/>
      <c r="H241" s="777"/>
      <c r="I241" s="777"/>
      <c r="J241" s="777"/>
      <c r="K241" s="777"/>
      <c r="L241" s="777"/>
      <c r="M241" s="777"/>
      <c r="N241" s="777"/>
      <c r="O241" s="777"/>
      <c r="P241" s="777"/>
      <c r="Q241" s="777"/>
      <c r="R241" s="777"/>
      <c r="S241" s="777"/>
      <c r="T241" s="777"/>
      <c r="U241" s="777"/>
      <c r="V241" s="777"/>
    </row>
    <row r="242" spans="1:22" x14ac:dyDescent="0.25">
      <c r="A242" s="777"/>
      <c r="B242" s="777"/>
      <c r="C242" s="777"/>
      <c r="D242" s="777"/>
      <c r="E242" s="777"/>
      <c r="F242" s="777"/>
      <c r="G242" s="777"/>
      <c r="H242" s="777"/>
      <c r="I242" s="777"/>
      <c r="J242" s="777"/>
      <c r="K242" s="777"/>
      <c r="L242" s="777"/>
      <c r="M242" s="777"/>
      <c r="N242" s="777"/>
      <c r="O242" s="777"/>
      <c r="P242" s="777"/>
      <c r="Q242" s="777"/>
      <c r="R242" s="777"/>
      <c r="S242" s="777"/>
      <c r="T242" s="777"/>
      <c r="U242" s="777"/>
      <c r="V242" s="777"/>
    </row>
    <row r="243" spans="1:22" x14ac:dyDescent="0.25">
      <c r="A243" s="777"/>
      <c r="B243" s="777"/>
      <c r="C243" s="777"/>
      <c r="D243" s="777"/>
      <c r="E243" s="777"/>
      <c r="F243" s="777"/>
      <c r="G243" s="777"/>
      <c r="H243" s="777"/>
      <c r="I243" s="777"/>
      <c r="J243" s="777"/>
      <c r="K243" s="777"/>
      <c r="L243" s="777"/>
      <c r="M243" s="777"/>
      <c r="N243" s="777"/>
      <c r="O243" s="777"/>
      <c r="P243" s="777"/>
      <c r="Q243" s="777"/>
      <c r="R243" s="777"/>
      <c r="S243" s="777"/>
      <c r="T243" s="777"/>
      <c r="U243" s="777"/>
      <c r="V243" s="777"/>
    </row>
    <row r="244" spans="1:22" x14ac:dyDescent="0.25">
      <c r="A244" s="777"/>
      <c r="B244" s="777"/>
      <c r="C244" s="777"/>
      <c r="D244" s="777"/>
      <c r="E244" s="777"/>
      <c r="F244" s="777"/>
      <c r="G244" s="777"/>
      <c r="H244" s="777"/>
      <c r="I244" s="777"/>
      <c r="J244" s="777"/>
      <c r="K244" s="777"/>
      <c r="L244" s="777"/>
      <c r="M244" s="777"/>
      <c r="N244" s="777"/>
      <c r="O244" s="777"/>
      <c r="P244" s="777"/>
      <c r="Q244" s="777"/>
      <c r="R244" s="777"/>
      <c r="S244" s="777"/>
      <c r="T244" s="777"/>
      <c r="U244" s="777"/>
      <c r="V244" s="777"/>
    </row>
    <row r="245" spans="1:22" x14ac:dyDescent="0.25">
      <c r="A245" s="777"/>
      <c r="B245" s="777"/>
      <c r="C245" s="777"/>
      <c r="D245" s="777"/>
      <c r="E245" s="777"/>
      <c r="F245" s="777"/>
      <c r="G245" s="777"/>
      <c r="H245" s="777"/>
      <c r="I245" s="777"/>
      <c r="J245" s="777"/>
      <c r="K245" s="777"/>
      <c r="L245" s="777"/>
      <c r="M245" s="777"/>
      <c r="N245" s="777"/>
      <c r="O245" s="777"/>
      <c r="P245" s="777"/>
      <c r="Q245" s="777"/>
      <c r="R245" s="777"/>
      <c r="S245" s="777"/>
      <c r="T245" s="777"/>
      <c r="U245" s="777"/>
      <c r="V245" s="777"/>
    </row>
    <row r="246" spans="1:22" x14ac:dyDescent="0.25">
      <c r="A246" s="777"/>
      <c r="B246" s="777"/>
      <c r="C246" s="777"/>
      <c r="D246" s="777"/>
      <c r="E246" s="777"/>
      <c r="F246" s="777"/>
      <c r="G246" s="777"/>
      <c r="H246" s="777"/>
      <c r="I246" s="777"/>
      <c r="J246" s="777"/>
      <c r="K246" s="777"/>
      <c r="L246" s="777"/>
      <c r="M246" s="777"/>
      <c r="N246" s="777"/>
      <c r="O246" s="777"/>
      <c r="P246" s="777"/>
      <c r="Q246" s="777"/>
      <c r="R246" s="777"/>
      <c r="S246" s="777"/>
      <c r="T246" s="777"/>
      <c r="U246" s="777"/>
      <c r="V246" s="777"/>
    </row>
    <row r="247" spans="1:22" x14ac:dyDescent="0.25">
      <c r="A247" s="777"/>
      <c r="B247" s="777"/>
      <c r="C247" s="777"/>
      <c r="D247" s="777"/>
      <c r="E247" s="777"/>
      <c r="F247" s="777"/>
      <c r="G247" s="777"/>
      <c r="H247" s="777"/>
      <c r="I247" s="777"/>
      <c r="J247" s="777"/>
      <c r="K247" s="777"/>
      <c r="L247" s="777"/>
      <c r="M247" s="777"/>
      <c r="N247" s="777"/>
      <c r="O247" s="777"/>
      <c r="P247" s="777"/>
      <c r="Q247" s="777"/>
      <c r="R247" s="777"/>
      <c r="S247" s="777"/>
      <c r="T247" s="777"/>
      <c r="U247" s="777"/>
      <c r="V247" s="777"/>
    </row>
    <row r="248" spans="1:22" x14ac:dyDescent="0.25">
      <c r="A248" s="777"/>
      <c r="B248" s="777"/>
      <c r="C248" s="777"/>
      <c r="D248" s="777"/>
      <c r="E248" s="777"/>
      <c r="F248" s="777"/>
      <c r="G248" s="777"/>
      <c r="H248" s="777"/>
      <c r="I248" s="777"/>
      <c r="J248" s="777"/>
      <c r="K248" s="777"/>
      <c r="L248" s="777"/>
      <c r="M248" s="777"/>
      <c r="N248" s="777"/>
      <c r="O248" s="777"/>
      <c r="P248" s="777"/>
      <c r="Q248" s="777"/>
      <c r="R248" s="777"/>
      <c r="S248" s="777"/>
      <c r="T248" s="777"/>
      <c r="U248" s="777"/>
      <c r="V248" s="777"/>
    </row>
    <row r="249" spans="1:22" x14ac:dyDescent="0.25">
      <c r="A249" s="777"/>
      <c r="B249" s="777"/>
      <c r="C249" s="777"/>
      <c r="D249" s="777"/>
      <c r="E249" s="777"/>
      <c r="F249" s="777"/>
      <c r="G249" s="777"/>
      <c r="H249" s="777"/>
      <c r="I249" s="777"/>
      <c r="J249" s="777"/>
      <c r="K249" s="777"/>
      <c r="L249" s="777"/>
      <c r="M249" s="777"/>
      <c r="N249" s="777"/>
      <c r="O249" s="777"/>
      <c r="P249" s="777"/>
      <c r="Q249" s="777"/>
      <c r="R249" s="777"/>
      <c r="S249" s="777"/>
      <c r="T249" s="777"/>
      <c r="U249" s="777"/>
      <c r="V249" s="777"/>
    </row>
    <row r="250" spans="1:22" x14ac:dyDescent="0.25">
      <c r="A250" s="777"/>
      <c r="B250" s="777"/>
      <c r="C250" s="777"/>
      <c r="D250" s="777"/>
      <c r="E250" s="777"/>
      <c r="F250" s="777"/>
      <c r="G250" s="777"/>
      <c r="H250" s="777"/>
      <c r="I250" s="777"/>
      <c r="J250" s="777"/>
      <c r="K250" s="777"/>
      <c r="L250" s="777"/>
      <c r="M250" s="777"/>
      <c r="N250" s="777"/>
      <c r="O250" s="777"/>
      <c r="P250" s="777"/>
      <c r="Q250" s="777"/>
      <c r="R250" s="777"/>
      <c r="S250" s="777"/>
      <c r="T250" s="777"/>
      <c r="U250" s="777"/>
      <c r="V250" s="777"/>
    </row>
    <row r="251" spans="1:22" x14ac:dyDescent="0.25">
      <c r="A251" s="777"/>
      <c r="B251" s="777"/>
      <c r="C251" s="777"/>
      <c r="D251" s="777"/>
      <c r="E251" s="777"/>
      <c r="F251" s="777"/>
      <c r="G251" s="777"/>
      <c r="H251" s="777"/>
      <c r="I251" s="777"/>
      <c r="J251" s="777"/>
      <c r="K251" s="777"/>
      <c r="L251" s="777"/>
      <c r="M251" s="777"/>
      <c r="N251" s="777"/>
      <c r="O251" s="777"/>
      <c r="P251" s="777"/>
      <c r="Q251" s="777"/>
      <c r="R251" s="777"/>
      <c r="S251" s="777"/>
      <c r="T251" s="777"/>
      <c r="U251" s="777"/>
      <c r="V251" s="777"/>
    </row>
    <row r="252" spans="1:22" x14ac:dyDescent="0.25">
      <c r="A252" s="777"/>
      <c r="B252" s="777"/>
      <c r="C252" s="777"/>
      <c r="D252" s="777"/>
      <c r="E252" s="777"/>
      <c r="F252" s="777"/>
      <c r="G252" s="777"/>
      <c r="H252" s="777"/>
      <c r="I252" s="777"/>
      <c r="J252" s="777"/>
      <c r="K252" s="777"/>
      <c r="L252" s="777"/>
      <c r="M252" s="777"/>
      <c r="N252" s="777"/>
      <c r="O252" s="777"/>
      <c r="P252" s="777"/>
      <c r="Q252" s="777"/>
      <c r="R252" s="777"/>
      <c r="S252" s="777"/>
      <c r="T252" s="777"/>
      <c r="U252" s="777"/>
      <c r="V252" s="777"/>
    </row>
    <row r="253" spans="1:22" x14ac:dyDescent="0.25">
      <c r="A253" s="777"/>
      <c r="B253" s="777"/>
      <c r="C253" s="777"/>
      <c r="D253" s="777"/>
      <c r="E253" s="777"/>
      <c r="F253" s="777"/>
      <c r="G253" s="777"/>
      <c r="H253" s="777"/>
      <c r="I253" s="777"/>
      <c r="J253" s="777"/>
      <c r="K253" s="777"/>
      <c r="L253" s="777"/>
      <c r="M253" s="777"/>
      <c r="N253" s="777"/>
      <c r="O253" s="777"/>
      <c r="P253" s="777"/>
      <c r="Q253" s="777"/>
      <c r="R253" s="777"/>
      <c r="S253" s="777"/>
      <c r="T253" s="777"/>
      <c r="U253" s="777"/>
      <c r="V253" s="777"/>
    </row>
    <row r="254" spans="1:22" x14ac:dyDescent="0.25">
      <c r="A254" s="777"/>
      <c r="B254" s="777"/>
      <c r="C254" s="777"/>
      <c r="D254" s="777"/>
      <c r="E254" s="777"/>
      <c r="F254" s="777"/>
      <c r="G254" s="777"/>
      <c r="H254" s="777"/>
      <c r="I254" s="777"/>
      <c r="J254" s="777"/>
      <c r="K254" s="777"/>
      <c r="L254" s="777"/>
      <c r="M254" s="777"/>
      <c r="N254" s="777"/>
      <c r="O254" s="777"/>
      <c r="P254" s="777"/>
      <c r="Q254" s="777"/>
      <c r="R254" s="777"/>
      <c r="S254" s="777"/>
      <c r="T254" s="777"/>
      <c r="U254" s="777"/>
      <c r="V254" s="777"/>
    </row>
    <row r="255" spans="1:22" x14ac:dyDescent="0.25">
      <c r="A255" s="777"/>
      <c r="B255" s="777"/>
      <c r="C255" s="777"/>
      <c r="D255" s="777"/>
      <c r="E255" s="777"/>
      <c r="F255" s="777"/>
      <c r="G255" s="777"/>
      <c r="H255" s="777"/>
      <c r="I255" s="777"/>
      <c r="J255" s="777"/>
      <c r="K255" s="777"/>
      <c r="L255" s="777"/>
      <c r="M255" s="777"/>
      <c r="N255" s="777"/>
      <c r="O255" s="777"/>
      <c r="P255" s="777"/>
      <c r="Q255" s="777"/>
      <c r="R255" s="777"/>
      <c r="S255" s="777"/>
      <c r="T255" s="777"/>
      <c r="U255" s="777"/>
      <c r="V255" s="777"/>
    </row>
    <row r="256" spans="1:22" x14ac:dyDescent="0.25">
      <c r="A256" s="777"/>
      <c r="B256" s="777"/>
      <c r="C256" s="777"/>
      <c r="D256" s="777"/>
      <c r="E256" s="777"/>
      <c r="F256" s="777"/>
      <c r="G256" s="777"/>
      <c r="H256" s="777"/>
      <c r="I256" s="777"/>
      <c r="J256" s="777"/>
      <c r="K256" s="777"/>
      <c r="L256" s="777"/>
      <c r="M256" s="777"/>
      <c r="N256" s="777"/>
      <c r="O256" s="777"/>
      <c r="P256" s="777"/>
      <c r="Q256" s="777"/>
      <c r="R256" s="777"/>
      <c r="S256" s="777"/>
      <c r="T256" s="777"/>
      <c r="U256" s="777"/>
      <c r="V256" s="777"/>
    </row>
    <row r="257" spans="1:22" x14ac:dyDescent="0.25">
      <c r="A257" s="777"/>
      <c r="B257" s="777"/>
      <c r="C257" s="777"/>
      <c r="D257" s="777"/>
      <c r="E257" s="777"/>
      <c r="F257" s="777"/>
      <c r="G257" s="777"/>
      <c r="H257" s="777"/>
      <c r="I257" s="777"/>
      <c r="J257" s="777"/>
      <c r="K257" s="777"/>
      <c r="L257" s="777"/>
      <c r="M257" s="777"/>
      <c r="N257" s="777"/>
      <c r="O257" s="777"/>
      <c r="P257" s="777"/>
      <c r="Q257" s="777"/>
      <c r="R257" s="777"/>
      <c r="S257" s="777"/>
      <c r="T257" s="777"/>
      <c r="U257" s="777"/>
      <c r="V257" s="777"/>
    </row>
    <row r="258" spans="1:22" x14ac:dyDescent="0.25">
      <c r="A258" s="777"/>
      <c r="B258" s="777"/>
      <c r="C258" s="777"/>
      <c r="D258" s="777"/>
      <c r="E258" s="777"/>
      <c r="F258" s="777"/>
      <c r="G258" s="777"/>
      <c r="H258" s="777"/>
      <c r="I258" s="777"/>
      <c r="J258" s="777"/>
      <c r="K258" s="777"/>
      <c r="L258" s="777"/>
      <c r="M258" s="777"/>
      <c r="N258" s="777"/>
      <c r="O258" s="777"/>
      <c r="P258" s="777"/>
      <c r="Q258" s="777"/>
      <c r="R258" s="777"/>
      <c r="S258" s="777"/>
      <c r="T258" s="777"/>
      <c r="U258" s="777"/>
      <c r="V258" s="777"/>
    </row>
    <row r="259" spans="1:22" x14ac:dyDescent="0.25">
      <c r="A259" s="777"/>
      <c r="B259" s="777"/>
      <c r="C259" s="777"/>
      <c r="D259" s="777"/>
      <c r="E259" s="777"/>
      <c r="F259" s="777"/>
      <c r="G259" s="777"/>
      <c r="H259" s="777"/>
      <c r="I259" s="777"/>
      <c r="J259" s="777"/>
      <c r="K259" s="777"/>
      <c r="L259" s="777"/>
      <c r="M259" s="777"/>
      <c r="N259" s="777"/>
      <c r="O259" s="777"/>
      <c r="P259" s="777"/>
      <c r="Q259" s="777"/>
      <c r="R259" s="777"/>
      <c r="S259" s="777"/>
      <c r="T259" s="777"/>
      <c r="U259" s="777"/>
      <c r="V259" s="777"/>
    </row>
    <row r="260" spans="1:22" x14ac:dyDescent="0.25">
      <c r="A260" s="777"/>
      <c r="B260" s="777"/>
      <c r="C260" s="777"/>
      <c r="D260" s="777"/>
      <c r="E260" s="777"/>
      <c r="F260" s="777"/>
      <c r="G260" s="777"/>
      <c r="H260" s="777"/>
      <c r="I260" s="777"/>
      <c r="J260" s="777"/>
      <c r="K260" s="777"/>
      <c r="L260" s="777"/>
      <c r="M260" s="777"/>
      <c r="N260" s="777"/>
      <c r="O260" s="777"/>
      <c r="P260" s="777"/>
      <c r="Q260" s="777"/>
      <c r="R260" s="777"/>
      <c r="S260" s="777"/>
      <c r="T260" s="777"/>
      <c r="U260" s="777"/>
      <c r="V260" s="777"/>
    </row>
    <row r="261" spans="1:22" x14ac:dyDescent="0.25">
      <c r="A261" s="777"/>
      <c r="B261" s="777"/>
      <c r="C261" s="777"/>
      <c r="D261" s="777"/>
      <c r="E261" s="777"/>
      <c r="F261" s="777"/>
      <c r="G261" s="777"/>
      <c r="H261" s="777"/>
      <c r="I261" s="777"/>
      <c r="J261" s="777"/>
      <c r="K261" s="777"/>
      <c r="L261" s="777"/>
      <c r="M261" s="777"/>
      <c r="N261" s="777"/>
      <c r="O261" s="777"/>
      <c r="P261" s="777"/>
      <c r="Q261" s="777"/>
      <c r="R261" s="777"/>
      <c r="S261" s="777"/>
      <c r="T261" s="777"/>
      <c r="U261" s="777"/>
      <c r="V261" s="777"/>
    </row>
    <row r="262" spans="1:22" x14ac:dyDescent="0.25">
      <c r="A262" s="777"/>
      <c r="B262" s="777"/>
      <c r="C262" s="777"/>
      <c r="D262" s="777"/>
      <c r="E262" s="777"/>
      <c r="F262" s="777"/>
      <c r="G262" s="777"/>
      <c r="H262" s="777"/>
      <c r="I262" s="777"/>
      <c r="J262" s="777"/>
      <c r="K262" s="777"/>
      <c r="L262" s="777"/>
      <c r="M262" s="777"/>
      <c r="N262" s="777"/>
      <c r="O262" s="777"/>
      <c r="P262" s="777"/>
      <c r="Q262" s="777"/>
      <c r="R262" s="777"/>
      <c r="S262" s="777"/>
      <c r="T262" s="777"/>
      <c r="U262" s="777"/>
      <c r="V262" s="777"/>
    </row>
    <row r="263" spans="1:22" x14ac:dyDescent="0.25">
      <c r="A263" s="777"/>
      <c r="B263" s="777"/>
      <c r="C263" s="777"/>
      <c r="D263" s="777"/>
      <c r="E263" s="777"/>
      <c r="F263" s="777"/>
      <c r="G263" s="777"/>
      <c r="H263" s="777"/>
      <c r="I263" s="777"/>
      <c r="J263" s="777"/>
      <c r="K263" s="777"/>
      <c r="L263" s="777"/>
      <c r="M263" s="777"/>
      <c r="N263" s="777"/>
      <c r="O263" s="777"/>
      <c r="P263" s="777"/>
      <c r="Q263" s="777"/>
      <c r="R263" s="777"/>
      <c r="S263" s="777"/>
      <c r="T263" s="777"/>
      <c r="U263" s="777"/>
      <c r="V263" s="777"/>
    </row>
    <row r="264" spans="1:22" x14ac:dyDescent="0.25">
      <c r="A264" s="777"/>
      <c r="B264" s="777"/>
      <c r="C264" s="777"/>
      <c r="D264" s="777"/>
      <c r="E264" s="777"/>
      <c r="F264" s="777"/>
      <c r="G264" s="777"/>
      <c r="H264" s="777"/>
      <c r="I264" s="777"/>
      <c r="J264" s="777"/>
      <c r="K264" s="777"/>
      <c r="L264" s="777"/>
      <c r="M264" s="777"/>
      <c r="N264" s="777"/>
      <c r="O264" s="777"/>
      <c r="P264" s="777"/>
      <c r="Q264" s="777"/>
      <c r="R264" s="777"/>
      <c r="S264" s="777"/>
      <c r="T264" s="777"/>
      <c r="U264" s="777"/>
      <c r="V264" s="777"/>
    </row>
    <row r="265" spans="1:22" x14ac:dyDescent="0.25">
      <c r="A265" s="777"/>
      <c r="B265" s="777"/>
      <c r="C265" s="777"/>
      <c r="D265" s="777"/>
      <c r="E265" s="777"/>
      <c r="F265" s="777"/>
      <c r="G265" s="777"/>
      <c r="H265" s="777"/>
      <c r="I265" s="777"/>
      <c r="J265" s="777"/>
      <c r="K265" s="777"/>
      <c r="L265" s="777"/>
      <c r="M265" s="777"/>
      <c r="N265" s="777"/>
      <c r="O265" s="777"/>
      <c r="P265" s="777"/>
      <c r="Q265" s="777"/>
      <c r="R265" s="777"/>
      <c r="S265" s="777"/>
      <c r="T265" s="777"/>
      <c r="U265" s="777"/>
      <c r="V265" s="777"/>
    </row>
    <row r="266" spans="1:22" x14ac:dyDescent="0.25">
      <c r="A266" s="777"/>
      <c r="B266" s="777"/>
      <c r="C266" s="777"/>
      <c r="D266" s="777"/>
      <c r="E266" s="777"/>
      <c r="F266" s="777"/>
      <c r="G266" s="777"/>
      <c r="H266" s="777"/>
      <c r="I266" s="777"/>
      <c r="J266" s="777"/>
      <c r="K266" s="777"/>
      <c r="L266" s="777"/>
      <c r="M266" s="777"/>
      <c r="N266" s="777"/>
      <c r="O266" s="777"/>
      <c r="P266" s="777"/>
      <c r="Q266" s="777"/>
      <c r="R266" s="777"/>
      <c r="S266" s="777"/>
      <c r="T266" s="777"/>
      <c r="U266" s="777"/>
      <c r="V266" s="777"/>
    </row>
    <row r="267" spans="1:22" x14ac:dyDescent="0.25">
      <c r="A267" s="777"/>
      <c r="B267" s="777"/>
      <c r="C267" s="777"/>
      <c r="D267" s="777"/>
      <c r="E267" s="777"/>
      <c r="F267" s="777"/>
      <c r="G267" s="777"/>
      <c r="H267" s="777"/>
      <c r="I267" s="777"/>
      <c r="J267" s="777"/>
      <c r="K267" s="777"/>
      <c r="L267" s="777"/>
      <c r="M267" s="777"/>
      <c r="N267" s="777"/>
      <c r="O267" s="777"/>
      <c r="P267" s="777"/>
      <c r="Q267" s="777"/>
      <c r="R267" s="777"/>
      <c r="S267" s="777"/>
      <c r="T267" s="777"/>
      <c r="U267" s="777"/>
      <c r="V267" s="777"/>
    </row>
    <row r="268" spans="1:22" x14ac:dyDescent="0.25">
      <c r="A268" s="777"/>
      <c r="B268" s="777"/>
      <c r="C268" s="777"/>
      <c r="D268" s="777"/>
      <c r="E268" s="777"/>
      <c r="F268" s="777"/>
      <c r="G268" s="777"/>
      <c r="H268" s="777"/>
      <c r="I268" s="777"/>
      <c r="J268" s="777"/>
      <c r="K268" s="777"/>
      <c r="L268" s="777"/>
      <c r="M268" s="777"/>
      <c r="N268" s="777"/>
      <c r="O268" s="777"/>
      <c r="P268" s="777"/>
      <c r="Q268" s="777"/>
      <c r="R268" s="777"/>
      <c r="S268" s="777"/>
      <c r="T268" s="777"/>
      <c r="U268" s="777"/>
      <c r="V268" s="777"/>
    </row>
    <row r="269" spans="1:22" x14ac:dyDescent="0.25">
      <c r="A269" s="777"/>
      <c r="B269" s="777"/>
      <c r="C269" s="777"/>
      <c r="D269" s="777"/>
      <c r="E269" s="777"/>
      <c r="F269" s="777"/>
      <c r="G269" s="777"/>
      <c r="H269" s="777"/>
      <c r="I269" s="777"/>
      <c r="J269" s="777"/>
      <c r="K269" s="777"/>
      <c r="L269" s="777"/>
      <c r="M269" s="777"/>
      <c r="N269" s="777"/>
      <c r="O269" s="777"/>
      <c r="P269" s="777"/>
      <c r="Q269" s="777"/>
      <c r="R269" s="777"/>
      <c r="S269" s="777"/>
      <c r="T269" s="777"/>
      <c r="U269" s="777"/>
      <c r="V269" s="777"/>
    </row>
    <row r="270" spans="1:22" x14ac:dyDescent="0.25">
      <c r="A270" s="777"/>
      <c r="B270" s="777"/>
      <c r="C270" s="777"/>
      <c r="D270" s="777"/>
      <c r="E270" s="777"/>
      <c r="F270" s="777"/>
      <c r="G270" s="777"/>
      <c r="H270" s="777"/>
      <c r="I270" s="777"/>
      <c r="J270" s="777"/>
      <c r="K270" s="777"/>
      <c r="L270" s="777"/>
      <c r="M270" s="777"/>
      <c r="N270" s="777"/>
      <c r="O270" s="777"/>
      <c r="P270" s="777"/>
      <c r="Q270" s="777"/>
      <c r="R270" s="777"/>
      <c r="S270" s="777"/>
      <c r="T270" s="777"/>
      <c r="U270" s="777"/>
      <c r="V270" s="777"/>
    </row>
    <row r="271" spans="1:22" x14ac:dyDescent="0.25">
      <c r="A271" s="777"/>
      <c r="B271" s="777"/>
      <c r="C271" s="777"/>
      <c r="D271" s="777"/>
      <c r="E271" s="777"/>
      <c r="F271" s="777"/>
      <c r="G271" s="777"/>
      <c r="H271" s="777"/>
      <c r="I271" s="777"/>
      <c r="J271" s="777"/>
      <c r="K271" s="777"/>
      <c r="L271" s="777"/>
      <c r="M271" s="777"/>
      <c r="N271" s="777"/>
      <c r="O271" s="777"/>
      <c r="P271" s="777"/>
      <c r="Q271" s="777"/>
      <c r="R271" s="777"/>
      <c r="S271" s="777"/>
      <c r="T271" s="777"/>
      <c r="U271" s="777"/>
      <c r="V271" s="777"/>
    </row>
    <row r="272" spans="1:22" x14ac:dyDescent="0.25">
      <c r="A272" s="777"/>
      <c r="B272" s="777"/>
      <c r="C272" s="777"/>
      <c r="D272" s="777"/>
      <c r="E272" s="777"/>
      <c r="F272" s="777"/>
      <c r="G272" s="777"/>
      <c r="H272" s="777"/>
      <c r="I272" s="777"/>
      <c r="J272" s="777"/>
      <c r="K272" s="777"/>
      <c r="L272" s="777"/>
      <c r="M272" s="777"/>
      <c r="N272" s="777"/>
      <c r="O272" s="777"/>
      <c r="P272" s="777"/>
      <c r="Q272" s="777"/>
      <c r="R272" s="777"/>
      <c r="S272" s="777"/>
      <c r="T272" s="777"/>
      <c r="U272" s="777"/>
      <c r="V272" s="777"/>
    </row>
    <row r="273" spans="1:22" x14ac:dyDescent="0.25">
      <c r="A273" s="777"/>
      <c r="B273" s="777"/>
      <c r="C273" s="777"/>
      <c r="D273" s="777"/>
      <c r="E273" s="777"/>
      <c r="F273" s="777"/>
      <c r="G273" s="777"/>
      <c r="H273" s="777"/>
      <c r="I273" s="777"/>
      <c r="J273" s="777"/>
      <c r="K273" s="777"/>
      <c r="L273" s="777"/>
      <c r="M273" s="777"/>
      <c r="N273" s="777"/>
      <c r="O273" s="777"/>
      <c r="P273" s="777"/>
      <c r="Q273" s="777"/>
      <c r="R273" s="777"/>
      <c r="S273" s="777"/>
      <c r="T273" s="777"/>
      <c r="U273" s="777"/>
      <c r="V273" s="777"/>
    </row>
    <row r="274" spans="1:22" x14ac:dyDescent="0.25">
      <c r="A274" s="777"/>
      <c r="B274" s="777"/>
      <c r="C274" s="777"/>
      <c r="D274" s="777"/>
      <c r="E274" s="777"/>
      <c r="F274" s="777"/>
      <c r="G274" s="777"/>
      <c r="H274" s="777"/>
      <c r="I274" s="777"/>
      <c r="J274" s="777"/>
      <c r="K274" s="777"/>
      <c r="L274" s="777"/>
      <c r="M274" s="777"/>
      <c r="N274" s="777"/>
      <c r="O274" s="777"/>
      <c r="P274" s="777"/>
      <c r="Q274" s="777"/>
      <c r="R274" s="777"/>
      <c r="S274" s="777"/>
      <c r="T274" s="777"/>
      <c r="U274" s="777"/>
      <c r="V274" s="777"/>
    </row>
    <row r="275" spans="1:22" x14ac:dyDescent="0.25">
      <c r="A275" s="777"/>
      <c r="B275" s="777"/>
      <c r="C275" s="777"/>
      <c r="D275" s="777"/>
      <c r="E275" s="777"/>
      <c r="F275" s="777"/>
      <c r="G275" s="777"/>
      <c r="H275" s="777"/>
      <c r="I275" s="777"/>
      <c r="J275" s="777"/>
      <c r="K275" s="777"/>
      <c r="L275" s="777"/>
      <c r="M275" s="777"/>
      <c r="N275" s="777"/>
      <c r="O275" s="777"/>
      <c r="P275" s="777"/>
      <c r="Q275" s="777"/>
      <c r="R275" s="777"/>
      <c r="S275" s="777"/>
      <c r="T275" s="777"/>
      <c r="U275" s="777"/>
      <c r="V275" s="777"/>
    </row>
    <row r="276" spans="1:22" x14ac:dyDescent="0.25">
      <c r="A276" s="777"/>
      <c r="B276" s="777"/>
      <c r="C276" s="777"/>
      <c r="D276" s="777"/>
      <c r="E276" s="777"/>
      <c r="F276" s="777"/>
      <c r="G276" s="777"/>
      <c r="H276" s="777"/>
      <c r="I276" s="777"/>
      <c r="J276" s="777"/>
      <c r="K276" s="777"/>
      <c r="L276" s="777"/>
      <c r="M276" s="777"/>
      <c r="N276" s="777"/>
      <c r="O276" s="777"/>
      <c r="P276" s="777"/>
      <c r="Q276" s="777"/>
      <c r="R276" s="777"/>
      <c r="S276" s="777"/>
      <c r="T276" s="777"/>
      <c r="U276" s="777"/>
      <c r="V276" s="777"/>
    </row>
    <row r="277" spans="1:22" x14ac:dyDescent="0.25">
      <c r="A277" s="777"/>
      <c r="B277" s="777"/>
      <c r="C277" s="777"/>
      <c r="D277" s="777"/>
      <c r="E277" s="777"/>
      <c r="F277" s="777"/>
      <c r="G277" s="777"/>
      <c r="H277" s="777"/>
      <c r="I277" s="777"/>
      <c r="J277" s="777"/>
      <c r="K277" s="777"/>
      <c r="L277" s="777"/>
      <c r="M277" s="777"/>
      <c r="N277" s="777"/>
      <c r="O277" s="777"/>
      <c r="P277" s="777"/>
      <c r="Q277" s="777"/>
      <c r="R277" s="777"/>
      <c r="S277" s="777"/>
      <c r="T277" s="777"/>
      <c r="U277" s="777"/>
      <c r="V277" s="777"/>
    </row>
    <row r="278" spans="1:22" x14ac:dyDescent="0.25">
      <c r="A278" s="777"/>
      <c r="B278" s="777"/>
      <c r="C278" s="777"/>
      <c r="D278" s="777"/>
      <c r="E278" s="777"/>
      <c r="F278" s="777"/>
      <c r="G278" s="777"/>
      <c r="H278" s="777"/>
      <c r="I278" s="777"/>
      <c r="J278" s="777"/>
      <c r="K278" s="777"/>
      <c r="L278" s="777"/>
      <c r="M278" s="777"/>
      <c r="N278" s="777"/>
      <c r="O278" s="777"/>
      <c r="P278" s="777"/>
      <c r="Q278" s="777"/>
      <c r="R278" s="777"/>
      <c r="S278" s="777"/>
      <c r="T278" s="777"/>
      <c r="U278" s="777"/>
      <c r="V278" s="777"/>
    </row>
    <row r="279" spans="1:22" x14ac:dyDescent="0.25">
      <c r="A279" s="777"/>
      <c r="B279" s="777"/>
      <c r="C279" s="777"/>
      <c r="D279" s="777"/>
      <c r="E279" s="777"/>
      <c r="F279" s="777"/>
      <c r="G279" s="777"/>
      <c r="H279" s="777"/>
      <c r="I279" s="777"/>
      <c r="J279" s="777"/>
      <c r="K279" s="777"/>
      <c r="L279" s="777"/>
      <c r="M279" s="777"/>
      <c r="N279" s="777"/>
      <c r="O279" s="777"/>
      <c r="P279" s="777"/>
      <c r="Q279" s="777"/>
      <c r="R279" s="777"/>
      <c r="S279" s="777"/>
      <c r="T279" s="777"/>
      <c r="U279" s="777"/>
      <c r="V279" s="777"/>
    </row>
    <row r="280" spans="1:22" x14ac:dyDescent="0.25">
      <c r="A280" s="777"/>
      <c r="B280" s="777"/>
      <c r="C280" s="777"/>
      <c r="D280" s="777"/>
      <c r="E280" s="777"/>
      <c r="F280" s="777"/>
      <c r="G280" s="777"/>
      <c r="H280" s="777"/>
      <c r="I280" s="777"/>
      <c r="J280" s="777"/>
      <c r="K280" s="777"/>
      <c r="L280" s="777"/>
      <c r="M280" s="777"/>
      <c r="N280" s="777"/>
      <c r="O280" s="777"/>
      <c r="P280" s="777"/>
      <c r="Q280" s="777"/>
      <c r="R280" s="777"/>
      <c r="S280" s="777"/>
      <c r="T280" s="777"/>
      <c r="U280" s="777"/>
      <c r="V280" s="777"/>
    </row>
    <row r="281" spans="1:22" x14ac:dyDescent="0.25">
      <c r="A281" s="777"/>
      <c r="B281" s="777"/>
      <c r="C281" s="777"/>
      <c r="D281" s="777"/>
      <c r="E281" s="777"/>
      <c r="F281" s="777"/>
      <c r="G281" s="777"/>
      <c r="H281" s="777"/>
      <c r="I281" s="777"/>
      <c r="J281" s="777"/>
      <c r="K281" s="777"/>
      <c r="L281" s="777"/>
      <c r="M281" s="777"/>
      <c r="N281" s="777"/>
      <c r="O281" s="777"/>
      <c r="P281" s="777"/>
      <c r="Q281" s="777"/>
      <c r="R281" s="777"/>
      <c r="S281" s="777"/>
      <c r="T281" s="777"/>
      <c r="U281" s="777"/>
      <c r="V281" s="777"/>
    </row>
    <row r="282" spans="1:22" x14ac:dyDescent="0.25">
      <c r="A282" s="777"/>
      <c r="B282" s="777"/>
      <c r="C282" s="777"/>
      <c r="D282" s="777"/>
      <c r="E282" s="777"/>
      <c r="F282" s="777"/>
      <c r="G282" s="777"/>
      <c r="H282" s="777"/>
      <c r="I282" s="777"/>
      <c r="J282" s="777"/>
      <c r="K282" s="777"/>
      <c r="L282" s="777"/>
      <c r="M282" s="777"/>
      <c r="N282" s="777"/>
      <c r="O282" s="777"/>
      <c r="P282" s="777"/>
      <c r="Q282" s="777"/>
      <c r="R282" s="777"/>
      <c r="S282" s="777"/>
      <c r="T282" s="777"/>
      <c r="U282" s="777"/>
      <c r="V282" s="777"/>
    </row>
    <row r="283" spans="1:22" x14ac:dyDescent="0.25">
      <c r="A283" s="777"/>
      <c r="B283" s="777"/>
      <c r="C283" s="777"/>
      <c r="D283" s="777"/>
      <c r="E283" s="777"/>
      <c r="F283" s="777"/>
      <c r="G283" s="777"/>
      <c r="H283" s="777"/>
      <c r="I283" s="777"/>
      <c r="J283" s="777"/>
      <c r="K283" s="777"/>
      <c r="L283" s="777"/>
      <c r="M283" s="777"/>
      <c r="N283" s="777"/>
      <c r="O283" s="777"/>
      <c r="P283" s="777"/>
      <c r="Q283" s="777"/>
      <c r="R283" s="777"/>
      <c r="S283" s="777"/>
      <c r="T283" s="777"/>
      <c r="U283" s="777"/>
      <c r="V283" s="777"/>
    </row>
    <row r="284" spans="1:22" x14ac:dyDescent="0.25">
      <c r="A284" s="777"/>
      <c r="B284" s="777"/>
      <c r="C284" s="777"/>
      <c r="D284" s="777"/>
      <c r="E284" s="777"/>
      <c r="F284" s="777"/>
      <c r="G284" s="777"/>
      <c r="H284" s="777"/>
      <c r="I284" s="777"/>
      <c r="J284" s="777"/>
      <c r="K284" s="777"/>
      <c r="L284" s="777"/>
      <c r="M284" s="777"/>
      <c r="N284" s="777"/>
      <c r="O284" s="777"/>
      <c r="P284" s="777"/>
      <c r="Q284" s="777"/>
      <c r="R284" s="777"/>
      <c r="S284" s="777"/>
      <c r="T284" s="777"/>
      <c r="U284" s="777"/>
      <c r="V284" s="777"/>
    </row>
    <row r="285" spans="1:22" x14ac:dyDescent="0.25">
      <c r="A285" s="777"/>
      <c r="B285" s="777"/>
      <c r="C285" s="777"/>
      <c r="D285" s="777"/>
      <c r="E285" s="777"/>
      <c r="F285" s="777"/>
      <c r="G285" s="777"/>
      <c r="H285" s="777"/>
      <c r="I285" s="777"/>
      <c r="J285" s="777"/>
      <c r="K285" s="777"/>
      <c r="L285" s="777"/>
      <c r="M285" s="777"/>
      <c r="N285" s="777"/>
      <c r="O285" s="777"/>
      <c r="P285" s="777"/>
      <c r="Q285" s="777"/>
      <c r="R285" s="777"/>
      <c r="S285" s="777"/>
      <c r="T285" s="777"/>
      <c r="U285" s="777"/>
      <c r="V285" s="777"/>
    </row>
    <row r="286" spans="1:22" x14ac:dyDescent="0.25">
      <c r="A286" s="777"/>
      <c r="B286" s="777"/>
      <c r="C286" s="777"/>
      <c r="D286" s="777"/>
      <c r="E286" s="777"/>
      <c r="F286" s="777"/>
      <c r="G286" s="777"/>
      <c r="H286" s="777"/>
      <c r="I286" s="777"/>
      <c r="J286" s="777"/>
      <c r="K286" s="777"/>
      <c r="L286" s="777"/>
      <c r="M286" s="777"/>
      <c r="N286" s="777"/>
      <c r="O286" s="777"/>
      <c r="P286" s="777"/>
      <c r="Q286" s="777"/>
      <c r="R286" s="777"/>
      <c r="S286" s="777"/>
      <c r="T286" s="777"/>
      <c r="U286" s="777"/>
      <c r="V286" s="777"/>
    </row>
    <row r="287" spans="1:22" x14ac:dyDescent="0.25">
      <c r="A287" s="777"/>
      <c r="B287" s="777"/>
      <c r="C287" s="777"/>
      <c r="D287" s="777"/>
      <c r="E287" s="777"/>
      <c r="F287" s="777"/>
      <c r="G287" s="777"/>
      <c r="H287" s="777"/>
      <c r="I287" s="777"/>
      <c r="J287" s="777"/>
      <c r="K287" s="777"/>
      <c r="L287" s="777"/>
      <c r="M287" s="777"/>
      <c r="N287" s="777"/>
      <c r="O287" s="777"/>
      <c r="P287" s="777"/>
      <c r="Q287" s="777"/>
      <c r="R287" s="777"/>
      <c r="S287" s="777"/>
      <c r="T287" s="777"/>
      <c r="U287" s="777"/>
      <c r="V287" s="777"/>
    </row>
    <row r="288" spans="1:22" x14ac:dyDescent="0.25">
      <c r="A288" s="777"/>
      <c r="B288" s="777"/>
      <c r="C288" s="777"/>
      <c r="D288" s="777"/>
      <c r="E288" s="777"/>
      <c r="F288" s="777"/>
      <c r="G288" s="777"/>
      <c r="H288" s="777"/>
      <c r="I288" s="777"/>
      <c r="J288" s="777"/>
      <c r="K288" s="777"/>
      <c r="L288" s="777"/>
      <c r="M288" s="777"/>
      <c r="N288" s="777"/>
      <c r="O288" s="777"/>
      <c r="P288" s="777"/>
      <c r="Q288" s="777"/>
      <c r="R288" s="777"/>
      <c r="S288" s="777"/>
      <c r="T288" s="777"/>
      <c r="U288" s="777"/>
      <c r="V288" s="777"/>
    </row>
    <row r="289" spans="1:22" x14ac:dyDescent="0.25">
      <c r="A289" s="777"/>
      <c r="B289" s="777"/>
      <c r="C289" s="777"/>
      <c r="D289" s="777"/>
      <c r="E289" s="777"/>
      <c r="F289" s="777"/>
      <c r="G289" s="777"/>
      <c r="H289" s="777"/>
      <c r="I289" s="777"/>
      <c r="J289" s="777"/>
      <c r="K289" s="777"/>
      <c r="L289" s="777"/>
      <c r="M289" s="777"/>
      <c r="N289" s="777"/>
      <c r="O289" s="777"/>
      <c r="P289" s="777"/>
      <c r="Q289" s="777"/>
      <c r="R289" s="777"/>
      <c r="S289" s="777"/>
      <c r="T289" s="777"/>
      <c r="U289" s="777"/>
      <c r="V289" s="777"/>
    </row>
    <row r="290" spans="1:22" x14ac:dyDescent="0.25">
      <c r="A290" s="777"/>
      <c r="B290" s="777"/>
      <c r="C290" s="777"/>
      <c r="D290" s="777"/>
      <c r="E290" s="777"/>
      <c r="F290" s="777"/>
      <c r="G290" s="777"/>
      <c r="H290" s="777"/>
      <c r="I290" s="777"/>
      <c r="J290" s="777"/>
      <c r="K290" s="777"/>
      <c r="L290" s="777"/>
      <c r="M290" s="777"/>
      <c r="N290" s="777"/>
      <c r="O290" s="777"/>
      <c r="P290" s="777"/>
      <c r="Q290" s="777"/>
      <c r="R290" s="777"/>
      <c r="S290" s="777"/>
      <c r="T290" s="777"/>
      <c r="U290" s="777"/>
      <c r="V290" s="777"/>
    </row>
    <row r="291" spans="1:22" x14ac:dyDescent="0.25">
      <c r="A291" s="777"/>
      <c r="B291" s="777"/>
      <c r="C291" s="777"/>
      <c r="D291" s="777"/>
      <c r="E291" s="777"/>
      <c r="F291" s="777"/>
      <c r="G291" s="777"/>
      <c r="H291" s="777"/>
      <c r="I291" s="777"/>
      <c r="J291" s="777"/>
      <c r="K291" s="777"/>
      <c r="L291" s="777"/>
      <c r="M291" s="777"/>
      <c r="N291" s="777"/>
      <c r="O291" s="777"/>
      <c r="P291" s="777"/>
      <c r="Q291" s="777"/>
      <c r="R291" s="777"/>
      <c r="S291" s="777"/>
      <c r="T291" s="777"/>
      <c r="U291" s="777"/>
      <c r="V291" s="777"/>
    </row>
    <row r="292" spans="1:22" x14ac:dyDescent="0.25">
      <c r="A292" s="777"/>
      <c r="B292" s="777"/>
      <c r="C292" s="777"/>
      <c r="D292" s="777"/>
      <c r="E292" s="777"/>
      <c r="F292" s="777"/>
      <c r="G292" s="777"/>
      <c r="H292" s="777"/>
      <c r="I292" s="777"/>
      <c r="J292" s="777"/>
      <c r="K292" s="777"/>
      <c r="L292" s="777"/>
      <c r="M292" s="777"/>
      <c r="N292" s="777"/>
      <c r="O292" s="777"/>
      <c r="P292" s="777"/>
      <c r="Q292" s="777"/>
      <c r="R292" s="777"/>
      <c r="S292" s="777"/>
      <c r="T292" s="777"/>
      <c r="U292" s="777"/>
      <c r="V292" s="777"/>
    </row>
    <row r="293" spans="1:22" x14ac:dyDescent="0.25">
      <c r="A293" s="777"/>
      <c r="B293" s="777"/>
      <c r="C293" s="777"/>
      <c r="D293" s="777"/>
      <c r="E293" s="777"/>
      <c r="F293" s="777"/>
      <c r="G293" s="777"/>
      <c r="H293" s="777"/>
      <c r="I293" s="777"/>
      <c r="J293" s="777"/>
      <c r="K293" s="777"/>
      <c r="L293" s="777"/>
      <c r="M293" s="777"/>
      <c r="N293" s="777"/>
      <c r="O293" s="777"/>
      <c r="P293" s="777"/>
      <c r="Q293" s="777"/>
      <c r="R293" s="777"/>
      <c r="S293" s="777"/>
      <c r="T293" s="777"/>
      <c r="U293" s="777"/>
      <c r="V293" s="777"/>
    </row>
    <row r="294" spans="1:22" x14ac:dyDescent="0.25">
      <c r="A294" s="777"/>
      <c r="B294" s="777"/>
      <c r="C294" s="777"/>
      <c r="D294" s="777"/>
      <c r="E294" s="777"/>
      <c r="F294" s="777"/>
      <c r="G294" s="777"/>
      <c r="H294" s="777"/>
      <c r="I294" s="777"/>
      <c r="J294" s="777"/>
      <c r="K294" s="777"/>
      <c r="L294" s="777"/>
      <c r="M294" s="777"/>
      <c r="N294" s="777"/>
      <c r="O294" s="777"/>
      <c r="P294" s="777"/>
      <c r="Q294" s="777"/>
      <c r="R294" s="777"/>
      <c r="S294" s="777"/>
      <c r="T294" s="777"/>
      <c r="U294" s="777"/>
      <c r="V294" s="777"/>
    </row>
    <row r="295" spans="1:22" x14ac:dyDescent="0.25">
      <c r="A295" s="777"/>
      <c r="B295" s="777"/>
      <c r="C295" s="777"/>
      <c r="D295" s="777"/>
      <c r="E295" s="777"/>
      <c r="F295" s="777"/>
      <c r="G295" s="777"/>
      <c r="H295" s="777"/>
      <c r="I295" s="777"/>
      <c r="J295" s="777"/>
      <c r="K295" s="777"/>
      <c r="L295" s="777"/>
      <c r="M295" s="777"/>
      <c r="N295" s="777"/>
      <c r="O295" s="777"/>
      <c r="P295" s="777"/>
      <c r="Q295" s="777"/>
      <c r="R295" s="777"/>
      <c r="S295" s="777"/>
      <c r="T295" s="777"/>
      <c r="U295" s="777"/>
      <c r="V295" s="777"/>
    </row>
    <row r="296" spans="1:22" x14ac:dyDescent="0.25">
      <c r="A296" s="777"/>
      <c r="B296" s="777"/>
      <c r="C296" s="777"/>
      <c r="D296" s="777"/>
      <c r="E296" s="777"/>
      <c r="F296" s="777"/>
      <c r="G296" s="777"/>
      <c r="H296" s="777"/>
      <c r="I296" s="777"/>
      <c r="J296" s="777"/>
      <c r="K296" s="777"/>
      <c r="L296" s="777"/>
      <c r="M296" s="777"/>
      <c r="N296" s="777"/>
      <c r="O296" s="777"/>
      <c r="P296" s="777"/>
      <c r="Q296" s="777"/>
      <c r="R296" s="777"/>
      <c r="S296" s="777"/>
      <c r="T296" s="777"/>
      <c r="U296" s="777"/>
      <c r="V296" s="777"/>
    </row>
    <row r="297" spans="1:22" x14ac:dyDescent="0.25">
      <c r="A297" s="777"/>
      <c r="B297" s="777"/>
      <c r="C297" s="777"/>
      <c r="D297" s="777"/>
      <c r="E297" s="777"/>
      <c r="F297" s="777"/>
      <c r="G297" s="777"/>
      <c r="H297" s="777"/>
      <c r="I297" s="777"/>
      <c r="J297" s="777"/>
      <c r="K297" s="777"/>
      <c r="L297" s="777"/>
      <c r="M297" s="777"/>
      <c r="N297" s="777"/>
      <c r="O297" s="777"/>
      <c r="P297" s="777"/>
      <c r="Q297" s="777"/>
      <c r="R297" s="777"/>
      <c r="S297" s="777"/>
      <c r="T297" s="777"/>
      <c r="U297" s="777"/>
      <c r="V297" s="777"/>
    </row>
    <row r="298" spans="1:22" x14ac:dyDescent="0.25">
      <c r="A298" s="777"/>
      <c r="B298" s="777"/>
      <c r="C298" s="777"/>
      <c r="D298" s="777"/>
      <c r="E298" s="777"/>
      <c r="F298" s="777"/>
      <c r="G298" s="777"/>
      <c r="H298" s="777"/>
      <c r="I298" s="777"/>
      <c r="J298" s="777"/>
      <c r="K298" s="777"/>
      <c r="L298" s="777"/>
      <c r="M298" s="777"/>
      <c r="N298" s="777"/>
      <c r="O298" s="777"/>
      <c r="P298" s="777"/>
      <c r="Q298" s="777"/>
      <c r="R298" s="777"/>
      <c r="S298" s="777"/>
      <c r="T298" s="777"/>
      <c r="U298" s="777"/>
      <c r="V298" s="777"/>
    </row>
    <row r="299" spans="1:22" x14ac:dyDescent="0.25">
      <c r="A299" s="777"/>
      <c r="B299" s="777"/>
      <c r="C299" s="777"/>
      <c r="D299" s="777"/>
      <c r="E299" s="777"/>
      <c r="F299" s="777"/>
      <c r="G299" s="777"/>
      <c r="H299" s="777"/>
      <c r="I299" s="777"/>
      <c r="J299" s="777"/>
      <c r="K299" s="777"/>
      <c r="L299" s="777"/>
      <c r="M299" s="777"/>
      <c r="N299" s="777"/>
      <c r="O299" s="777"/>
      <c r="P299" s="777"/>
      <c r="Q299" s="777"/>
      <c r="R299" s="777"/>
      <c r="S299" s="777"/>
      <c r="T299" s="777"/>
      <c r="U299" s="777"/>
      <c r="V299" s="777"/>
    </row>
    <row r="300" spans="1:22" x14ac:dyDescent="0.25">
      <c r="A300" s="777"/>
      <c r="B300" s="777"/>
      <c r="C300" s="777"/>
      <c r="D300" s="777"/>
      <c r="E300" s="777"/>
      <c r="F300" s="777"/>
      <c r="G300" s="777"/>
      <c r="H300" s="777"/>
      <c r="I300" s="777"/>
      <c r="J300" s="777"/>
      <c r="K300" s="777"/>
      <c r="L300" s="777"/>
      <c r="M300" s="777"/>
      <c r="N300" s="777"/>
      <c r="O300" s="777"/>
      <c r="P300" s="777"/>
      <c r="Q300" s="777"/>
      <c r="R300" s="777"/>
      <c r="S300" s="777"/>
      <c r="T300" s="777"/>
      <c r="U300" s="777"/>
      <c r="V300" s="777"/>
    </row>
    <row r="301" spans="1:22" x14ac:dyDescent="0.25">
      <c r="A301" s="777"/>
      <c r="B301" s="777"/>
      <c r="C301" s="777"/>
      <c r="D301" s="777"/>
      <c r="E301" s="777"/>
      <c r="F301" s="777"/>
      <c r="G301" s="777"/>
      <c r="H301" s="777"/>
      <c r="I301" s="777"/>
      <c r="J301" s="777"/>
      <c r="K301" s="777"/>
      <c r="L301" s="777"/>
      <c r="M301" s="777"/>
      <c r="N301" s="777"/>
      <c r="O301" s="777"/>
      <c r="P301" s="777"/>
      <c r="Q301" s="777"/>
      <c r="R301" s="777"/>
      <c r="S301" s="777"/>
      <c r="T301" s="777"/>
      <c r="U301" s="777"/>
      <c r="V301" s="777"/>
    </row>
    <row r="302" spans="1:22" x14ac:dyDescent="0.25">
      <c r="A302" s="777"/>
      <c r="B302" s="777"/>
      <c r="C302" s="777"/>
      <c r="D302" s="777"/>
      <c r="E302" s="777"/>
      <c r="F302" s="777"/>
      <c r="G302" s="777"/>
      <c r="H302" s="777"/>
      <c r="I302" s="777"/>
      <c r="J302" s="777"/>
      <c r="K302" s="777"/>
      <c r="L302" s="777"/>
      <c r="M302" s="777"/>
      <c r="N302" s="777"/>
      <c r="O302" s="777"/>
      <c r="P302" s="777"/>
      <c r="Q302" s="777"/>
      <c r="R302" s="777"/>
      <c r="S302" s="777"/>
      <c r="T302" s="777"/>
      <c r="U302" s="777"/>
      <c r="V302" s="777"/>
    </row>
    <row r="303" spans="1:22" x14ac:dyDescent="0.25">
      <c r="A303" s="777"/>
      <c r="B303" s="777"/>
      <c r="C303" s="777"/>
      <c r="D303" s="777"/>
      <c r="E303" s="777"/>
      <c r="F303" s="777"/>
      <c r="G303" s="777"/>
      <c r="H303" s="777"/>
      <c r="I303" s="777"/>
      <c r="J303" s="777"/>
      <c r="K303" s="777"/>
      <c r="L303" s="777"/>
      <c r="M303" s="777"/>
      <c r="N303" s="777"/>
      <c r="O303" s="777"/>
      <c r="P303" s="777"/>
      <c r="Q303" s="777"/>
      <c r="R303" s="777"/>
      <c r="S303" s="777"/>
      <c r="T303" s="777"/>
      <c r="U303" s="777"/>
      <c r="V303" s="777"/>
    </row>
    <row r="304" spans="1:22" x14ac:dyDescent="0.25">
      <c r="A304" s="777"/>
      <c r="B304" s="777"/>
      <c r="C304" s="777"/>
      <c r="D304" s="777"/>
      <c r="E304" s="777"/>
      <c r="F304" s="777"/>
      <c r="G304" s="777"/>
      <c r="H304" s="777"/>
      <c r="I304" s="777"/>
      <c r="J304" s="777"/>
      <c r="K304" s="777"/>
      <c r="L304" s="777"/>
      <c r="M304" s="777"/>
      <c r="N304" s="777"/>
      <c r="O304" s="777"/>
      <c r="P304" s="777"/>
      <c r="Q304" s="777"/>
      <c r="R304" s="777"/>
      <c r="S304" s="777"/>
      <c r="T304" s="777"/>
      <c r="U304" s="777"/>
      <c r="V304" s="777"/>
    </row>
    <row r="305" spans="1:22" x14ac:dyDescent="0.25">
      <c r="A305" s="777"/>
      <c r="B305" s="777"/>
      <c r="C305" s="777"/>
      <c r="D305" s="777"/>
      <c r="E305" s="777"/>
      <c r="F305" s="777"/>
      <c r="G305" s="777"/>
      <c r="H305" s="777"/>
      <c r="I305" s="777"/>
      <c r="J305" s="777"/>
      <c r="K305" s="777"/>
      <c r="L305" s="777"/>
      <c r="M305" s="777"/>
      <c r="N305" s="777"/>
      <c r="O305" s="777"/>
      <c r="P305" s="777"/>
      <c r="Q305" s="777"/>
      <c r="R305" s="777"/>
      <c r="S305" s="777"/>
      <c r="T305" s="777"/>
      <c r="U305" s="777"/>
      <c r="V305" s="777"/>
    </row>
    <row r="306" spans="1:22" x14ac:dyDescent="0.25">
      <c r="A306" s="777"/>
      <c r="B306" s="777"/>
      <c r="C306" s="777"/>
      <c r="D306" s="777"/>
      <c r="E306" s="777"/>
      <c r="F306" s="777"/>
      <c r="G306" s="777"/>
      <c r="H306" s="777"/>
      <c r="I306" s="777"/>
      <c r="J306" s="777"/>
      <c r="K306" s="777"/>
      <c r="L306" s="777"/>
      <c r="M306" s="777"/>
      <c r="N306" s="777"/>
      <c r="O306" s="777"/>
      <c r="P306" s="777"/>
      <c r="Q306" s="777"/>
      <c r="R306" s="777"/>
      <c r="S306" s="777"/>
      <c r="T306" s="777"/>
      <c r="U306" s="777"/>
      <c r="V306" s="777"/>
    </row>
    <row r="307" spans="1:22" x14ac:dyDescent="0.25">
      <c r="A307" s="777"/>
      <c r="B307" s="777"/>
      <c r="C307" s="777"/>
      <c r="D307" s="777"/>
      <c r="E307" s="777"/>
      <c r="F307" s="777"/>
      <c r="G307" s="777"/>
      <c r="H307" s="777"/>
      <c r="I307" s="777"/>
      <c r="J307" s="777"/>
      <c r="K307" s="777"/>
      <c r="L307" s="777"/>
      <c r="M307" s="777"/>
      <c r="N307" s="777"/>
      <c r="O307" s="777"/>
      <c r="P307" s="777"/>
      <c r="Q307" s="777"/>
      <c r="R307" s="777"/>
      <c r="S307" s="777"/>
      <c r="T307" s="777"/>
      <c r="U307" s="777"/>
      <c r="V307" s="777"/>
    </row>
    <row r="308" spans="1:22" x14ac:dyDescent="0.25">
      <c r="A308" s="777"/>
      <c r="B308" s="777"/>
      <c r="C308" s="777"/>
      <c r="D308" s="777"/>
      <c r="E308" s="777"/>
      <c r="F308" s="777"/>
      <c r="G308" s="777"/>
      <c r="H308" s="777"/>
      <c r="I308" s="777"/>
      <c r="J308" s="777"/>
      <c r="K308" s="777"/>
      <c r="L308" s="777"/>
      <c r="M308" s="777"/>
      <c r="N308" s="777"/>
      <c r="O308" s="777"/>
      <c r="P308" s="777"/>
      <c r="Q308" s="777"/>
      <c r="R308" s="777"/>
      <c r="S308" s="777"/>
      <c r="T308" s="777"/>
      <c r="U308" s="777"/>
      <c r="V308" s="777"/>
    </row>
    <row r="309" spans="1:22" x14ac:dyDescent="0.25">
      <c r="A309" s="777"/>
      <c r="B309" s="777"/>
      <c r="C309" s="777"/>
      <c r="D309" s="777"/>
      <c r="E309" s="777"/>
      <c r="F309" s="777"/>
      <c r="G309" s="777"/>
      <c r="H309" s="777"/>
      <c r="I309" s="777"/>
      <c r="J309" s="777"/>
      <c r="K309" s="777"/>
      <c r="L309" s="777"/>
      <c r="M309" s="777"/>
      <c r="N309" s="777"/>
      <c r="O309" s="777"/>
      <c r="P309" s="777"/>
      <c r="Q309" s="777"/>
      <c r="R309" s="777"/>
      <c r="S309" s="777"/>
      <c r="T309" s="777"/>
      <c r="U309" s="777"/>
      <c r="V309" s="777"/>
    </row>
    <row r="310" spans="1:22" x14ac:dyDescent="0.25">
      <c r="A310" s="777"/>
      <c r="B310" s="777"/>
      <c r="C310" s="777"/>
      <c r="D310" s="777"/>
      <c r="E310" s="777"/>
      <c r="F310" s="777"/>
      <c r="G310" s="777"/>
      <c r="H310" s="777"/>
      <c r="I310" s="777"/>
      <c r="J310" s="777"/>
      <c r="K310" s="777"/>
      <c r="L310" s="777"/>
      <c r="M310" s="777"/>
      <c r="N310" s="777"/>
      <c r="O310" s="777"/>
      <c r="P310" s="777"/>
      <c r="Q310" s="777"/>
      <c r="R310" s="777"/>
      <c r="S310" s="777"/>
      <c r="T310" s="777"/>
      <c r="U310" s="777"/>
      <c r="V310" s="777"/>
    </row>
    <row r="311" spans="1:22" x14ac:dyDescent="0.25">
      <c r="A311" s="777"/>
      <c r="B311" s="777"/>
      <c r="C311" s="777"/>
      <c r="D311" s="777"/>
      <c r="E311" s="777"/>
      <c r="F311" s="777"/>
      <c r="G311" s="777"/>
      <c r="H311" s="777"/>
      <c r="I311" s="777"/>
      <c r="J311" s="777"/>
      <c r="K311" s="777"/>
      <c r="L311" s="777"/>
      <c r="M311" s="777"/>
      <c r="N311" s="777"/>
      <c r="O311" s="777"/>
      <c r="P311" s="777"/>
      <c r="Q311" s="777"/>
      <c r="R311" s="777"/>
      <c r="S311" s="777"/>
      <c r="T311" s="777"/>
      <c r="U311" s="777"/>
      <c r="V311" s="777"/>
    </row>
    <row r="312" spans="1:22" x14ac:dyDescent="0.25">
      <c r="A312" s="777"/>
      <c r="B312" s="777"/>
      <c r="C312" s="777"/>
      <c r="D312" s="777"/>
      <c r="E312" s="777"/>
      <c r="F312" s="777"/>
      <c r="G312" s="777"/>
      <c r="H312" s="777"/>
      <c r="I312" s="777"/>
      <c r="J312" s="777"/>
      <c r="K312" s="777"/>
      <c r="L312" s="777"/>
      <c r="M312" s="777"/>
      <c r="N312" s="777"/>
      <c r="O312" s="777"/>
      <c r="P312" s="777"/>
      <c r="Q312" s="777"/>
      <c r="R312" s="777"/>
      <c r="S312" s="777"/>
      <c r="T312" s="777"/>
      <c r="U312" s="777"/>
      <c r="V312" s="777"/>
    </row>
    <row r="313" spans="1:22" x14ac:dyDescent="0.25">
      <c r="A313" s="777"/>
      <c r="B313" s="777"/>
      <c r="C313" s="777"/>
      <c r="D313" s="777"/>
      <c r="E313" s="777"/>
      <c r="F313" s="777"/>
      <c r="G313" s="777"/>
      <c r="H313" s="777"/>
      <c r="I313" s="777"/>
      <c r="J313" s="777"/>
      <c r="K313" s="777"/>
      <c r="L313" s="777"/>
      <c r="M313" s="777"/>
      <c r="N313" s="777"/>
      <c r="O313" s="777"/>
      <c r="P313" s="777"/>
      <c r="Q313" s="777"/>
      <c r="R313" s="777"/>
      <c r="S313" s="777"/>
      <c r="T313" s="777"/>
      <c r="U313" s="777"/>
      <c r="V313" s="777"/>
    </row>
    <row r="314" spans="1:22" x14ac:dyDescent="0.25">
      <c r="A314" s="777"/>
      <c r="B314" s="777"/>
      <c r="C314" s="777"/>
      <c r="D314" s="777"/>
      <c r="E314" s="777"/>
      <c r="F314" s="777"/>
      <c r="G314" s="777"/>
      <c r="H314" s="777"/>
      <c r="I314" s="777"/>
      <c r="J314" s="777"/>
      <c r="K314" s="777"/>
      <c r="L314" s="777"/>
      <c r="M314" s="777"/>
      <c r="N314" s="777"/>
      <c r="O314" s="777"/>
      <c r="P314" s="777"/>
      <c r="Q314" s="777"/>
      <c r="R314" s="777"/>
      <c r="S314" s="777"/>
      <c r="T314" s="777"/>
      <c r="U314" s="777"/>
      <c r="V314" s="777"/>
    </row>
    <row r="315" spans="1:22" x14ac:dyDescent="0.25">
      <c r="A315" s="777"/>
      <c r="B315" s="777"/>
      <c r="C315" s="777"/>
      <c r="D315" s="777"/>
      <c r="E315" s="777"/>
      <c r="F315" s="777"/>
      <c r="G315" s="777"/>
      <c r="H315" s="777"/>
      <c r="I315" s="777"/>
      <c r="J315" s="777"/>
      <c r="K315" s="777"/>
      <c r="L315" s="777"/>
      <c r="M315" s="777"/>
      <c r="N315" s="777"/>
      <c r="O315" s="777"/>
      <c r="P315" s="777"/>
      <c r="Q315" s="777"/>
      <c r="R315" s="777"/>
      <c r="S315" s="777"/>
      <c r="T315" s="777"/>
      <c r="U315" s="777"/>
      <c r="V315" s="777"/>
    </row>
    <row r="316" spans="1:22" x14ac:dyDescent="0.25">
      <c r="A316" s="777"/>
      <c r="B316" s="777"/>
      <c r="C316" s="777"/>
      <c r="D316" s="777"/>
      <c r="E316" s="777"/>
      <c r="F316" s="777"/>
      <c r="G316" s="777"/>
      <c r="H316" s="777"/>
      <c r="I316" s="777"/>
      <c r="J316" s="777"/>
      <c r="K316" s="777"/>
      <c r="L316" s="777"/>
      <c r="M316" s="777"/>
      <c r="N316" s="777"/>
      <c r="O316" s="777"/>
      <c r="P316" s="777"/>
      <c r="Q316" s="777"/>
      <c r="R316" s="777"/>
      <c r="S316" s="777"/>
      <c r="T316" s="777"/>
      <c r="U316" s="777"/>
      <c r="V316" s="777"/>
    </row>
    <row r="317" spans="1:22" x14ac:dyDescent="0.25">
      <c r="A317" s="777"/>
      <c r="B317" s="777"/>
      <c r="C317" s="777"/>
      <c r="D317" s="777"/>
      <c r="E317" s="777"/>
      <c r="F317" s="777"/>
      <c r="G317" s="777"/>
      <c r="H317" s="777"/>
      <c r="I317" s="777"/>
      <c r="J317" s="777"/>
      <c r="K317" s="777"/>
      <c r="L317" s="777"/>
      <c r="M317" s="777"/>
      <c r="N317" s="777"/>
      <c r="O317" s="777"/>
      <c r="P317" s="777"/>
      <c r="Q317" s="777"/>
      <c r="R317" s="777"/>
      <c r="S317" s="777"/>
      <c r="T317" s="777"/>
      <c r="U317" s="777"/>
      <c r="V317" s="777"/>
    </row>
    <row r="318" spans="1:22" x14ac:dyDescent="0.25">
      <c r="A318" s="777"/>
      <c r="B318" s="777"/>
      <c r="C318" s="777"/>
      <c r="D318" s="777"/>
      <c r="E318" s="777"/>
      <c r="F318" s="777"/>
      <c r="G318" s="777"/>
      <c r="H318" s="777"/>
      <c r="I318" s="777"/>
      <c r="J318" s="777"/>
      <c r="K318" s="777"/>
      <c r="L318" s="777"/>
      <c r="M318" s="777"/>
      <c r="N318" s="777"/>
      <c r="O318" s="777"/>
      <c r="P318" s="777"/>
      <c r="Q318" s="777"/>
      <c r="R318" s="777"/>
      <c r="S318" s="777"/>
      <c r="T318" s="777"/>
      <c r="U318" s="777"/>
      <c r="V318" s="777"/>
    </row>
    <row r="319" spans="1:22" x14ac:dyDescent="0.25">
      <c r="A319" s="777"/>
      <c r="B319" s="777"/>
      <c r="C319" s="777"/>
      <c r="D319" s="777"/>
      <c r="E319" s="777"/>
      <c r="F319" s="777"/>
      <c r="G319" s="777"/>
      <c r="H319" s="777"/>
      <c r="I319" s="777"/>
      <c r="J319" s="777"/>
      <c r="K319" s="777"/>
      <c r="L319" s="777"/>
      <c r="M319" s="777"/>
      <c r="N319" s="777"/>
      <c r="O319" s="777"/>
      <c r="P319" s="777"/>
      <c r="Q319" s="777"/>
      <c r="R319" s="777"/>
      <c r="S319" s="777"/>
      <c r="T319" s="777"/>
      <c r="U319" s="777"/>
      <c r="V319" s="777"/>
    </row>
    <row r="320" spans="1:22" x14ac:dyDescent="0.25">
      <c r="A320" s="777"/>
      <c r="B320" s="777"/>
      <c r="C320" s="777"/>
      <c r="D320" s="777"/>
      <c r="E320" s="777"/>
      <c r="F320" s="777"/>
      <c r="G320" s="777"/>
      <c r="H320" s="777"/>
      <c r="I320" s="777"/>
      <c r="J320" s="777"/>
      <c r="K320" s="777"/>
      <c r="L320" s="777"/>
      <c r="M320" s="777"/>
      <c r="N320" s="777"/>
      <c r="O320" s="777"/>
      <c r="P320" s="777"/>
      <c r="Q320" s="777"/>
      <c r="R320" s="777"/>
      <c r="S320" s="777"/>
      <c r="T320" s="777"/>
      <c r="U320" s="777"/>
      <c r="V320" s="777"/>
    </row>
    <row r="321" spans="1:22" x14ac:dyDescent="0.25">
      <c r="A321" s="777"/>
      <c r="B321" s="777"/>
      <c r="C321" s="777"/>
      <c r="D321" s="777"/>
      <c r="E321" s="777"/>
      <c r="F321" s="777"/>
      <c r="G321" s="777"/>
      <c r="H321" s="777"/>
      <c r="I321" s="777"/>
      <c r="J321" s="777"/>
      <c r="K321" s="777"/>
      <c r="L321" s="777"/>
      <c r="M321" s="777"/>
      <c r="N321" s="777"/>
      <c r="O321" s="777"/>
      <c r="P321" s="777"/>
      <c r="Q321" s="777"/>
      <c r="R321" s="777"/>
      <c r="S321" s="777"/>
      <c r="T321" s="777"/>
      <c r="U321" s="777"/>
      <c r="V321" s="777"/>
    </row>
    <row r="322" spans="1:22" x14ac:dyDescent="0.25">
      <c r="A322" s="777"/>
      <c r="B322" s="777"/>
      <c r="C322" s="777"/>
      <c r="D322" s="777"/>
      <c r="E322" s="777"/>
      <c r="F322" s="777"/>
      <c r="G322" s="777"/>
      <c r="H322" s="777"/>
      <c r="I322" s="777"/>
      <c r="J322" s="777"/>
      <c r="K322" s="777"/>
      <c r="L322" s="777"/>
      <c r="M322" s="777"/>
      <c r="N322" s="777"/>
      <c r="O322" s="777"/>
      <c r="P322" s="777"/>
      <c r="Q322" s="777"/>
      <c r="R322" s="777"/>
      <c r="S322" s="777"/>
      <c r="T322" s="777"/>
      <c r="U322" s="777"/>
      <c r="V322" s="777"/>
    </row>
    <row r="323" spans="1:22" x14ac:dyDescent="0.25">
      <c r="A323" s="777"/>
      <c r="B323" s="777"/>
      <c r="C323" s="777"/>
      <c r="D323" s="777"/>
      <c r="E323" s="777"/>
      <c r="F323" s="777"/>
      <c r="G323" s="777"/>
      <c r="H323" s="777"/>
      <c r="I323" s="777"/>
      <c r="J323" s="777"/>
      <c r="K323" s="777"/>
      <c r="L323" s="777"/>
      <c r="M323" s="777"/>
      <c r="N323" s="777"/>
      <c r="O323" s="777"/>
      <c r="P323" s="777"/>
      <c r="Q323" s="777"/>
      <c r="R323" s="777"/>
      <c r="S323" s="777"/>
      <c r="T323" s="777"/>
      <c r="U323" s="777"/>
      <c r="V323" s="777"/>
    </row>
    <row r="324" spans="1:22" x14ac:dyDescent="0.25">
      <c r="A324" s="777"/>
      <c r="B324" s="777"/>
      <c r="C324" s="777"/>
      <c r="D324" s="777"/>
      <c r="E324" s="777"/>
      <c r="F324" s="777"/>
      <c r="G324" s="777"/>
      <c r="H324" s="777"/>
      <c r="I324" s="777"/>
      <c r="J324" s="777"/>
      <c r="K324" s="777"/>
      <c r="L324" s="777"/>
      <c r="M324" s="777"/>
      <c r="N324" s="777"/>
      <c r="O324" s="777"/>
      <c r="P324" s="777"/>
      <c r="Q324" s="777"/>
      <c r="R324" s="777"/>
      <c r="S324" s="777"/>
      <c r="T324" s="777"/>
      <c r="U324" s="777"/>
      <c r="V324" s="777"/>
    </row>
    <row r="325" spans="1:22" x14ac:dyDescent="0.25">
      <c r="A325" s="777"/>
      <c r="B325" s="777"/>
      <c r="C325" s="777"/>
      <c r="D325" s="777"/>
      <c r="E325" s="777"/>
      <c r="F325" s="777"/>
      <c r="G325" s="777"/>
      <c r="H325" s="777"/>
      <c r="I325" s="777"/>
      <c r="J325" s="777"/>
      <c r="K325" s="777"/>
      <c r="L325" s="777"/>
      <c r="M325" s="777"/>
      <c r="N325" s="777"/>
      <c r="O325" s="777"/>
      <c r="P325" s="777"/>
      <c r="Q325" s="777"/>
      <c r="R325" s="777"/>
      <c r="S325" s="777"/>
      <c r="T325" s="777"/>
      <c r="U325" s="777"/>
      <c r="V325" s="777"/>
    </row>
    <row r="326" spans="1:22" x14ac:dyDescent="0.25">
      <c r="A326" s="777"/>
      <c r="B326" s="777"/>
      <c r="C326" s="777"/>
      <c r="D326" s="777"/>
      <c r="E326" s="777"/>
      <c r="F326" s="777"/>
      <c r="G326" s="777"/>
      <c r="H326" s="777"/>
      <c r="I326" s="777"/>
      <c r="J326" s="777"/>
      <c r="K326" s="777"/>
      <c r="L326" s="777"/>
      <c r="M326" s="777"/>
      <c r="N326" s="777"/>
      <c r="O326" s="777"/>
      <c r="P326" s="777"/>
      <c r="Q326" s="777"/>
      <c r="R326" s="777"/>
      <c r="S326" s="777"/>
      <c r="T326" s="777"/>
      <c r="U326" s="777"/>
      <c r="V326" s="777"/>
    </row>
    <row r="327" spans="1:22" x14ac:dyDescent="0.25">
      <c r="A327" s="777"/>
      <c r="B327" s="777"/>
      <c r="C327" s="777"/>
      <c r="D327" s="777"/>
      <c r="E327" s="777"/>
      <c r="F327" s="777"/>
      <c r="G327" s="777"/>
      <c r="H327" s="777"/>
      <c r="I327" s="777"/>
      <c r="J327" s="777"/>
      <c r="K327" s="777"/>
      <c r="L327" s="777"/>
      <c r="M327" s="777"/>
      <c r="N327" s="777"/>
      <c r="O327" s="777"/>
      <c r="P327" s="777"/>
      <c r="Q327" s="777"/>
      <c r="R327" s="777"/>
      <c r="S327" s="777"/>
      <c r="T327" s="777"/>
      <c r="U327" s="777"/>
      <c r="V327" s="777"/>
    </row>
    <row r="328" spans="1:22" x14ac:dyDescent="0.25">
      <c r="A328" s="777"/>
      <c r="B328" s="777"/>
      <c r="C328" s="777"/>
      <c r="D328" s="777"/>
      <c r="E328" s="777"/>
      <c r="F328" s="777"/>
      <c r="G328" s="777"/>
      <c r="H328" s="777"/>
      <c r="I328" s="777"/>
      <c r="J328" s="777"/>
      <c r="K328" s="777"/>
      <c r="L328" s="777"/>
      <c r="M328" s="777"/>
      <c r="N328" s="777"/>
      <c r="O328" s="777"/>
      <c r="P328" s="777"/>
      <c r="Q328" s="777"/>
      <c r="R328" s="777"/>
      <c r="S328" s="777"/>
      <c r="T328" s="777"/>
      <c r="U328" s="777"/>
      <c r="V328" s="777"/>
    </row>
    <row r="329" spans="1:22" x14ac:dyDescent="0.25">
      <c r="A329" s="777"/>
      <c r="B329" s="777"/>
      <c r="C329" s="777"/>
      <c r="D329" s="777"/>
      <c r="E329" s="777"/>
      <c r="F329" s="777"/>
      <c r="G329" s="777"/>
      <c r="H329" s="777"/>
      <c r="I329" s="777"/>
      <c r="J329" s="777"/>
      <c r="K329" s="777"/>
      <c r="L329" s="777"/>
      <c r="M329" s="777"/>
      <c r="N329" s="777"/>
      <c r="O329" s="777"/>
      <c r="P329" s="777"/>
      <c r="Q329" s="777"/>
      <c r="R329" s="777"/>
      <c r="S329" s="777"/>
      <c r="T329" s="777"/>
      <c r="U329" s="777"/>
      <c r="V329" s="777"/>
    </row>
    <row r="330" spans="1:22" x14ac:dyDescent="0.25">
      <c r="A330" s="777"/>
      <c r="B330" s="777"/>
      <c r="C330" s="777"/>
      <c r="D330" s="777"/>
      <c r="E330" s="777"/>
      <c r="F330" s="777"/>
      <c r="G330" s="777"/>
      <c r="H330" s="777"/>
      <c r="I330" s="777"/>
      <c r="J330" s="777"/>
      <c r="K330" s="777"/>
      <c r="L330" s="777"/>
      <c r="M330" s="777"/>
      <c r="N330" s="777"/>
      <c r="O330" s="777"/>
      <c r="P330" s="777"/>
      <c r="Q330" s="777"/>
      <c r="R330" s="777"/>
      <c r="S330" s="777"/>
      <c r="T330" s="777"/>
      <c r="U330" s="777"/>
      <c r="V330" s="777"/>
    </row>
    <row r="331" spans="1:22" x14ac:dyDescent="0.25">
      <c r="A331" s="777"/>
      <c r="B331" s="777"/>
      <c r="C331" s="777"/>
      <c r="D331" s="777"/>
      <c r="E331" s="777"/>
      <c r="F331" s="777"/>
      <c r="G331" s="777"/>
      <c r="H331" s="777"/>
      <c r="I331" s="777"/>
      <c r="J331" s="777"/>
      <c r="K331" s="777"/>
      <c r="L331" s="777"/>
      <c r="M331" s="777"/>
      <c r="N331" s="777"/>
      <c r="O331" s="777"/>
      <c r="P331" s="777"/>
      <c r="Q331" s="777"/>
      <c r="R331" s="777"/>
      <c r="S331" s="777"/>
      <c r="T331" s="777"/>
      <c r="U331" s="777"/>
      <c r="V331" s="777"/>
    </row>
    <row r="332" spans="1:22" x14ac:dyDescent="0.25">
      <c r="A332" s="777"/>
      <c r="B332" s="777"/>
      <c r="C332" s="777"/>
      <c r="D332" s="777"/>
      <c r="E332" s="777"/>
      <c r="F332" s="777"/>
      <c r="G332" s="777"/>
      <c r="H332" s="777"/>
      <c r="I332" s="777"/>
      <c r="J332" s="777"/>
      <c r="K332" s="777"/>
      <c r="L332" s="777"/>
      <c r="M332" s="777"/>
      <c r="N332" s="777"/>
      <c r="O332" s="777"/>
      <c r="P332" s="777"/>
      <c r="Q332" s="777"/>
      <c r="R332" s="777"/>
      <c r="S332" s="777"/>
      <c r="T332" s="777"/>
      <c r="U332" s="777"/>
      <c r="V332" s="777"/>
    </row>
    <row r="333" spans="1:22" x14ac:dyDescent="0.25">
      <c r="A333" s="777"/>
      <c r="B333" s="777"/>
      <c r="C333" s="777"/>
      <c r="D333" s="777"/>
      <c r="E333" s="777"/>
      <c r="F333" s="777"/>
      <c r="G333" s="777"/>
      <c r="H333" s="777"/>
      <c r="I333" s="777"/>
      <c r="J333" s="777"/>
      <c r="K333" s="777"/>
      <c r="L333" s="777"/>
      <c r="M333" s="777"/>
      <c r="N333" s="777"/>
      <c r="O333" s="777"/>
      <c r="P333" s="777"/>
      <c r="Q333" s="777"/>
      <c r="R333" s="777"/>
      <c r="S333" s="777"/>
      <c r="T333" s="777"/>
      <c r="U333" s="777"/>
      <c r="V333" s="777"/>
    </row>
    <row r="334" spans="1:22" x14ac:dyDescent="0.25">
      <c r="A334" s="777"/>
      <c r="B334" s="777"/>
      <c r="C334" s="777"/>
      <c r="D334" s="777"/>
      <c r="E334" s="777"/>
      <c r="F334" s="777"/>
      <c r="G334" s="777"/>
      <c r="H334" s="777"/>
      <c r="I334" s="777"/>
      <c r="J334" s="777"/>
      <c r="K334" s="777"/>
      <c r="L334" s="777"/>
      <c r="M334" s="777"/>
      <c r="N334" s="777"/>
      <c r="O334" s="777"/>
      <c r="P334" s="777"/>
      <c r="Q334" s="777"/>
      <c r="R334" s="777"/>
      <c r="S334" s="777"/>
      <c r="T334" s="777"/>
      <c r="U334" s="777"/>
      <c r="V334" s="777"/>
    </row>
    <row r="335" spans="1:22" x14ac:dyDescent="0.25">
      <c r="A335" s="777"/>
      <c r="B335" s="777"/>
      <c r="C335" s="777"/>
      <c r="D335" s="777"/>
      <c r="E335" s="777"/>
      <c r="F335" s="777"/>
      <c r="G335" s="777"/>
      <c r="H335" s="777"/>
      <c r="I335" s="777"/>
      <c r="J335" s="777"/>
      <c r="K335" s="777"/>
      <c r="L335" s="777"/>
      <c r="M335" s="777"/>
      <c r="N335" s="777"/>
      <c r="O335" s="777"/>
      <c r="P335" s="777"/>
      <c r="Q335" s="777"/>
      <c r="R335" s="777"/>
      <c r="S335" s="777"/>
      <c r="T335" s="777"/>
      <c r="U335" s="777"/>
      <c r="V335" s="777"/>
    </row>
    <row r="336" spans="1:22" x14ac:dyDescent="0.25">
      <c r="A336" s="777"/>
      <c r="B336" s="777"/>
      <c r="C336" s="777"/>
      <c r="D336" s="777"/>
      <c r="E336" s="777"/>
      <c r="F336" s="777"/>
      <c r="G336" s="777"/>
      <c r="H336" s="777"/>
      <c r="I336" s="777"/>
      <c r="J336" s="777"/>
      <c r="K336" s="777"/>
      <c r="L336" s="777"/>
      <c r="M336" s="777"/>
      <c r="N336" s="777"/>
      <c r="O336" s="777"/>
      <c r="P336" s="777"/>
      <c r="Q336" s="777"/>
      <c r="R336" s="777"/>
      <c r="S336" s="777"/>
      <c r="T336" s="777"/>
      <c r="U336" s="777"/>
      <c r="V336" s="777"/>
    </row>
    <row r="337" spans="1:22" x14ac:dyDescent="0.25">
      <c r="A337" s="777"/>
      <c r="B337" s="777"/>
      <c r="C337" s="777"/>
      <c r="D337" s="777"/>
      <c r="E337" s="777"/>
      <c r="F337" s="777"/>
      <c r="G337" s="777"/>
      <c r="H337" s="777"/>
      <c r="I337" s="777"/>
      <c r="J337" s="777"/>
      <c r="K337" s="777"/>
      <c r="L337" s="777"/>
      <c r="M337" s="777"/>
      <c r="N337" s="777"/>
      <c r="O337" s="777"/>
      <c r="P337" s="777"/>
      <c r="Q337" s="777"/>
      <c r="R337" s="777"/>
      <c r="S337" s="777"/>
      <c r="T337" s="777"/>
      <c r="U337" s="777"/>
      <c r="V337" s="777"/>
    </row>
    <row r="338" spans="1:22" x14ac:dyDescent="0.25">
      <c r="A338" s="777"/>
      <c r="B338" s="777"/>
      <c r="C338" s="777"/>
      <c r="D338" s="777"/>
      <c r="E338" s="777"/>
      <c r="F338" s="777"/>
      <c r="G338" s="777"/>
      <c r="H338" s="777"/>
      <c r="I338" s="777"/>
      <c r="J338" s="777"/>
      <c r="K338" s="777"/>
      <c r="L338" s="777"/>
      <c r="M338" s="777"/>
      <c r="N338" s="777"/>
      <c r="O338" s="777"/>
      <c r="P338" s="777"/>
      <c r="Q338" s="777"/>
      <c r="R338" s="777"/>
      <c r="S338" s="777"/>
      <c r="T338" s="777"/>
      <c r="U338" s="777"/>
      <c r="V338" s="777"/>
    </row>
    <row r="339" spans="1:22" x14ac:dyDescent="0.25">
      <c r="A339" s="777"/>
      <c r="B339" s="777"/>
      <c r="C339" s="777"/>
      <c r="D339" s="777"/>
      <c r="E339" s="777"/>
      <c r="F339" s="777"/>
      <c r="G339" s="777"/>
      <c r="H339" s="777"/>
      <c r="I339" s="777"/>
      <c r="J339" s="777"/>
      <c r="K339" s="777"/>
      <c r="L339" s="777"/>
      <c r="M339" s="777"/>
      <c r="N339" s="777"/>
      <c r="O339" s="777"/>
      <c r="P339" s="777"/>
      <c r="Q339" s="777"/>
      <c r="R339" s="777"/>
      <c r="S339" s="777"/>
      <c r="T339" s="777"/>
      <c r="U339" s="777"/>
      <c r="V339" s="777"/>
    </row>
    <row r="340" spans="1:22" x14ac:dyDescent="0.25">
      <c r="A340" s="777"/>
      <c r="B340" s="777"/>
      <c r="C340" s="777"/>
      <c r="D340" s="777"/>
      <c r="E340" s="777"/>
      <c r="F340" s="777"/>
      <c r="G340" s="777"/>
      <c r="H340" s="777"/>
      <c r="I340" s="777"/>
      <c r="J340" s="777"/>
      <c r="K340" s="777"/>
      <c r="L340" s="777"/>
      <c r="M340" s="777"/>
      <c r="N340" s="777"/>
      <c r="O340" s="777"/>
      <c r="P340" s="777"/>
      <c r="Q340" s="777"/>
      <c r="R340" s="777"/>
      <c r="S340" s="777"/>
      <c r="T340" s="777"/>
      <c r="U340" s="777"/>
      <c r="V340" s="777"/>
    </row>
    <row r="341" spans="1:22" x14ac:dyDescent="0.25">
      <c r="A341" s="777"/>
      <c r="B341" s="777"/>
      <c r="C341" s="777"/>
      <c r="D341" s="777"/>
      <c r="E341" s="777"/>
      <c r="F341" s="777"/>
      <c r="G341" s="777"/>
      <c r="H341" s="777"/>
      <c r="I341" s="777"/>
      <c r="J341" s="777"/>
      <c r="K341" s="777"/>
      <c r="L341" s="777"/>
      <c r="M341" s="777"/>
      <c r="N341" s="777"/>
      <c r="O341" s="777"/>
      <c r="P341" s="777"/>
      <c r="Q341" s="777"/>
      <c r="R341" s="777"/>
      <c r="S341" s="777"/>
      <c r="T341" s="777"/>
      <c r="U341" s="777"/>
      <c r="V341" s="777"/>
    </row>
    <row r="342" spans="1:22" x14ac:dyDescent="0.25">
      <c r="A342" s="777"/>
      <c r="B342" s="777"/>
      <c r="C342" s="777"/>
      <c r="D342" s="777"/>
      <c r="E342" s="777"/>
      <c r="F342" s="777"/>
      <c r="G342" s="777"/>
      <c r="H342" s="777"/>
      <c r="I342" s="777"/>
      <c r="J342" s="777"/>
      <c r="K342" s="777"/>
      <c r="L342" s="777"/>
      <c r="M342" s="777"/>
      <c r="N342" s="777"/>
      <c r="O342" s="777"/>
      <c r="P342" s="777"/>
      <c r="Q342" s="777"/>
      <c r="R342" s="777"/>
      <c r="S342" s="777"/>
      <c r="T342" s="777"/>
      <c r="U342" s="777"/>
      <c r="V342" s="777"/>
    </row>
    <row r="343" spans="1:22" x14ac:dyDescent="0.25">
      <c r="A343" s="777"/>
      <c r="B343" s="777"/>
      <c r="C343" s="777"/>
      <c r="D343" s="777"/>
      <c r="E343" s="777"/>
      <c r="F343" s="777"/>
      <c r="G343" s="777"/>
      <c r="H343" s="777"/>
      <c r="I343" s="777"/>
      <c r="J343" s="777"/>
      <c r="K343" s="777"/>
      <c r="L343" s="777"/>
      <c r="M343" s="777"/>
      <c r="N343" s="777"/>
      <c r="O343" s="777"/>
      <c r="P343" s="777"/>
      <c r="Q343" s="777"/>
      <c r="R343" s="777"/>
      <c r="S343" s="777"/>
      <c r="T343" s="777"/>
      <c r="U343" s="777"/>
      <c r="V343" s="777"/>
    </row>
    <row r="344" spans="1:22" x14ac:dyDescent="0.25">
      <c r="A344" s="777"/>
      <c r="B344" s="777"/>
      <c r="C344" s="777"/>
      <c r="D344" s="777"/>
      <c r="E344" s="777"/>
      <c r="F344" s="777"/>
      <c r="G344" s="777"/>
      <c r="H344" s="777"/>
      <c r="I344" s="777"/>
      <c r="J344" s="777"/>
      <c r="K344" s="777"/>
      <c r="L344" s="777"/>
      <c r="M344" s="777"/>
      <c r="N344" s="777"/>
      <c r="O344" s="777"/>
      <c r="P344" s="777"/>
      <c r="Q344" s="777"/>
      <c r="R344" s="777"/>
      <c r="S344" s="777"/>
      <c r="T344" s="777"/>
      <c r="U344" s="777"/>
      <c r="V344" s="777"/>
    </row>
    <row r="345" spans="1:22" x14ac:dyDescent="0.25">
      <c r="A345" s="777"/>
      <c r="B345" s="777"/>
      <c r="C345" s="777"/>
      <c r="D345" s="777"/>
      <c r="E345" s="777"/>
      <c r="F345" s="777"/>
      <c r="G345" s="777"/>
      <c r="H345" s="777"/>
      <c r="I345" s="777"/>
      <c r="J345" s="777"/>
      <c r="K345" s="777"/>
      <c r="L345" s="777"/>
      <c r="M345" s="777"/>
      <c r="N345" s="777"/>
      <c r="O345" s="777"/>
      <c r="P345" s="777"/>
      <c r="Q345" s="777"/>
      <c r="R345" s="777"/>
      <c r="S345" s="777"/>
      <c r="T345" s="777"/>
      <c r="U345" s="777"/>
      <c r="V345" s="777"/>
    </row>
    <row r="346" spans="1:22" x14ac:dyDescent="0.25">
      <c r="A346" s="777"/>
      <c r="B346" s="777"/>
      <c r="C346" s="777"/>
      <c r="D346" s="777"/>
      <c r="E346" s="777"/>
      <c r="F346" s="777"/>
      <c r="G346" s="777"/>
      <c r="H346" s="777"/>
      <c r="I346" s="777"/>
      <c r="J346" s="777"/>
      <c r="K346" s="777"/>
      <c r="L346" s="777"/>
      <c r="M346" s="777"/>
      <c r="N346" s="777"/>
      <c r="O346" s="777"/>
      <c r="P346" s="777"/>
      <c r="Q346" s="777"/>
      <c r="R346" s="777"/>
      <c r="S346" s="777"/>
      <c r="T346" s="777"/>
      <c r="U346" s="777"/>
      <c r="V346" s="777"/>
    </row>
    <row r="347" spans="1:22" x14ac:dyDescent="0.25">
      <c r="A347" s="777"/>
      <c r="B347" s="777"/>
      <c r="C347" s="777"/>
      <c r="D347" s="777"/>
      <c r="E347" s="777"/>
      <c r="F347" s="777"/>
      <c r="G347" s="777"/>
      <c r="H347" s="777"/>
      <c r="I347" s="777"/>
      <c r="J347" s="777"/>
      <c r="K347" s="777"/>
      <c r="L347" s="777"/>
      <c r="M347" s="777"/>
      <c r="N347" s="777"/>
      <c r="O347" s="777"/>
      <c r="P347" s="777"/>
      <c r="Q347" s="777"/>
      <c r="R347" s="777"/>
      <c r="S347" s="777"/>
      <c r="T347" s="777"/>
      <c r="U347" s="777"/>
      <c r="V347" s="777"/>
    </row>
    <row r="348" spans="1:22" x14ac:dyDescent="0.25">
      <c r="A348" s="777"/>
      <c r="B348" s="777"/>
      <c r="C348" s="777"/>
      <c r="D348" s="777"/>
      <c r="E348" s="777"/>
      <c r="F348" s="777"/>
      <c r="G348" s="777"/>
      <c r="H348" s="777"/>
      <c r="I348" s="777"/>
      <c r="J348" s="777"/>
      <c r="K348" s="777"/>
      <c r="L348" s="777"/>
      <c r="M348" s="777"/>
      <c r="N348" s="777"/>
      <c r="O348" s="777"/>
      <c r="P348" s="777"/>
      <c r="Q348" s="777"/>
      <c r="R348" s="777"/>
      <c r="S348" s="777"/>
      <c r="T348" s="777"/>
      <c r="U348" s="777"/>
      <c r="V348" s="777"/>
    </row>
    <row r="349" spans="1:22" x14ac:dyDescent="0.25">
      <c r="A349" s="777"/>
      <c r="B349" s="777"/>
      <c r="C349" s="777"/>
      <c r="D349" s="777"/>
      <c r="E349" s="777"/>
      <c r="F349" s="777"/>
      <c r="G349" s="777"/>
      <c r="H349" s="777"/>
      <c r="I349" s="777"/>
      <c r="J349" s="777"/>
      <c r="K349" s="777"/>
      <c r="L349" s="777"/>
      <c r="M349" s="777"/>
      <c r="N349" s="777"/>
      <c r="O349" s="777"/>
      <c r="P349" s="777"/>
      <c r="Q349" s="777"/>
      <c r="R349" s="777"/>
      <c r="S349" s="777"/>
      <c r="T349" s="777"/>
      <c r="U349" s="777"/>
      <c r="V349" s="777"/>
    </row>
    <row r="350" spans="1:22" x14ac:dyDescent="0.25">
      <c r="A350" s="777"/>
      <c r="B350" s="777"/>
      <c r="C350" s="777"/>
      <c r="D350" s="777"/>
      <c r="E350" s="777"/>
      <c r="F350" s="777"/>
      <c r="G350" s="777"/>
      <c r="H350" s="777"/>
      <c r="I350" s="777"/>
      <c r="J350" s="777"/>
      <c r="K350" s="777"/>
      <c r="L350" s="777"/>
      <c r="M350" s="777"/>
      <c r="N350" s="777"/>
      <c r="O350" s="777"/>
      <c r="P350" s="777"/>
      <c r="Q350" s="777"/>
      <c r="R350" s="777"/>
      <c r="S350" s="777"/>
      <c r="T350" s="777"/>
      <c r="U350" s="777"/>
      <c r="V350" s="777"/>
    </row>
    <row r="351" spans="1:22" x14ac:dyDescent="0.25">
      <c r="A351" s="777"/>
      <c r="B351" s="777"/>
      <c r="C351" s="777"/>
      <c r="D351" s="777"/>
      <c r="E351" s="777"/>
      <c r="F351" s="777"/>
      <c r="G351" s="777"/>
      <c r="H351" s="777"/>
      <c r="I351" s="777"/>
      <c r="J351" s="777"/>
      <c r="K351" s="777"/>
      <c r="L351" s="777"/>
      <c r="M351" s="777"/>
      <c r="N351" s="777"/>
      <c r="O351" s="777"/>
      <c r="P351" s="777"/>
      <c r="Q351" s="777"/>
      <c r="R351" s="777"/>
      <c r="S351" s="777"/>
      <c r="T351" s="777"/>
      <c r="U351" s="777"/>
      <c r="V351" s="777"/>
    </row>
    <row r="352" spans="1:22" x14ac:dyDescent="0.25">
      <c r="A352" s="777"/>
      <c r="B352" s="777"/>
      <c r="C352" s="777"/>
      <c r="D352" s="777"/>
      <c r="E352" s="777"/>
      <c r="F352" s="777"/>
      <c r="G352" s="777"/>
      <c r="H352" s="777"/>
      <c r="I352" s="777"/>
      <c r="J352" s="777"/>
      <c r="K352" s="777"/>
      <c r="L352" s="777"/>
      <c r="M352" s="777"/>
      <c r="N352" s="777"/>
      <c r="O352" s="777"/>
      <c r="P352" s="777"/>
      <c r="Q352" s="777"/>
      <c r="R352" s="777"/>
      <c r="S352" s="777"/>
      <c r="T352" s="777"/>
      <c r="U352" s="777"/>
      <c r="V352" s="777"/>
    </row>
    <row r="353" spans="1:22" x14ac:dyDescent="0.25">
      <c r="A353" s="777"/>
      <c r="B353" s="777"/>
      <c r="C353" s="777"/>
      <c r="D353" s="777"/>
      <c r="E353" s="777"/>
      <c r="F353" s="777"/>
      <c r="G353" s="777"/>
      <c r="H353" s="777"/>
      <c r="I353" s="777"/>
      <c r="J353" s="777"/>
      <c r="K353" s="777"/>
      <c r="L353" s="777"/>
      <c r="M353" s="777"/>
      <c r="N353" s="777"/>
      <c r="O353" s="777"/>
      <c r="P353" s="777"/>
      <c r="Q353" s="777"/>
      <c r="R353" s="777"/>
      <c r="S353" s="777"/>
      <c r="T353" s="777"/>
      <c r="U353" s="777"/>
      <c r="V353" s="777"/>
    </row>
    <row r="354" spans="1:22" x14ac:dyDescent="0.25">
      <c r="A354" s="777"/>
      <c r="B354" s="777"/>
      <c r="C354" s="777"/>
      <c r="D354" s="777"/>
      <c r="E354" s="777"/>
      <c r="F354" s="777"/>
      <c r="G354" s="777"/>
      <c r="H354" s="777"/>
      <c r="I354" s="777"/>
      <c r="J354" s="777"/>
      <c r="K354" s="777"/>
      <c r="L354" s="777"/>
      <c r="M354" s="777"/>
      <c r="N354" s="777"/>
      <c r="O354" s="777"/>
      <c r="P354" s="777"/>
      <c r="Q354" s="777"/>
      <c r="R354" s="777"/>
      <c r="S354" s="777"/>
      <c r="T354" s="777"/>
      <c r="U354" s="777"/>
      <c r="V354" s="777"/>
    </row>
    <row r="355" spans="1:22" x14ac:dyDescent="0.25">
      <c r="A355" s="777"/>
      <c r="B355" s="777"/>
      <c r="C355" s="777"/>
      <c r="D355" s="777"/>
      <c r="E355" s="777"/>
      <c r="F355" s="777"/>
      <c r="G355" s="777"/>
      <c r="H355" s="777"/>
      <c r="I355" s="777"/>
      <c r="J355" s="777"/>
      <c r="K355" s="777"/>
      <c r="L355" s="777"/>
      <c r="M355" s="777"/>
      <c r="N355" s="777"/>
      <c r="O355" s="777"/>
      <c r="P355" s="777"/>
      <c r="Q355" s="777"/>
      <c r="R355" s="777"/>
      <c r="S355" s="777"/>
      <c r="T355" s="777"/>
      <c r="U355" s="777"/>
      <c r="V355" s="777"/>
    </row>
    <row r="356" spans="1:22" x14ac:dyDescent="0.25">
      <c r="A356" s="777"/>
      <c r="B356" s="777"/>
      <c r="C356" s="777"/>
      <c r="D356" s="777"/>
      <c r="E356" s="777"/>
      <c r="F356" s="777"/>
      <c r="G356" s="777"/>
      <c r="H356" s="777"/>
      <c r="I356" s="777"/>
      <c r="J356" s="777"/>
      <c r="K356" s="777"/>
      <c r="L356" s="777"/>
      <c r="M356" s="777"/>
      <c r="N356" s="777"/>
      <c r="O356" s="777"/>
      <c r="P356" s="777"/>
      <c r="Q356" s="777"/>
      <c r="R356" s="777"/>
      <c r="S356" s="777"/>
      <c r="T356" s="777"/>
      <c r="U356" s="777"/>
      <c r="V356" s="777"/>
    </row>
    <row r="357" spans="1:22" x14ac:dyDescent="0.25">
      <c r="A357" s="777"/>
      <c r="B357" s="777"/>
      <c r="C357" s="777"/>
      <c r="D357" s="777"/>
      <c r="E357" s="777"/>
      <c r="F357" s="777"/>
      <c r="G357" s="777"/>
      <c r="H357" s="777"/>
      <c r="I357" s="777"/>
      <c r="J357" s="777"/>
      <c r="K357" s="777"/>
      <c r="L357" s="777"/>
      <c r="M357" s="777"/>
      <c r="N357" s="777"/>
      <c r="O357" s="777"/>
      <c r="P357" s="777"/>
      <c r="Q357" s="777"/>
      <c r="R357" s="777"/>
      <c r="S357" s="777"/>
      <c r="T357" s="777"/>
      <c r="U357" s="777"/>
      <c r="V357" s="777"/>
    </row>
    <row r="358" spans="1:22" x14ac:dyDescent="0.25">
      <c r="A358" s="777"/>
      <c r="B358" s="777"/>
      <c r="C358" s="777"/>
      <c r="D358" s="777"/>
      <c r="E358" s="777"/>
      <c r="F358" s="777"/>
      <c r="G358" s="777"/>
      <c r="H358" s="777"/>
      <c r="I358" s="777"/>
      <c r="J358" s="777"/>
      <c r="K358" s="777"/>
      <c r="L358" s="777"/>
      <c r="M358" s="777"/>
      <c r="N358" s="777"/>
      <c r="O358" s="777"/>
      <c r="P358" s="777"/>
      <c r="Q358" s="777"/>
      <c r="R358" s="777"/>
      <c r="S358" s="777"/>
      <c r="T358" s="777"/>
      <c r="U358" s="777"/>
      <c r="V358" s="777"/>
    </row>
    <row r="359" spans="1:22" x14ac:dyDescent="0.25">
      <c r="A359" s="777"/>
      <c r="B359" s="777"/>
      <c r="C359" s="777"/>
      <c r="D359" s="777"/>
      <c r="E359" s="777"/>
      <c r="F359" s="777"/>
      <c r="G359" s="777"/>
      <c r="H359" s="777"/>
      <c r="I359" s="777"/>
      <c r="J359" s="777"/>
      <c r="K359" s="777"/>
      <c r="L359" s="777"/>
      <c r="M359" s="777"/>
      <c r="N359" s="777"/>
      <c r="O359" s="777"/>
      <c r="P359" s="777"/>
      <c r="Q359" s="777"/>
      <c r="R359" s="777"/>
      <c r="S359" s="777"/>
      <c r="T359" s="777"/>
      <c r="U359" s="777"/>
      <c r="V359" s="777"/>
    </row>
    <row r="360" spans="1:22" x14ac:dyDescent="0.25">
      <c r="A360" s="777"/>
      <c r="B360" s="777"/>
      <c r="C360" s="777"/>
      <c r="D360" s="777"/>
      <c r="E360" s="777"/>
      <c r="F360" s="777"/>
      <c r="G360" s="777"/>
      <c r="H360" s="777"/>
      <c r="I360" s="777"/>
      <c r="J360" s="777"/>
      <c r="K360" s="777"/>
      <c r="L360" s="777"/>
      <c r="M360" s="777"/>
      <c r="N360" s="777"/>
      <c r="O360" s="777"/>
      <c r="P360" s="777"/>
      <c r="Q360" s="777"/>
      <c r="R360" s="777"/>
      <c r="S360" s="777"/>
      <c r="T360" s="777"/>
      <c r="U360" s="777"/>
      <c r="V360" s="777"/>
    </row>
    <row r="361" spans="1:22" x14ac:dyDescent="0.25">
      <c r="A361" s="777"/>
      <c r="B361" s="777"/>
      <c r="C361" s="777"/>
      <c r="D361" s="777"/>
      <c r="E361" s="777"/>
      <c r="F361" s="777"/>
      <c r="G361" s="777"/>
      <c r="H361" s="777"/>
      <c r="I361" s="777"/>
      <c r="J361" s="777"/>
      <c r="K361" s="777"/>
      <c r="L361" s="777"/>
      <c r="M361" s="777"/>
      <c r="N361" s="777"/>
      <c r="O361" s="777"/>
      <c r="P361" s="777"/>
      <c r="Q361" s="777"/>
      <c r="R361" s="777"/>
      <c r="S361" s="777"/>
      <c r="T361" s="777"/>
      <c r="U361" s="777"/>
      <c r="V361" s="777"/>
    </row>
    <row r="362" spans="1:22" x14ac:dyDescent="0.25">
      <c r="A362" s="777"/>
      <c r="B362" s="777"/>
      <c r="C362" s="777"/>
      <c r="D362" s="777"/>
      <c r="E362" s="777"/>
      <c r="F362" s="777"/>
      <c r="G362" s="777"/>
      <c r="H362" s="777"/>
      <c r="I362" s="777"/>
      <c r="J362" s="777"/>
      <c r="K362" s="777"/>
      <c r="L362" s="777"/>
      <c r="M362" s="777"/>
      <c r="N362" s="777"/>
      <c r="O362" s="777"/>
      <c r="P362" s="777"/>
      <c r="Q362" s="777"/>
      <c r="R362" s="777"/>
      <c r="S362" s="777"/>
      <c r="T362" s="777"/>
      <c r="U362" s="777"/>
      <c r="V362" s="777"/>
    </row>
    <row r="363" spans="1:22" x14ac:dyDescent="0.25">
      <c r="A363" s="777"/>
      <c r="B363" s="777"/>
      <c r="C363" s="777"/>
      <c r="D363" s="777"/>
      <c r="E363" s="777"/>
      <c r="F363" s="777"/>
      <c r="G363" s="777"/>
      <c r="H363" s="777"/>
      <c r="I363" s="777"/>
      <c r="J363" s="777"/>
      <c r="K363" s="777"/>
      <c r="L363" s="777"/>
      <c r="M363" s="777"/>
      <c r="N363" s="777"/>
      <c r="O363" s="777"/>
      <c r="P363" s="777"/>
      <c r="Q363" s="777"/>
      <c r="R363" s="777"/>
      <c r="S363" s="777"/>
      <c r="T363" s="777"/>
      <c r="U363" s="777"/>
      <c r="V363" s="777"/>
    </row>
    <row r="364" spans="1:22" x14ac:dyDescent="0.25">
      <c r="A364" s="777"/>
      <c r="B364" s="777"/>
      <c r="C364" s="777"/>
      <c r="D364" s="777"/>
      <c r="E364" s="777"/>
      <c r="F364" s="777"/>
      <c r="G364" s="777"/>
      <c r="H364" s="777"/>
      <c r="I364" s="777"/>
      <c r="J364" s="777"/>
      <c r="K364" s="777"/>
      <c r="L364" s="777"/>
      <c r="M364" s="777"/>
      <c r="N364" s="777"/>
      <c r="O364" s="777"/>
      <c r="P364" s="777"/>
      <c r="Q364" s="777"/>
      <c r="R364" s="777"/>
      <c r="S364" s="777"/>
      <c r="T364" s="777"/>
      <c r="U364" s="777"/>
      <c r="V364" s="777"/>
    </row>
    <row r="365" spans="1:22" x14ac:dyDescent="0.25">
      <c r="A365" s="777"/>
      <c r="B365" s="777"/>
      <c r="C365" s="777"/>
      <c r="D365" s="777"/>
      <c r="E365" s="777"/>
      <c r="F365" s="777"/>
      <c r="G365" s="777"/>
      <c r="H365" s="777"/>
      <c r="I365" s="777"/>
      <c r="J365" s="777"/>
      <c r="K365" s="777"/>
      <c r="L365" s="777"/>
      <c r="M365" s="777"/>
      <c r="N365" s="777"/>
      <c r="O365" s="777"/>
      <c r="P365" s="777"/>
      <c r="Q365" s="777"/>
      <c r="R365" s="777"/>
      <c r="S365" s="777"/>
      <c r="T365" s="777"/>
      <c r="U365" s="777"/>
      <c r="V365" s="777"/>
    </row>
    <row r="366" spans="1:22" x14ac:dyDescent="0.25">
      <c r="A366" s="777"/>
      <c r="B366" s="777"/>
      <c r="C366" s="777"/>
      <c r="D366" s="777"/>
      <c r="E366" s="777"/>
      <c r="F366" s="777"/>
      <c r="G366" s="777"/>
      <c r="H366" s="777"/>
      <c r="I366" s="777"/>
      <c r="J366" s="777"/>
      <c r="K366" s="777"/>
      <c r="L366" s="777"/>
      <c r="M366" s="777"/>
      <c r="N366" s="777"/>
      <c r="O366" s="777"/>
      <c r="P366" s="777"/>
      <c r="Q366" s="777"/>
      <c r="R366" s="777"/>
      <c r="S366" s="777"/>
      <c r="T366" s="777"/>
      <c r="U366" s="777"/>
      <c r="V366" s="777"/>
    </row>
    <row r="367" spans="1:22" x14ac:dyDescent="0.25">
      <c r="A367" s="777"/>
      <c r="B367" s="777"/>
      <c r="C367" s="777"/>
      <c r="D367" s="777"/>
      <c r="E367" s="777"/>
      <c r="F367" s="777"/>
      <c r="G367" s="777"/>
      <c r="H367" s="777"/>
      <c r="I367" s="777"/>
      <c r="J367" s="777"/>
      <c r="K367" s="777"/>
      <c r="L367" s="777"/>
      <c r="M367" s="777"/>
      <c r="N367" s="777"/>
      <c r="O367" s="777"/>
      <c r="P367" s="777"/>
      <c r="Q367" s="777"/>
      <c r="R367" s="777"/>
      <c r="S367" s="777"/>
      <c r="T367" s="777"/>
      <c r="U367" s="777"/>
      <c r="V367" s="777"/>
    </row>
    <row r="368" spans="1:22" x14ac:dyDescent="0.25">
      <c r="A368" s="777"/>
      <c r="B368" s="777"/>
      <c r="C368" s="777"/>
      <c r="D368" s="777"/>
      <c r="E368" s="777"/>
      <c r="F368" s="777"/>
      <c r="G368" s="777"/>
      <c r="H368" s="777"/>
      <c r="I368" s="777"/>
      <c r="J368" s="777"/>
      <c r="K368" s="777"/>
      <c r="L368" s="777"/>
      <c r="M368" s="777"/>
      <c r="N368" s="777"/>
      <c r="O368" s="777"/>
      <c r="P368" s="777"/>
      <c r="Q368" s="777"/>
      <c r="R368" s="777"/>
      <c r="S368" s="777"/>
      <c r="T368" s="777"/>
      <c r="U368" s="777"/>
      <c r="V368" s="777"/>
    </row>
    <row r="369" spans="1:22" x14ac:dyDescent="0.25">
      <c r="A369" s="777"/>
      <c r="B369" s="777"/>
      <c r="C369" s="777"/>
      <c r="D369" s="777"/>
      <c r="E369" s="777"/>
      <c r="F369" s="777"/>
      <c r="G369" s="777"/>
      <c r="H369" s="777"/>
      <c r="I369" s="777"/>
      <c r="J369" s="777"/>
      <c r="K369" s="777"/>
      <c r="L369" s="777"/>
      <c r="M369" s="777"/>
      <c r="N369" s="777"/>
      <c r="O369" s="777"/>
      <c r="P369" s="777"/>
      <c r="Q369" s="777"/>
      <c r="R369" s="777"/>
      <c r="S369" s="777"/>
      <c r="T369" s="777"/>
      <c r="U369" s="777"/>
      <c r="V369" s="777"/>
    </row>
    <row r="370" spans="1:22" x14ac:dyDescent="0.25">
      <c r="A370" s="777"/>
      <c r="B370" s="777"/>
      <c r="C370" s="777"/>
      <c r="D370" s="777"/>
      <c r="E370" s="777"/>
      <c r="F370" s="777"/>
      <c r="G370" s="777"/>
      <c r="H370" s="777"/>
      <c r="I370" s="777"/>
      <c r="J370" s="777"/>
      <c r="K370" s="777"/>
      <c r="L370" s="777"/>
      <c r="M370" s="777"/>
      <c r="N370" s="777"/>
      <c r="O370" s="777"/>
      <c r="P370" s="777"/>
      <c r="Q370" s="777"/>
      <c r="R370" s="777"/>
      <c r="S370" s="777"/>
      <c r="T370" s="777"/>
      <c r="U370" s="777"/>
      <c r="V370" s="777"/>
    </row>
    <row r="371" spans="1:22" x14ac:dyDescent="0.25">
      <c r="A371" s="777"/>
      <c r="B371" s="777"/>
      <c r="C371" s="777"/>
      <c r="D371" s="777"/>
      <c r="E371" s="777"/>
      <c r="F371" s="777"/>
      <c r="G371" s="777"/>
      <c r="H371" s="777"/>
      <c r="I371" s="777"/>
      <c r="J371" s="777"/>
      <c r="K371" s="777"/>
      <c r="L371" s="777"/>
      <c r="M371" s="777"/>
      <c r="N371" s="777"/>
      <c r="O371" s="777"/>
      <c r="P371" s="777"/>
      <c r="Q371" s="777"/>
      <c r="R371" s="777"/>
      <c r="S371" s="777"/>
      <c r="T371" s="777"/>
      <c r="U371" s="777"/>
      <c r="V371" s="777"/>
    </row>
    <row r="372" spans="1:22" x14ac:dyDescent="0.25">
      <c r="A372" s="777"/>
      <c r="B372" s="777"/>
      <c r="C372" s="777"/>
      <c r="D372" s="777"/>
      <c r="E372" s="777"/>
      <c r="F372" s="777"/>
      <c r="G372" s="777"/>
      <c r="H372" s="777"/>
      <c r="I372" s="777"/>
      <c r="J372" s="777"/>
      <c r="K372" s="777"/>
      <c r="L372" s="777"/>
      <c r="M372" s="777"/>
      <c r="N372" s="777"/>
      <c r="O372" s="777"/>
      <c r="P372" s="777"/>
      <c r="Q372" s="777"/>
      <c r="R372" s="777"/>
      <c r="S372" s="777"/>
      <c r="T372" s="777"/>
      <c r="U372" s="777"/>
      <c r="V372" s="777"/>
    </row>
    <row r="373" spans="1:22" x14ac:dyDescent="0.25">
      <c r="A373" s="777"/>
      <c r="B373" s="777"/>
      <c r="C373" s="777"/>
      <c r="D373" s="777"/>
      <c r="E373" s="777"/>
      <c r="F373" s="777"/>
      <c r="G373" s="777"/>
      <c r="H373" s="777"/>
      <c r="I373" s="777"/>
      <c r="J373" s="777"/>
      <c r="K373" s="777"/>
      <c r="L373" s="777"/>
      <c r="M373" s="777"/>
      <c r="N373" s="777"/>
      <c r="O373" s="777"/>
      <c r="P373" s="777"/>
      <c r="Q373" s="777"/>
      <c r="R373" s="777"/>
      <c r="S373" s="777"/>
      <c r="T373" s="777"/>
      <c r="U373" s="777"/>
      <c r="V373" s="777"/>
    </row>
    <row r="374" spans="1:22" x14ac:dyDescent="0.25">
      <c r="A374" s="777"/>
      <c r="B374" s="777"/>
      <c r="C374" s="777"/>
      <c r="D374" s="777"/>
      <c r="E374" s="777"/>
      <c r="F374" s="777"/>
      <c r="G374" s="777"/>
      <c r="H374" s="777"/>
      <c r="I374" s="777"/>
      <c r="J374" s="777"/>
      <c r="K374" s="777"/>
      <c r="L374" s="777"/>
      <c r="M374" s="777"/>
      <c r="N374" s="777"/>
      <c r="O374" s="777"/>
      <c r="P374" s="777"/>
      <c r="Q374" s="777"/>
      <c r="R374" s="777"/>
      <c r="S374" s="777"/>
      <c r="T374" s="777"/>
      <c r="U374" s="777"/>
      <c r="V374" s="777"/>
    </row>
    <row r="375" spans="1:22" x14ac:dyDescent="0.25">
      <c r="A375" s="777"/>
      <c r="B375" s="777"/>
      <c r="C375" s="777"/>
      <c r="D375" s="777"/>
      <c r="E375" s="777"/>
      <c r="F375" s="777"/>
      <c r="G375" s="777"/>
      <c r="H375" s="777"/>
      <c r="I375" s="777"/>
      <c r="J375" s="777"/>
      <c r="K375" s="777"/>
      <c r="L375" s="777"/>
      <c r="M375" s="777"/>
      <c r="N375" s="777"/>
      <c r="O375" s="777"/>
      <c r="P375" s="777"/>
      <c r="Q375" s="777"/>
      <c r="R375" s="777"/>
      <c r="S375" s="777"/>
      <c r="T375" s="777"/>
      <c r="U375" s="777"/>
      <c r="V375" s="777"/>
    </row>
    <row r="376" spans="1:22" x14ac:dyDescent="0.25">
      <c r="A376" s="777"/>
      <c r="B376" s="777"/>
      <c r="C376" s="777"/>
      <c r="D376" s="777"/>
      <c r="E376" s="777"/>
      <c r="F376" s="777"/>
      <c r="G376" s="777"/>
      <c r="H376" s="777"/>
      <c r="I376" s="777"/>
      <c r="J376" s="777"/>
      <c r="K376" s="777"/>
      <c r="L376" s="777"/>
      <c r="M376" s="777"/>
      <c r="N376" s="777"/>
      <c r="O376" s="777"/>
      <c r="P376" s="777"/>
      <c r="Q376" s="777"/>
      <c r="R376" s="777"/>
      <c r="S376" s="777"/>
      <c r="T376" s="777"/>
      <c r="U376" s="777"/>
      <c r="V376" s="777"/>
    </row>
    <row r="377" spans="1:22" x14ac:dyDescent="0.25">
      <c r="A377" s="777"/>
      <c r="B377" s="777"/>
      <c r="C377" s="777"/>
      <c r="D377" s="777"/>
      <c r="E377" s="777"/>
      <c r="F377" s="777"/>
      <c r="G377" s="777"/>
      <c r="H377" s="777"/>
      <c r="I377" s="777"/>
      <c r="J377" s="777"/>
      <c r="K377" s="777"/>
      <c r="L377" s="777"/>
      <c r="M377" s="777"/>
      <c r="N377" s="777"/>
      <c r="O377" s="777"/>
      <c r="P377" s="777"/>
      <c r="Q377" s="777"/>
      <c r="R377" s="777"/>
      <c r="S377" s="777"/>
      <c r="T377" s="777"/>
      <c r="U377" s="777"/>
      <c r="V377" s="777"/>
    </row>
    <row r="378" spans="1:22" x14ac:dyDescent="0.25">
      <c r="A378" s="777"/>
      <c r="B378" s="777"/>
      <c r="C378" s="777"/>
      <c r="D378" s="777"/>
      <c r="E378" s="777"/>
      <c r="F378" s="777"/>
      <c r="G378" s="777"/>
      <c r="H378" s="777"/>
      <c r="I378" s="777"/>
      <c r="J378" s="777"/>
      <c r="K378" s="777"/>
      <c r="L378" s="777"/>
      <c r="M378" s="777"/>
      <c r="N378" s="777"/>
      <c r="O378" s="777"/>
      <c r="P378" s="777"/>
      <c r="Q378" s="777"/>
      <c r="R378" s="777"/>
      <c r="S378" s="777"/>
      <c r="T378" s="777"/>
      <c r="U378" s="777"/>
      <c r="V378" s="777"/>
    </row>
    <row r="379" spans="1:22" x14ac:dyDescent="0.25">
      <c r="A379" s="777"/>
      <c r="B379" s="777"/>
      <c r="C379" s="777"/>
      <c r="D379" s="777"/>
      <c r="E379" s="777"/>
      <c r="F379" s="777"/>
      <c r="G379" s="777"/>
      <c r="H379" s="777"/>
      <c r="I379" s="777"/>
      <c r="J379" s="777"/>
      <c r="K379" s="777"/>
      <c r="L379" s="777"/>
      <c r="M379" s="777"/>
      <c r="N379" s="777"/>
      <c r="O379" s="777"/>
      <c r="P379" s="777"/>
      <c r="Q379" s="777"/>
      <c r="R379" s="777"/>
      <c r="S379" s="777"/>
      <c r="T379" s="777"/>
      <c r="U379" s="777"/>
      <c r="V379" s="777"/>
    </row>
    <row r="380" spans="1:22" x14ac:dyDescent="0.25">
      <c r="A380" s="777"/>
      <c r="B380" s="777"/>
      <c r="C380" s="777"/>
      <c r="D380" s="777"/>
      <c r="E380" s="777"/>
      <c r="F380" s="777"/>
      <c r="G380" s="777"/>
      <c r="H380" s="777"/>
      <c r="I380" s="777"/>
      <c r="J380" s="777"/>
      <c r="K380" s="777"/>
      <c r="L380" s="777"/>
      <c r="M380" s="777"/>
      <c r="N380" s="777"/>
      <c r="O380" s="777"/>
      <c r="P380" s="777"/>
      <c r="Q380" s="777"/>
      <c r="R380" s="777"/>
      <c r="S380" s="777"/>
      <c r="T380" s="777"/>
      <c r="U380" s="777"/>
      <c r="V380" s="777"/>
    </row>
    <row r="381" spans="1:22" x14ac:dyDescent="0.25">
      <c r="A381" s="777"/>
      <c r="B381" s="777"/>
      <c r="C381" s="777"/>
      <c r="D381" s="777"/>
      <c r="E381" s="777"/>
      <c r="F381" s="777"/>
      <c r="G381" s="777"/>
      <c r="H381" s="777"/>
      <c r="I381" s="777"/>
      <c r="J381" s="777"/>
      <c r="K381" s="777"/>
      <c r="L381" s="777"/>
      <c r="M381" s="777"/>
      <c r="N381" s="777"/>
      <c r="O381" s="777"/>
      <c r="P381" s="777"/>
      <c r="Q381" s="777"/>
      <c r="R381" s="777"/>
      <c r="S381" s="777"/>
      <c r="T381" s="777"/>
      <c r="U381" s="777"/>
      <c r="V381" s="777"/>
    </row>
    <row r="382" spans="1:22" x14ac:dyDescent="0.25">
      <c r="A382" s="777"/>
      <c r="B382" s="777"/>
      <c r="C382" s="777"/>
      <c r="D382" s="777"/>
      <c r="E382" s="777"/>
      <c r="F382" s="777"/>
      <c r="G382" s="777"/>
      <c r="H382" s="777"/>
      <c r="I382" s="777"/>
      <c r="J382" s="777"/>
      <c r="K382" s="777"/>
      <c r="L382" s="777"/>
      <c r="M382" s="777"/>
      <c r="N382" s="777"/>
      <c r="O382" s="777"/>
      <c r="P382" s="777"/>
      <c r="Q382" s="777"/>
      <c r="R382" s="777"/>
      <c r="S382" s="777"/>
      <c r="T382" s="777"/>
      <c r="U382" s="777"/>
      <c r="V382" s="777"/>
    </row>
    <row r="383" spans="1:22" x14ac:dyDescent="0.25">
      <c r="A383" s="777"/>
      <c r="B383" s="777"/>
      <c r="C383" s="777"/>
      <c r="D383" s="777"/>
      <c r="E383" s="777"/>
      <c r="F383" s="777"/>
      <c r="G383" s="777"/>
      <c r="H383" s="777"/>
      <c r="I383" s="777"/>
      <c r="J383" s="777"/>
      <c r="K383" s="777"/>
      <c r="L383" s="777"/>
      <c r="M383" s="777"/>
      <c r="N383" s="777"/>
      <c r="O383" s="777"/>
      <c r="P383" s="777"/>
      <c r="Q383" s="777"/>
      <c r="R383" s="777"/>
      <c r="S383" s="777"/>
      <c r="T383" s="777"/>
      <c r="U383" s="777"/>
      <c r="V383" s="777"/>
    </row>
    <row r="384" spans="1:22" x14ac:dyDescent="0.25">
      <c r="A384" s="777"/>
      <c r="B384" s="777"/>
      <c r="C384" s="777"/>
      <c r="D384" s="777"/>
      <c r="E384" s="777"/>
      <c r="F384" s="777"/>
      <c r="G384" s="777"/>
      <c r="H384" s="777"/>
      <c r="I384" s="777"/>
      <c r="J384" s="777"/>
      <c r="K384" s="777"/>
      <c r="L384" s="777"/>
      <c r="M384" s="777"/>
      <c r="N384" s="777"/>
      <c r="O384" s="777"/>
      <c r="P384" s="777"/>
      <c r="Q384" s="777"/>
      <c r="R384" s="777"/>
      <c r="S384" s="777"/>
      <c r="T384" s="777"/>
      <c r="U384" s="777"/>
      <c r="V384" s="777"/>
    </row>
    <row r="385" spans="1:22" x14ac:dyDescent="0.25">
      <c r="A385" s="777"/>
      <c r="B385" s="777"/>
      <c r="C385" s="777"/>
      <c r="D385" s="777"/>
      <c r="E385" s="777"/>
      <c r="F385" s="777"/>
      <c r="G385" s="777"/>
      <c r="H385" s="777"/>
      <c r="I385" s="777"/>
      <c r="J385" s="777"/>
      <c r="K385" s="777"/>
      <c r="L385" s="777"/>
      <c r="M385" s="777"/>
      <c r="N385" s="777"/>
      <c r="O385" s="777"/>
      <c r="P385" s="777"/>
      <c r="Q385" s="777"/>
      <c r="R385" s="777"/>
      <c r="S385" s="777"/>
      <c r="T385" s="777"/>
      <c r="U385" s="777"/>
      <c r="V385" s="777"/>
    </row>
    <row r="386" spans="1:22" x14ac:dyDescent="0.25">
      <c r="A386" s="777"/>
      <c r="B386" s="777"/>
      <c r="C386" s="777"/>
      <c r="D386" s="777"/>
      <c r="E386" s="777"/>
      <c r="F386" s="777"/>
      <c r="G386" s="777"/>
      <c r="H386" s="777"/>
      <c r="I386" s="777"/>
      <c r="J386" s="777"/>
      <c r="K386" s="777"/>
      <c r="L386" s="777"/>
      <c r="M386" s="777"/>
      <c r="N386" s="777"/>
      <c r="O386" s="777"/>
      <c r="P386" s="777"/>
      <c r="Q386" s="777"/>
      <c r="R386" s="777"/>
      <c r="S386" s="777"/>
      <c r="T386" s="777"/>
      <c r="U386" s="777"/>
      <c r="V386" s="777"/>
    </row>
    <row r="387" spans="1:22" x14ac:dyDescent="0.25">
      <c r="A387" s="777"/>
      <c r="B387" s="777"/>
      <c r="C387" s="777"/>
      <c r="D387" s="777"/>
      <c r="E387" s="777"/>
      <c r="F387" s="777"/>
      <c r="G387" s="777"/>
      <c r="H387" s="777"/>
      <c r="I387" s="777"/>
      <c r="J387" s="777"/>
      <c r="K387" s="777"/>
      <c r="L387" s="777"/>
      <c r="M387" s="777"/>
      <c r="N387" s="777"/>
      <c r="O387" s="777"/>
      <c r="P387" s="777"/>
      <c r="Q387" s="777"/>
      <c r="R387" s="777"/>
      <c r="S387" s="777"/>
      <c r="T387" s="777"/>
      <c r="U387" s="777"/>
      <c r="V387" s="777"/>
    </row>
    <row r="388" spans="1:22" x14ac:dyDescent="0.25">
      <c r="A388" s="777"/>
      <c r="B388" s="777"/>
      <c r="C388" s="777"/>
      <c r="D388" s="777"/>
      <c r="E388" s="777"/>
      <c r="F388" s="777"/>
      <c r="G388" s="777"/>
      <c r="H388" s="777"/>
      <c r="I388" s="777"/>
      <c r="J388" s="777"/>
      <c r="K388" s="777"/>
      <c r="L388" s="777"/>
      <c r="M388" s="777"/>
      <c r="N388" s="777"/>
      <c r="O388" s="777"/>
      <c r="P388" s="777"/>
      <c r="Q388" s="777"/>
      <c r="R388" s="777"/>
      <c r="S388" s="777"/>
      <c r="T388" s="777"/>
      <c r="U388" s="777"/>
      <c r="V388" s="777"/>
    </row>
    <row r="389" spans="1:22" x14ac:dyDescent="0.25">
      <c r="A389" s="777"/>
      <c r="B389" s="777"/>
      <c r="C389" s="777"/>
      <c r="D389" s="777"/>
      <c r="E389" s="777"/>
      <c r="F389" s="777"/>
      <c r="G389" s="777"/>
      <c r="H389" s="777"/>
      <c r="I389" s="777"/>
      <c r="J389" s="777"/>
      <c r="K389" s="777"/>
      <c r="L389" s="777"/>
      <c r="M389" s="777"/>
      <c r="N389" s="777"/>
      <c r="O389" s="777"/>
      <c r="P389" s="777"/>
      <c r="Q389" s="777"/>
      <c r="R389" s="777"/>
      <c r="S389" s="777"/>
      <c r="T389" s="777"/>
      <c r="U389" s="777"/>
      <c r="V389" s="777"/>
    </row>
    <row r="390" spans="1:22" x14ac:dyDescent="0.25">
      <c r="A390" s="777"/>
      <c r="B390" s="777"/>
      <c r="C390" s="777"/>
      <c r="D390" s="777"/>
      <c r="E390" s="777"/>
      <c r="F390" s="777"/>
      <c r="G390" s="777"/>
      <c r="H390" s="777"/>
      <c r="I390" s="777"/>
      <c r="J390" s="777"/>
      <c r="K390" s="777"/>
      <c r="L390" s="777"/>
      <c r="M390" s="777"/>
      <c r="N390" s="777"/>
      <c r="O390" s="777"/>
      <c r="P390" s="777"/>
      <c r="Q390" s="777"/>
      <c r="R390" s="777"/>
      <c r="S390" s="777"/>
      <c r="T390" s="777"/>
      <c r="U390" s="777"/>
      <c r="V390" s="777"/>
    </row>
    <row r="391" spans="1:22" x14ac:dyDescent="0.25">
      <c r="A391" s="777"/>
      <c r="B391" s="777"/>
      <c r="C391" s="777"/>
      <c r="D391" s="777"/>
      <c r="E391" s="777"/>
      <c r="F391" s="777"/>
      <c r="G391" s="777"/>
      <c r="H391" s="777"/>
      <c r="I391" s="777"/>
      <c r="J391" s="777"/>
      <c r="K391" s="777"/>
      <c r="L391" s="777"/>
      <c r="M391" s="777"/>
      <c r="N391" s="777"/>
      <c r="O391" s="777"/>
      <c r="P391" s="777"/>
      <c r="Q391" s="777"/>
      <c r="R391" s="777"/>
      <c r="S391" s="777"/>
      <c r="T391" s="777"/>
      <c r="U391" s="777"/>
      <c r="V391" s="777"/>
    </row>
    <row r="392" spans="1:22" x14ac:dyDescent="0.25">
      <c r="A392" s="777"/>
      <c r="B392" s="777"/>
      <c r="C392" s="777"/>
      <c r="D392" s="777"/>
      <c r="E392" s="777"/>
      <c r="F392" s="777"/>
      <c r="G392" s="777"/>
      <c r="H392" s="777"/>
      <c r="I392" s="777"/>
      <c r="J392" s="777"/>
      <c r="K392" s="777"/>
      <c r="L392" s="777"/>
      <c r="M392" s="777"/>
      <c r="N392" s="777"/>
      <c r="O392" s="777"/>
      <c r="P392" s="777"/>
      <c r="Q392" s="777"/>
      <c r="R392" s="777"/>
      <c r="S392" s="777"/>
      <c r="T392" s="777"/>
      <c r="U392" s="777"/>
      <c r="V392" s="777"/>
    </row>
    <row r="393" spans="1:22" x14ac:dyDescent="0.25">
      <c r="A393" s="777"/>
      <c r="B393" s="777"/>
      <c r="C393" s="777"/>
      <c r="D393" s="777"/>
      <c r="E393" s="777"/>
      <c r="F393" s="777"/>
      <c r="G393" s="777"/>
      <c r="H393" s="777"/>
      <c r="I393" s="777"/>
      <c r="J393" s="777"/>
      <c r="K393" s="777"/>
      <c r="L393" s="777"/>
      <c r="M393" s="777"/>
      <c r="N393" s="777"/>
      <c r="O393" s="777"/>
      <c r="P393" s="777"/>
      <c r="Q393" s="777"/>
      <c r="R393" s="777"/>
      <c r="S393" s="777"/>
      <c r="T393" s="777"/>
      <c r="U393" s="777"/>
      <c r="V393" s="777"/>
    </row>
    <row r="394" spans="1:22" x14ac:dyDescent="0.25">
      <c r="A394" s="777"/>
      <c r="B394" s="777"/>
      <c r="C394" s="777"/>
      <c r="D394" s="777"/>
      <c r="E394" s="777"/>
      <c r="F394" s="777"/>
      <c r="G394" s="777"/>
      <c r="H394" s="777"/>
      <c r="I394" s="777"/>
      <c r="J394" s="777"/>
      <c r="K394" s="777"/>
      <c r="L394" s="777"/>
      <c r="M394" s="777"/>
      <c r="N394" s="777"/>
      <c r="O394" s="777"/>
      <c r="P394" s="777"/>
      <c r="Q394" s="777"/>
      <c r="R394" s="777"/>
      <c r="S394" s="777"/>
      <c r="T394" s="777"/>
      <c r="U394" s="777"/>
      <c r="V394" s="777"/>
    </row>
    <row r="395" spans="1:22" x14ac:dyDescent="0.25">
      <c r="A395" s="777"/>
      <c r="B395" s="777"/>
      <c r="C395" s="777"/>
      <c r="D395" s="777"/>
      <c r="E395" s="777"/>
      <c r="F395" s="777"/>
      <c r="G395" s="777"/>
      <c r="H395" s="777"/>
      <c r="I395" s="777"/>
      <c r="J395" s="777"/>
      <c r="K395" s="777"/>
      <c r="L395" s="777"/>
      <c r="M395" s="777"/>
      <c r="N395" s="777"/>
      <c r="O395" s="777"/>
      <c r="P395" s="777"/>
      <c r="Q395" s="777"/>
      <c r="R395" s="777"/>
      <c r="S395" s="777"/>
      <c r="T395" s="777"/>
      <c r="U395" s="777"/>
      <c r="V395" s="777"/>
    </row>
    <row r="396" spans="1:22" x14ac:dyDescent="0.25">
      <c r="A396" s="777"/>
      <c r="B396" s="777"/>
      <c r="C396" s="777"/>
      <c r="D396" s="777"/>
      <c r="E396" s="777"/>
      <c r="F396" s="777"/>
      <c r="G396" s="777"/>
      <c r="H396" s="777"/>
      <c r="I396" s="777"/>
      <c r="J396" s="777"/>
      <c r="K396" s="777"/>
      <c r="L396" s="777"/>
      <c r="M396" s="777"/>
      <c r="N396" s="777"/>
      <c r="O396" s="777"/>
      <c r="P396" s="777"/>
      <c r="Q396" s="777"/>
      <c r="R396" s="777"/>
      <c r="S396" s="777"/>
      <c r="T396" s="777"/>
      <c r="U396" s="777"/>
      <c r="V396" s="777"/>
    </row>
    <row r="397" spans="1:22" x14ac:dyDescent="0.25">
      <c r="A397" s="777"/>
      <c r="B397" s="777"/>
      <c r="C397" s="777"/>
      <c r="D397" s="777"/>
      <c r="E397" s="777"/>
      <c r="F397" s="777"/>
      <c r="G397" s="777"/>
      <c r="H397" s="777"/>
      <c r="I397" s="777"/>
      <c r="J397" s="777"/>
      <c r="K397" s="777"/>
      <c r="L397" s="777"/>
      <c r="M397" s="777"/>
      <c r="N397" s="777"/>
      <c r="O397" s="777"/>
      <c r="P397" s="777"/>
      <c r="Q397" s="777"/>
      <c r="R397" s="777"/>
      <c r="S397" s="777"/>
      <c r="T397" s="777"/>
      <c r="U397" s="777"/>
      <c r="V397" s="777"/>
    </row>
    <row r="398" spans="1:22" x14ac:dyDescent="0.25">
      <c r="A398" s="777"/>
      <c r="B398" s="777"/>
      <c r="C398" s="777"/>
      <c r="D398" s="777"/>
      <c r="E398" s="777"/>
      <c r="F398" s="777"/>
      <c r="G398" s="777"/>
      <c r="H398" s="777"/>
      <c r="I398" s="777"/>
      <c r="J398" s="777"/>
      <c r="K398" s="777"/>
      <c r="L398" s="777"/>
      <c r="M398" s="777"/>
      <c r="N398" s="777"/>
      <c r="O398" s="777"/>
      <c r="P398" s="777"/>
      <c r="Q398" s="777"/>
      <c r="R398" s="777"/>
      <c r="S398" s="777"/>
      <c r="T398" s="777"/>
      <c r="U398" s="777"/>
      <c r="V398" s="777"/>
    </row>
    <row r="399" spans="1:22" x14ac:dyDescent="0.25">
      <c r="A399" s="777"/>
      <c r="B399" s="777"/>
      <c r="C399" s="777"/>
      <c r="D399" s="777"/>
      <c r="E399" s="777"/>
      <c r="F399" s="777"/>
      <c r="G399" s="777"/>
      <c r="H399" s="777"/>
      <c r="I399" s="777"/>
      <c r="J399" s="777"/>
      <c r="K399" s="777"/>
      <c r="L399" s="777"/>
      <c r="M399" s="777"/>
      <c r="N399" s="777"/>
      <c r="O399" s="777"/>
      <c r="P399" s="777"/>
      <c r="Q399" s="777"/>
      <c r="R399" s="777"/>
      <c r="S399" s="777"/>
      <c r="T399" s="777"/>
      <c r="U399" s="777"/>
      <c r="V399" s="777"/>
    </row>
    <row r="400" spans="1:22" x14ac:dyDescent="0.25">
      <c r="A400" s="777"/>
      <c r="B400" s="777"/>
      <c r="C400" s="777"/>
      <c r="D400" s="777"/>
      <c r="E400" s="777"/>
      <c r="F400" s="777"/>
      <c r="G400" s="777"/>
      <c r="H400" s="777"/>
      <c r="I400" s="777"/>
      <c r="J400" s="777"/>
      <c r="K400" s="777"/>
      <c r="L400" s="777"/>
      <c r="M400" s="777"/>
      <c r="N400" s="777"/>
      <c r="O400" s="777"/>
      <c r="P400" s="777"/>
      <c r="Q400" s="777"/>
      <c r="R400" s="777"/>
      <c r="S400" s="777"/>
      <c r="T400" s="777"/>
      <c r="U400" s="777"/>
      <c r="V400" s="777"/>
    </row>
    <row r="401" spans="1:22" x14ac:dyDescent="0.25">
      <c r="A401" s="777"/>
      <c r="B401" s="777"/>
      <c r="C401" s="777"/>
      <c r="D401" s="777"/>
      <c r="E401" s="777"/>
      <c r="F401" s="777"/>
      <c r="G401" s="777"/>
      <c r="H401" s="777"/>
      <c r="I401" s="777"/>
      <c r="J401" s="777"/>
      <c r="K401" s="777"/>
      <c r="L401" s="777"/>
      <c r="M401" s="777"/>
      <c r="N401" s="777"/>
      <c r="O401" s="777"/>
      <c r="P401" s="777"/>
      <c r="Q401" s="777"/>
      <c r="R401" s="777"/>
      <c r="S401" s="777"/>
      <c r="T401" s="777"/>
      <c r="U401" s="777"/>
      <c r="V401" s="777"/>
    </row>
    <row r="402" spans="1:22" x14ac:dyDescent="0.25">
      <c r="A402" s="777"/>
      <c r="B402" s="777"/>
      <c r="C402" s="777"/>
      <c r="D402" s="777"/>
      <c r="E402" s="777"/>
      <c r="F402" s="777"/>
      <c r="G402" s="777"/>
      <c r="H402" s="777"/>
      <c r="I402" s="777"/>
      <c r="J402" s="777"/>
      <c r="K402" s="777"/>
      <c r="L402" s="777"/>
      <c r="M402" s="777"/>
      <c r="N402" s="777"/>
      <c r="O402" s="777"/>
      <c r="P402" s="777"/>
      <c r="Q402" s="777"/>
      <c r="R402" s="777"/>
      <c r="S402" s="777"/>
      <c r="T402" s="777"/>
      <c r="U402" s="777"/>
      <c r="V402" s="777"/>
    </row>
    <row r="403" spans="1:22" x14ac:dyDescent="0.25">
      <c r="A403" s="777"/>
      <c r="B403" s="777"/>
      <c r="C403" s="777"/>
      <c r="D403" s="777"/>
      <c r="E403" s="777"/>
      <c r="F403" s="777"/>
      <c r="G403" s="777"/>
      <c r="H403" s="777"/>
      <c r="I403" s="777"/>
      <c r="J403" s="777"/>
      <c r="K403" s="777"/>
      <c r="L403" s="777"/>
      <c r="M403" s="777"/>
      <c r="N403" s="777"/>
      <c r="O403" s="777"/>
      <c r="P403" s="777"/>
      <c r="Q403" s="777"/>
      <c r="R403" s="777"/>
      <c r="S403" s="777"/>
      <c r="T403" s="777"/>
      <c r="U403" s="777"/>
      <c r="V403" s="777"/>
    </row>
    <row r="404" spans="1:22" x14ac:dyDescent="0.25">
      <c r="A404" s="777"/>
      <c r="B404" s="777"/>
      <c r="C404" s="777"/>
      <c r="D404" s="777"/>
      <c r="E404" s="777"/>
      <c r="F404" s="777"/>
      <c r="G404" s="777"/>
      <c r="H404" s="777"/>
      <c r="I404" s="777"/>
      <c r="J404" s="777"/>
      <c r="K404" s="777"/>
      <c r="L404" s="777"/>
      <c r="M404" s="777"/>
      <c r="N404" s="777"/>
      <c r="O404" s="777"/>
      <c r="P404" s="777"/>
      <c r="Q404" s="777"/>
      <c r="R404" s="777"/>
      <c r="S404" s="777"/>
      <c r="T404" s="777"/>
      <c r="U404" s="777"/>
      <c r="V404" s="777"/>
    </row>
    <row r="405" spans="1:22" x14ac:dyDescent="0.25">
      <c r="A405" s="777"/>
      <c r="B405" s="777"/>
      <c r="C405" s="777"/>
      <c r="D405" s="777"/>
      <c r="E405" s="777"/>
      <c r="F405" s="777"/>
      <c r="G405" s="777"/>
      <c r="H405" s="777"/>
      <c r="I405" s="777"/>
      <c r="J405" s="777"/>
      <c r="K405" s="777"/>
      <c r="L405" s="777"/>
      <c r="M405" s="777"/>
      <c r="N405" s="777"/>
      <c r="O405" s="777"/>
      <c r="P405" s="777"/>
      <c r="Q405" s="777"/>
      <c r="R405" s="777"/>
      <c r="S405" s="777"/>
      <c r="T405" s="777"/>
      <c r="U405" s="777"/>
      <c r="V405" s="777"/>
    </row>
    <row r="406" spans="1:22" x14ac:dyDescent="0.25">
      <c r="A406" s="777"/>
      <c r="B406" s="777"/>
      <c r="C406" s="777"/>
      <c r="D406" s="777"/>
      <c r="E406" s="777"/>
      <c r="F406" s="777"/>
      <c r="G406" s="777"/>
      <c r="H406" s="777"/>
      <c r="I406" s="777"/>
      <c r="J406" s="777"/>
      <c r="K406" s="777"/>
      <c r="L406" s="777"/>
      <c r="M406" s="777"/>
      <c r="N406" s="777"/>
      <c r="O406" s="777"/>
      <c r="P406" s="777"/>
      <c r="Q406" s="777"/>
      <c r="R406" s="777"/>
      <c r="S406" s="777"/>
      <c r="T406" s="777"/>
      <c r="U406" s="777"/>
      <c r="V406" s="777"/>
    </row>
    <row r="407" spans="1:22" x14ac:dyDescent="0.25">
      <c r="A407" s="777"/>
      <c r="B407" s="777"/>
      <c r="C407" s="777"/>
      <c r="D407" s="777"/>
      <c r="E407" s="777"/>
      <c r="F407" s="777"/>
      <c r="G407" s="777"/>
      <c r="H407" s="777"/>
      <c r="I407" s="777"/>
      <c r="J407" s="777"/>
      <c r="K407" s="777"/>
      <c r="L407" s="777"/>
      <c r="M407" s="777"/>
      <c r="N407" s="777"/>
      <c r="O407" s="777"/>
      <c r="P407" s="777"/>
      <c r="Q407" s="777"/>
      <c r="R407" s="777"/>
      <c r="S407" s="777"/>
      <c r="T407" s="777"/>
      <c r="U407" s="777"/>
      <c r="V407" s="777"/>
    </row>
    <row r="408" spans="1:22" x14ac:dyDescent="0.25">
      <c r="A408" s="777"/>
      <c r="B408" s="777"/>
      <c r="C408" s="777"/>
      <c r="D408" s="777"/>
      <c r="E408" s="777"/>
      <c r="F408" s="777"/>
      <c r="G408" s="777"/>
      <c r="H408" s="777"/>
      <c r="I408" s="777"/>
      <c r="J408" s="777"/>
      <c r="K408" s="777"/>
      <c r="L408" s="777"/>
      <c r="M408" s="777"/>
      <c r="N408" s="777"/>
      <c r="O408" s="777"/>
      <c r="P408" s="777"/>
      <c r="Q408" s="777"/>
      <c r="R408" s="777"/>
      <c r="S408" s="777"/>
      <c r="T408" s="777"/>
      <c r="U408" s="777"/>
      <c r="V408" s="777"/>
    </row>
    <row r="409" spans="1:22" x14ac:dyDescent="0.25">
      <c r="A409" s="777"/>
      <c r="B409" s="777"/>
      <c r="C409" s="777"/>
      <c r="D409" s="777"/>
      <c r="E409" s="777"/>
      <c r="F409" s="777"/>
      <c r="G409" s="777"/>
      <c r="H409" s="777"/>
      <c r="I409" s="777"/>
      <c r="J409" s="777"/>
      <c r="K409" s="777"/>
      <c r="L409" s="777"/>
      <c r="M409" s="777"/>
      <c r="N409" s="777"/>
      <c r="O409" s="777"/>
      <c r="P409" s="777"/>
      <c r="Q409" s="777"/>
      <c r="R409" s="777"/>
      <c r="S409" s="777"/>
      <c r="T409" s="777"/>
      <c r="U409" s="777"/>
      <c r="V409" s="777"/>
    </row>
    <row r="410" spans="1:22" x14ac:dyDescent="0.25">
      <c r="A410" s="777"/>
      <c r="B410" s="777"/>
      <c r="C410" s="777"/>
      <c r="D410" s="777"/>
      <c r="E410" s="777"/>
      <c r="F410" s="777"/>
      <c r="G410" s="777"/>
      <c r="H410" s="777"/>
      <c r="I410" s="777"/>
      <c r="J410" s="777"/>
      <c r="K410" s="777"/>
      <c r="L410" s="777"/>
      <c r="M410" s="777"/>
      <c r="N410" s="777"/>
      <c r="O410" s="777"/>
      <c r="P410" s="777"/>
      <c r="Q410" s="777"/>
      <c r="R410" s="777"/>
      <c r="S410" s="777"/>
      <c r="T410" s="777"/>
      <c r="U410" s="777"/>
      <c r="V410" s="777"/>
    </row>
    <row r="411" spans="1:22" x14ac:dyDescent="0.25">
      <c r="A411" s="777"/>
      <c r="B411" s="777"/>
      <c r="C411" s="777"/>
      <c r="D411" s="777"/>
      <c r="E411" s="777"/>
      <c r="F411" s="777"/>
      <c r="G411" s="777"/>
      <c r="H411" s="777"/>
      <c r="I411" s="777"/>
      <c r="J411" s="777"/>
      <c r="K411" s="777"/>
      <c r="L411" s="777"/>
      <c r="M411" s="777"/>
      <c r="N411" s="777"/>
      <c r="O411" s="777"/>
      <c r="P411" s="777"/>
      <c r="Q411" s="777"/>
      <c r="R411" s="777"/>
      <c r="S411" s="777"/>
      <c r="T411" s="777"/>
      <c r="U411" s="777"/>
      <c r="V411" s="777"/>
    </row>
    <row r="412" spans="1:22" x14ac:dyDescent="0.25">
      <c r="A412" s="777"/>
      <c r="B412" s="777"/>
      <c r="C412" s="777"/>
      <c r="D412" s="777"/>
      <c r="E412" s="777"/>
      <c r="F412" s="777"/>
      <c r="G412" s="777"/>
      <c r="H412" s="777"/>
      <c r="I412" s="777"/>
      <c r="J412" s="777"/>
      <c r="K412" s="777"/>
      <c r="L412" s="777"/>
      <c r="M412" s="777"/>
      <c r="N412" s="777"/>
      <c r="O412" s="777"/>
      <c r="P412" s="777"/>
      <c r="Q412" s="777"/>
      <c r="R412" s="777"/>
      <c r="S412" s="777"/>
      <c r="T412" s="777"/>
      <c r="U412" s="777"/>
      <c r="V412" s="777"/>
    </row>
    <row r="413" spans="1:22" x14ac:dyDescent="0.25">
      <c r="A413" s="777"/>
      <c r="B413" s="777"/>
      <c r="C413" s="777"/>
      <c r="D413" s="777"/>
      <c r="E413" s="777"/>
      <c r="F413" s="777"/>
      <c r="G413" s="777"/>
      <c r="H413" s="777"/>
      <c r="I413" s="777"/>
      <c r="J413" s="777"/>
      <c r="K413" s="777"/>
      <c r="L413" s="777"/>
      <c r="M413" s="777"/>
      <c r="N413" s="777"/>
      <c r="O413" s="777"/>
      <c r="P413" s="777"/>
      <c r="Q413" s="777"/>
      <c r="R413" s="777"/>
      <c r="S413" s="777"/>
      <c r="T413" s="777"/>
      <c r="U413" s="777"/>
      <c r="V413" s="777"/>
    </row>
    <row r="414" spans="1:22" x14ac:dyDescent="0.25">
      <c r="A414" s="777"/>
      <c r="B414" s="777"/>
      <c r="C414" s="777"/>
      <c r="D414" s="777"/>
      <c r="E414" s="777"/>
      <c r="F414" s="777"/>
      <c r="G414" s="777"/>
      <c r="H414" s="777"/>
      <c r="I414" s="777"/>
      <c r="J414" s="777"/>
      <c r="K414" s="777"/>
      <c r="L414" s="777"/>
      <c r="M414" s="777"/>
      <c r="N414" s="777"/>
      <c r="O414" s="777"/>
      <c r="P414" s="777"/>
      <c r="Q414" s="777"/>
      <c r="R414" s="777"/>
      <c r="S414" s="777"/>
      <c r="T414" s="777"/>
      <c r="U414" s="777"/>
      <c r="V414" s="777"/>
    </row>
    <row r="415" spans="1:22" x14ac:dyDescent="0.25">
      <c r="A415" s="777"/>
      <c r="B415" s="777"/>
      <c r="C415" s="777"/>
      <c r="D415" s="777"/>
      <c r="E415" s="777"/>
      <c r="F415" s="777"/>
      <c r="G415" s="777"/>
      <c r="H415" s="777"/>
      <c r="I415" s="777"/>
      <c r="J415" s="777"/>
      <c r="K415" s="777"/>
      <c r="L415" s="777"/>
      <c r="M415" s="777"/>
      <c r="N415" s="777"/>
      <c r="O415" s="777"/>
      <c r="P415" s="777"/>
      <c r="Q415" s="777"/>
      <c r="R415" s="777"/>
      <c r="S415" s="777"/>
      <c r="T415" s="777"/>
      <c r="U415" s="777"/>
      <c r="V415" s="777"/>
    </row>
    <row r="416" spans="1:22" x14ac:dyDescent="0.25">
      <c r="A416" s="777"/>
      <c r="B416" s="777"/>
      <c r="C416" s="777"/>
      <c r="D416" s="777"/>
      <c r="E416" s="777"/>
      <c r="F416" s="777"/>
      <c r="G416" s="777"/>
      <c r="H416" s="777"/>
      <c r="I416" s="777"/>
      <c r="J416" s="777"/>
      <c r="K416" s="777"/>
      <c r="L416" s="777"/>
      <c r="M416" s="777"/>
      <c r="N416" s="777"/>
      <c r="O416" s="777"/>
      <c r="P416" s="777"/>
      <c r="Q416" s="777"/>
      <c r="R416" s="777"/>
      <c r="S416" s="777"/>
      <c r="T416" s="777"/>
      <c r="U416" s="777"/>
      <c r="V416" s="777"/>
    </row>
    <row r="417" spans="1:22" x14ac:dyDescent="0.25">
      <c r="A417" s="777"/>
      <c r="B417" s="777"/>
      <c r="C417" s="777"/>
      <c r="D417" s="777"/>
      <c r="E417" s="777"/>
      <c r="F417" s="777"/>
      <c r="G417" s="777"/>
      <c r="H417" s="777"/>
      <c r="I417" s="777"/>
      <c r="J417" s="777"/>
      <c r="K417" s="777"/>
      <c r="L417" s="777"/>
      <c r="M417" s="777"/>
      <c r="N417" s="777"/>
      <c r="O417" s="777"/>
      <c r="P417" s="777"/>
      <c r="Q417" s="777"/>
      <c r="R417" s="777"/>
      <c r="S417" s="777"/>
      <c r="T417" s="777"/>
      <c r="U417" s="777"/>
      <c r="V417" s="777"/>
    </row>
    <row r="418" spans="1:22" x14ac:dyDescent="0.25">
      <c r="A418" s="777"/>
      <c r="B418" s="777"/>
      <c r="C418" s="777"/>
      <c r="D418" s="777"/>
      <c r="E418" s="777"/>
      <c r="F418" s="777"/>
      <c r="G418" s="777"/>
      <c r="H418" s="777"/>
      <c r="I418" s="777"/>
      <c r="J418" s="777"/>
      <c r="K418" s="777"/>
      <c r="L418" s="777"/>
      <c r="M418" s="777"/>
      <c r="N418" s="777"/>
      <c r="O418" s="777"/>
      <c r="P418" s="777"/>
      <c r="Q418" s="777"/>
      <c r="R418" s="777"/>
      <c r="S418" s="777"/>
      <c r="T418" s="777"/>
      <c r="U418" s="777"/>
      <c r="V418" s="777"/>
    </row>
    <row r="419" spans="1:22" x14ac:dyDescent="0.25">
      <c r="A419" s="777"/>
      <c r="B419" s="777"/>
      <c r="C419" s="777"/>
      <c r="D419" s="777"/>
      <c r="E419" s="777"/>
      <c r="F419" s="777"/>
      <c r="G419" s="777"/>
      <c r="H419" s="777"/>
      <c r="I419" s="777"/>
      <c r="J419" s="777"/>
      <c r="K419" s="777"/>
      <c r="L419" s="777"/>
      <c r="M419" s="777"/>
      <c r="N419" s="777"/>
      <c r="O419" s="777"/>
      <c r="P419" s="777"/>
      <c r="Q419" s="777"/>
      <c r="R419" s="777"/>
      <c r="S419" s="777"/>
      <c r="T419" s="777"/>
      <c r="U419" s="777"/>
      <c r="V419" s="777"/>
    </row>
    <row r="420" spans="1:22" x14ac:dyDescent="0.25">
      <c r="A420" s="777"/>
      <c r="B420" s="777"/>
      <c r="C420" s="777"/>
      <c r="D420" s="777"/>
      <c r="E420" s="777"/>
      <c r="F420" s="777"/>
      <c r="G420" s="777"/>
      <c r="H420" s="777"/>
      <c r="I420" s="777"/>
      <c r="J420" s="777"/>
      <c r="K420" s="777"/>
      <c r="L420" s="777"/>
      <c r="M420" s="777"/>
      <c r="N420" s="777"/>
      <c r="O420" s="777"/>
      <c r="P420" s="777"/>
      <c r="Q420" s="777"/>
      <c r="R420" s="777"/>
      <c r="S420" s="777"/>
      <c r="T420" s="777"/>
      <c r="U420" s="777"/>
      <c r="V420" s="777"/>
    </row>
    <row r="421" spans="1:22" x14ac:dyDescent="0.25">
      <c r="A421" s="777"/>
      <c r="B421" s="777"/>
      <c r="C421" s="777"/>
      <c r="D421" s="777"/>
      <c r="E421" s="777"/>
      <c r="F421" s="777"/>
      <c r="G421" s="777"/>
      <c r="H421" s="777"/>
      <c r="I421" s="777"/>
      <c r="J421" s="777"/>
      <c r="K421" s="777"/>
      <c r="L421" s="777"/>
      <c r="M421" s="777"/>
      <c r="N421" s="777"/>
      <c r="O421" s="777"/>
      <c r="P421" s="777"/>
      <c r="Q421" s="777"/>
      <c r="R421" s="777"/>
      <c r="S421" s="777"/>
      <c r="T421" s="777"/>
      <c r="U421" s="777"/>
      <c r="V421" s="777"/>
    </row>
    <row r="422" spans="1:22" x14ac:dyDescent="0.25">
      <c r="A422" s="777"/>
      <c r="B422" s="777"/>
      <c r="C422" s="777"/>
      <c r="D422" s="777"/>
      <c r="E422" s="777"/>
      <c r="F422" s="777"/>
      <c r="G422" s="777"/>
      <c r="H422" s="777"/>
      <c r="I422" s="777"/>
      <c r="J422" s="777"/>
      <c r="K422" s="777"/>
      <c r="L422" s="777"/>
      <c r="M422" s="777"/>
      <c r="N422" s="777"/>
      <c r="O422" s="777"/>
      <c r="P422" s="777"/>
      <c r="Q422" s="777"/>
      <c r="R422" s="777"/>
      <c r="S422" s="777"/>
      <c r="T422" s="777"/>
      <c r="U422" s="777"/>
      <c r="V422" s="777"/>
    </row>
    <row r="423" spans="1:22" x14ac:dyDescent="0.25">
      <c r="A423" s="777"/>
      <c r="B423" s="777"/>
      <c r="C423" s="777"/>
      <c r="D423" s="777"/>
      <c r="E423" s="777"/>
      <c r="F423" s="777"/>
      <c r="G423" s="777"/>
      <c r="H423" s="777"/>
      <c r="I423" s="777"/>
      <c r="J423" s="777"/>
      <c r="K423" s="777"/>
      <c r="L423" s="777"/>
      <c r="M423" s="777"/>
      <c r="N423" s="777"/>
      <c r="O423" s="777"/>
      <c r="P423" s="777"/>
      <c r="Q423" s="777"/>
      <c r="R423" s="777"/>
      <c r="S423" s="777"/>
      <c r="T423" s="777"/>
      <c r="U423" s="777"/>
      <c r="V423" s="777"/>
    </row>
    <row r="424" spans="1:22" x14ac:dyDescent="0.25">
      <c r="A424" s="777"/>
      <c r="B424" s="777"/>
      <c r="C424" s="777"/>
      <c r="D424" s="777"/>
      <c r="E424" s="777"/>
      <c r="F424" s="777"/>
      <c r="G424" s="777"/>
      <c r="H424" s="777"/>
      <c r="I424" s="777"/>
      <c r="J424" s="777"/>
      <c r="K424" s="777"/>
      <c r="L424" s="777"/>
      <c r="M424" s="777"/>
      <c r="N424" s="777"/>
      <c r="O424" s="777"/>
      <c r="P424" s="777"/>
      <c r="Q424" s="777"/>
      <c r="R424" s="777"/>
      <c r="S424" s="777"/>
      <c r="T424" s="777"/>
      <c r="U424" s="777"/>
      <c r="V424" s="777"/>
    </row>
    <row r="425" spans="1:22" x14ac:dyDescent="0.25">
      <c r="A425" s="777"/>
      <c r="B425" s="777"/>
      <c r="C425" s="777"/>
      <c r="D425" s="777"/>
      <c r="E425" s="777"/>
      <c r="F425" s="777"/>
      <c r="G425" s="777"/>
      <c r="H425" s="777"/>
      <c r="I425" s="777"/>
      <c r="J425" s="777"/>
      <c r="K425" s="777"/>
      <c r="L425" s="777"/>
      <c r="M425" s="777"/>
      <c r="N425" s="777"/>
      <c r="O425" s="777"/>
      <c r="P425" s="777"/>
      <c r="Q425" s="777"/>
      <c r="R425" s="777"/>
      <c r="S425" s="777"/>
      <c r="T425" s="777"/>
      <c r="U425" s="777"/>
      <c r="V425" s="777"/>
    </row>
    <row r="426" spans="1:22" x14ac:dyDescent="0.25">
      <c r="A426" s="777"/>
      <c r="B426" s="777"/>
      <c r="C426" s="777"/>
      <c r="D426" s="777"/>
      <c r="E426" s="777"/>
      <c r="F426" s="777"/>
      <c r="G426" s="777"/>
      <c r="H426" s="777"/>
      <c r="I426" s="777"/>
      <c r="J426" s="777"/>
      <c r="K426" s="777"/>
      <c r="L426" s="777"/>
      <c r="M426" s="777"/>
      <c r="N426" s="777"/>
      <c r="O426" s="777"/>
      <c r="P426" s="777"/>
      <c r="Q426" s="777"/>
      <c r="R426" s="777"/>
      <c r="S426" s="777"/>
      <c r="T426" s="777"/>
      <c r="U426" s="777"/>
      <c r="V426" s="777"/>
    </row>
    <row r="427" spans="1:22" x14ac:dyDescent="0.25">
      <c r="A427" s="777"/>
      <c r="B427" s="777"/>
      <c r="C427" s="777"/>
      <c r="D427" s="777"/>
      <c r="E427" s="777"/>
      <c r="F427" s="777"/>
      <c r="G427" s="777"/>
      <c r="H427" s="777"/>
      <c r="I427" s="777"/>
      <c r="J427" s="777"/>
      <c r="K427" s="777"/>
      <c r="L427" s="777"/>
      <c r="M427" s="777"/>
      <c r="N427" s="777"/>
      <c r="O427" s="777"/>
      <c r="P427" s="777"/>
      <c r="Q427" s="777"/>
      <c r="R427" s="777"/>
      <c r="S427" s="777"/>
      <c r="T427" s="777"/>
      <c r="U427" s="777"/>
      <c r="V427" s="777"/>
    </row>
    <row r="428" spans="1:22" x14ac:dyDescent="0.25">
      <c r="A428" s="777"/>
      <c r="B428" s="777"/>
      <c r="C428" s="777"/>
      <c r="D428" s="777"/>
      <c r="E428" s="777"/>
      <c r="F428" s="777"/>
      <c r="G428" s="777"/>
      <c r="H428" s="777"/>
      <c r="I428" s="777"/>
      <c r="J428" s="777"/>
      <c r="K428" s="777"/>
      <c r="L428" s="777"/>
      <c r="M428" s="777"/>
      <c r="N428" s="777"/>
      <c r="O428" s="777"/>
      <c r="P428" s="777"/>
      <c r="Q428" s="777"/>
      <c r="R428" s="777"/>
      <c r="S428" s="777"/>
      <c r="T428" s="777"/>
      <c r="U428" s="777"/>
      <c r="V428" s="777"/>
    </row>
    <row r="429" spans="1:22" x14ac:dyDescent="0.25">
      <c r="A429" s="777"/>
      <c r="B429" s="777"/>
      <c r="C429" s="777"/>
      <c r="D429" s="777"/>
      <c r="E429" s="777"/>
      <c r="F429" s="777"/>
      <c r="G429" s="777"/>
      <c r="H429" s="777"/>
      <c r="I429" s="777"/>
      <c r="J429" s="777"/>
      <c r="K429" s="777"/>
      <c r="L429" s="777"/>
      <c r="M429" s="777"/>
      <c r="N429" s="777"/>
      <c r="O429" s="777"/>
      <c r="P429" s="777"/>
      <c r="Q429" s="777"/>
      <c r="R429" s="777"/>
      <c r="S429" s="777"/>
      <c r="T429" s="777"/>
      <c r="U429" s="777"/>
      <c r="V429" s="777"/>
    </row>
    <row r="430" spans="1:22" x14ac:dyDescent="0.25">
      <c r="A430" s="777"/>
      <c r="B430" s="777"/>
      <c r="C430" s="777"/>
      <c r="D430" s="777"/>
      <c r="E430" s="777"/>
      <c r="F430" s="777"/>
      <c r="G430" s="777"/>
      <c r="H430" s="777"/>
      <c r="I430" s="777"/>
      <c r="J430" s="777"/>
      <c r="K430" s="777"/>
      <c r="L430" s="777"/>
      <c r="M430" s="777"/>
      <c r="N430" s="777"/>
      <c r="O430" s="777"/>
      <c r="P430" s="777"/>
      <c r="Q430" s="777"/>
      <c r="R430" s="777"/>
      <c r="S430" s="777"/>
      <c r="T430" s="777"/>
      <c r="U430" s="777"/>
      <c r="V430" s="777"/>
    </row>
    <row r="431" spans="1:22" x14ac:dyDescent="0.25">
      <c r="A431" s="777"/>
      <c r="B431" s="777"/>
      <c r="C431" s="777"/>
      <c r="D431" s="777"/>
      <c r="E431" s="777"/>
      <c r="F431" s="777"/>
      <c r="G431" s="777"/>
      <c r="H431" s="777"/>
      <c r="I431" s="777"/>
      <c r="J431" s="777"/>
      <c r="K431" s="777"/>
      <c r="L431" s="777"/>
      <c r="M431" s="777"/>
      <c r="N431" s="777"/>
      <c r="O431" s="777"/>
      <c r="P431" s="777"/>
      <c r="Q431" s="777"/>
      <c r="R431" s="777"/>
      <c r="S431" s="777"/>
      <c r="T431" s="777"/>
      <c r="U431" s="777"/>
      <c r="V431" s="777"/>
    </row>
    <row r="432" spans="1:22" x14ac:dyDescent="0.25">
      <c r="A432" s="777"/>
      <c r="B432" s="777"/>
      <c r="C432" s="777"/>
      <c r="D432" s="777"/>
      <c r="E432" s="777"/>
      <c r="F432" s="777"/>
      <c r="G432" s="777"/>
      <c r="H432" s="777"/>
      <c r="I432" s="777"/>
      <c r="J432" s="777"/>
      <c r="K432" s="777"/>
      <c r="L432" s="777"/>
      <c r="M432" s="777"/>
      <c r="N432" s="777"/>
      <c r="O432" s="777"/>
      <c r="P432" s="777"/>
      <c r="Q432" s="777"/>
      <c r="R432" s="777"/>
      <c r="S432" s="777"/>
      <c r="T432" s="777"/>
      <c r="U432" s="777"/>
      <c r="V432" s="777"/>
    </row>
    <row r="433" spans="1:22" x14ac:dyDescent="0.25">
      <c r="A433" s="777"/>
      <c r="B433" s="777"/>
      <c r="C433" s="777"/>
      <c r="D433" s="777"/>
      <c r="E433" s="777"/>
      <c r="F433" s="777"/>
      <c r="G433" s="777"/>
      <c r="H433" s="777"/>
      <c r="I433" s="777"/>
      <c r="J433" s="777"/>
      <c r="K433" s="777"/>
      <c r="L433" s="777"/>
      <c r="M433" s="777"/>
      <c r="N433" s="777"/>
      <c r="O433" s="777"/>
      <c r="P433" s="777"/>
      <c r="Q433" s="777"/>
      <c r="R433" s="777"/>
      <c r="S433" s="777"/>
      <c r="T433" s="777"/>
      <c r="U433" s="777"/>
      <c r="V433" s="777"/>
    </row>
    <row r="434" spans="1:22" x14ac:dyDescent="0.25">
      <c r="A434" s="777"/>
      <c r="B434" s="777"/>
      <c r="C434" s="777"/>
      <c r="D434" s="777"/>
      <c r="E434" s="777"/>
      <c r="F434" s="777"/>
      <c r="G434" s="777"/>
      <c r="H434" s="777"/>
      <c r="I434" s="777"/>
      <c r="J434" s="777"/>
      <c r="K434" s="777"/>
      <c r="L434" s="777"/>
      <c r="M434" s="777"/>
      <c r="N434" s="777"/>
      <c r="O434" s="777"/>
      <c r="P434" s="777"/>
      <c r="Q434" s="777"/>
      <c r="R434" s="777"/>
      <c r="S434" s="777"/>
      <c r="T434" s="777"/>
      <c r="U434" s="777"/>
      <c r="V434" s="777"/>
    </row>
    <row r="435" spans="1:22" x14ac:dyDescent="0.25">
      <c r="A435" s="777"/>
      <c r="B435" s="777"/>
      <c r="C435" s="777"/>
      <c r="D435" s="777"/>
      <c r="E435" s="777"/>
      <c r="F435" s="777"/>
      <c r="G435" s="777"/>
      <c r="H435" s="777"/>
      <c r="I435" s="777"/>
      <c r="J435" s="777"/>
      <c r="K435" s="777"/>
      <c r="L435" s="777"/>
      <c r="M435" s="777"/>
      <c r="N435" s="777"/>
      <c r="O435" s="777"/>
      <c r="P435" s="777"/>
      <c r="Q435" s="777"/>
      <c r="R435" s="777"/>
      <c r="S435" s="777"/>
      <c r="T435" s="777"/>
      <c r="U435" s="777"/>
      <c r="V435" s="777"/>
    </row>
    <row r="436" spans="1:22" x14ac:dyDescent="0.25">
      <c r="A436" s="777"/>
      <c r="B436" s="777"/>
      <c r="C436" s="777"/>
      <c r="D436" s="777"/>
      <c r="E436" s="777"/>
      <c r="F436" s="777"/>
      <c r="G436" s="777"/>
      <c r="H436" s="777"/>
      <c r="I436" s="777"/>
      <c r="J436" s="777"/>
      <c r="K436" s="777"/>
      <c r="L436" s="777"/>
      <c r="M436" s="777"/>
      <c r="N436" s="777"/>
      <c r="O436" s="777"/>
      <c r="P436" s="777"/>
      <c r="Q436" s="777"/>
      <c r="R436" s="777"/>
      <c r="S436" s="777"/>
      <c r="T436" s="777"/>
      <c r="U436" s="777"/>
      <c r="V436" s="777"/>
    </row>
    <row r="437" spans="1:22" x14ac:dyDescent="0.25">
      <c r="A437" s="777"/>
      <c r="B437" s="777"/>
      <c r="C437" s="777"/>
      <c r="D437" s="777"/>
      <c r="E437" s="777"/>
      <c r="F437" s="777"/>
      <c r="G437" s="777"/>
      <c r="H437" s="777"/>
      <c r="I437" s="777"/>
      <c r="J437" s="777"/>
      <c r="K437" s="777"/>
      <c r="L437" s="777"/>
      <c r="M437" s="777"/>
      <c r="N437" s="777"/>
      <c r="O437" s="777"/>
      <c r="P437" s="777"/>
      <c r="Q437" s="777"/>
      <c r="R437" s="777"/>
      <c r="S437" s="777"/>
      <c r="T437" s="777"/>
      <c r="U437" s="777"/>
      <c r="V437" s="777"/>
    </row>
    <row r="438" spans="1:22" x14ac:dyDescent="0.25">
      <c r="A438" s="777"/>
      <c r="B438" s="777"/>
      <c r="C438" s="777"/>
      <c r="D438" s="777"/>
      <c r="E438" s="777"/>
      <c r="F438" s="777"/>
      <c r="G438" s="777"/>
      <c r="H438" s="777"/>
      <c r="I438" s="777"/>
      <c r="J438" s="777"/>
      <c r="K438" s="777"/>
      <c r="L438" s="777"/>
      <c r="M438" s="777"/>
      <c r="N438" s="777"/>
      <c r="O438" s="777"/>
      <c r="P438" s="777"/>
      <c r="Q438" s="777"/>
      <c r="R438" s="777"/>
      <c r="S438" s="777"/>
      <c r="T438" s="777"/>
      <c r="U438" s="777"/>
      <c r="V438" s="777"/>
    </row>
    <row r="439" spans="1:22" x14ac:dyDescent="0.25">
      <c r="A439" s="777"/>
      <c r="B439" s="777"/>
      <c r="C439" s="777"/>
      <c r="D439" s="777"/>
      <c r="E439" s="777"/>
      <c r="F439" s="777"/>
      <c r="G439" s="777"/>
      <c r="H439" s="777"/>
      <c r="I439" s="777"/>
      <c r="J439" s="777"/>
      <c r="K439" s="777"/>
      <c r="L439" s="777"/>
      <c r="M439" s="777"/>
      <c r="N439" s="777"/>
      <c r="O439" s="777"/>
      <c r="P439" s="777"/>
      <c r="Q439" s="777"/>
      <c r="R439" s="777"/>
      <c r="S439" s="777"/>
      <c r="T439" s="777"/>
      <c r="U439" s="777"/>
      <c r="V439" s="777"/>
    </row>
    <row r="440" spans="1:22" x14ac:dyDescent="0.25">
      <c r="A440" s="777"/>
      <c r="B440" s="777"/>
      <c r="C440" s="777"/>
      <c r="D440" s="777"/>
      <c r="E440" s="777"/>
      <c r="F440" s="777"/>
      <c r="G440" s="777"/>
      <c r="H440" s="777"/>
      <c r="I440" s="777"/>
      <c r="J440" s="777"/>
      <c r="K440" s="777"/>
      <c r="L440" s="777"/>
      <c r="M440" s="777"/>
      <c r="N440" s="777"/>
      <c r="O440" s="777"/>
      <c r="P440" s="777"/>
      <c r="Q440" s="777"/>
      <c r="R440" s="777"/>
      <c r="S440" s="777"/>
      <c r="T440" s="777"/>
      <c r="U440" s="777"/>
      <c r="V440" s="777"/>
    </row>
    <row r="441" spans="1:22" x14ac:dyDescent="0.25">
      <c r="A441" s="777"/>
      <c r="B441" s="777"/>
      <c r="C441" s="777"/>
      <c r="D441" s="777"/>
      <c r="E441" s="777"/>
      <c r="F441" s="777"/>
      <c r="G441" s="777"/>
      <c r="H441" s="777"/>
      <c r="I441" s="777"/>
      <c r="J441" s="777"/>
      <c r="K441" s="777"/>
      <c r="L441" s="777"/>
      <c r="M441" s="777"/>
      <c r="N441" s="777"/>
      <c r="O441" s="777"/>
      <c r="P441" s="777"/>
      <c r="Q441" s="777"/>
      <c r="R441" s="777"/>
      <c r="S441" s="777"/>
      <c r="T441" s="777"/>
      <c r="U441" s="777"/>
      <c r="V441" s="777"/>
    </row>
    <row r="442" spans="1:22" x14ac:dyDescent="0.25">
      <c r="A442" s="777"/>
      <c r="B442" s="777"/>
      <c r="C442" s="777"/>
      <c r="D442" s="777"/>
      <c r="E442" s="777"/>
      <c r="F442" s="777"/>
      <c r="G442" s="777"/>
      <c r="H442" s="777"/>
      <c r="I442" s="777"/>
      <c r="J442" s="777"/>
      <c r="K442" s="777"/>
      <c r="L442" s="777"/>
      <c r="M442" s="777"/>
      <c r="N442" s="777"/>
      <c r="O442" s="777"/>
      <c r="P442" s="777"/>
      <c r="Q442" s="777"/>
      <c r="R442" s="777"/>
      <c r="S442" s="777"/>
      <c r="T442" s="777"/>
      <c r="U442" s="777"/>
      <c r="V442" s="777"/>
    </row>
    <row r="443" spans="1:22" x14ac:dyDescent="0.25">
      <c r="A443" s="777"/>
      <c r="B443" s="777"/>
      <c r="C443" s="777"/>
      <c r="D443" s="777"/>
      <c r="E443" s="777"/>
      <c r="F443" s="777"/>
      <c r="G443" s="777"/>
      <c r="H443" s="777"/>
      <c r="I443" s="777"/>
      <c r="J443" s="777"/>
      <c r="K443" s="777"/>
      <c r="L443" s="777"/>
      <c r="M443" s="777"/>
      <c r="N443" s="777"/>
      <c r="O443" s="777"/>
      <c r="P443" s="777"/>
      <c r="Q443" s="777"/>
      <c r="R443" s="777"/>
      <c r="S443" s="777"/>
      <c r="T443" s="777"/>
      <c r="U443" s="777"/>
      <c r="V443" s="777"/>
    </row>
    <row r="444" spans="1:22" x14ac:dyDescent="0.25">
      <c r="A444" s="777"/>
      <c r="B444" s="777"/>
      <c r="C444" s="777"/>
      <c r="D444" s="777"/>
      <c r="E444" s="777"/>
      <c r="F444" s="777"/>
      <c r="G444" s="777"/>
      <c r="H444" s="777"/>
      <c r="I444" s="777"/>
      <c r="J444" s="777"/>
      <c r="K444" s="777"/>
      <c r="L444" s="777"/>
      <c r="M444" s="777"/>
      <c r="N444" s="777"/>
      <c r="O444" s="777"/>
      <c r="P444" s="777"/>
      <c r="Q444" s="777"/>
      <c r="R444" s="777"/>
      <c r="S444" s="777"/>
      <c r="T444" s="777"/>
      <c r="U444" s="777"/>
      <c r="V444" s="777"/>
    </row>
    <row r="445" spans="1:22" x14ac:dyDescent="0.25">
      <c r="A445" s="777"/>
      <c r="B445" s="777"/>
      <c r="C445" s="777"/>
      <c r="D445" s="777"/>
      <c r="E445" s="777"/>
      <c r="F445" s="777"/>
      <c r="G445" s="777"/>
      <c r="H445" s="777"/>
      <c r="I445" s="777"/>
      <c r="J445" s="777"/>
      <c r="K445" s="777"/>
      <c r="L445" s="777"/>
      <c r="M445" s="777"/>
      <c r="N445" s="777"/>
      <c r="O445" s="777"/>
      <c r="P445" s="777"/>
      <c r="Q445" s="777"/>
      <c r="R445" s="777"/>
      <c r="S445" s="777"/>
      <c r="T445" s="777"/>
      <c r="U445" s="777"/>
      <c r="V445" s="777"/>
    </row>
    <row r="446" spans="1:22" x14ac:dyDescent="0.25">
      <c r="A446" s="777"/>
      <c r="B446" s="777"/>
      <c r="C446" s="777"/>
      <c r="D446" s="777"/>
      <c r="E446" s="777"/>
      <c r="F446" s="777"/>
      <c r="G446" s="777"/>
      <c r="H446" s="777"/>
      <c r="I446" s="777"/>
      <c r="J446" s="777"/>
      <c r="K446" s="777"/>
      <c r="L446" s="777"/>
      <c r="M446" s="777"/>
      <c r="N446" s="777"/>
      <c r="O446" s="777"/>
      <c r="P446" s="777"/>
      <c r="Q446" s="777"/>
      <c r="R446" s="777"/>
      <c r="S446" s="777"/>
      <c r="T446" s="777"/>
      <c r="U446" s="777"/>
      <c r="V446" s="777"/>
    </row>
    <row r="447" spans="1:22" x14ac:dyDescent="0.25">
      <c r="A447" s="777"/>
      <c r="B447" s="777"/>
      <c r="C447" s="777"/>
      <c r="D447" s="777"/>
      <c r="E447" s="777"/>
      <c r="F447" s="777"/>
      <c r="G447" s="777"/>
      <c r="H447" s="777"/>
      <c r="I447" s="777"/>
      <c r="J447" s="777"/>
      <c r="K447" s="777"/>
      <c r="L447" s="777"/>
      <c r="M447" s="777"/>
      <c r="N447" s="777"/>
      <c r="O447" s="777"/>
      <c r="P447" s="777"/>
      <c r="Q447" s="777"/>
      <c r="R447" s="777"/>
      <c r="S447" s="777"/>
      <c r="T447" s="777"/>
      <c r="U447" s="777"/>
      <c r="V447" s="777"/>
    </row>
    <row r="448" spans="1:22" x14ac:dyDescent="0.25">
      <c r="A448" s="777"/>
      <c r="B448" s="777"/>
      <c r="C448" s="777"/>
      <c r="D448" s="777"/>
      <c r="E448" s="777"/>
      <c r="F448" s="777"/>
      <c r="G448" s="777"/>
      <c r="H448" s="777"/>
      <c r="I448" s="777"/>
      <c r="J448" s="777"/>
      <c r="K448" s="777"/>
      <c r="L448" s="777"/>
      <c r="M448" s="777"/>
      <c r="N448" s="777"/>
      <c r="O448" s="777"/>
      <c r="P448" s="777"/>
      <c r="Q448" s="777"/>
      <c r="R448" s="777"/>
      <c r="S448" s="777"/>
      <c r="T448" s="777"/>
      <c r="U448" s="777"/>
      <c r="V448" s="777"/>
    </row>
    <row r="449" spans="1:22" x14ac:dyDescent="0.25">
      <c r="A449" s="777"/>
      <c r="B449" s="777"/>
      <c r="C449" s="777"/>
      <c r="D449" s="777"/>
      <c r="E449" s="777"/>
      <c r="F449" s="777"/>
      <c r="G449" s="777"/>
      <c r="H449" s="777"/>
      <c r="I449" s="777"/>
      <c r="J449" s="777"/>
      <c r="K449" s="777"/>
      <c r="L449" s="777"/>
      <c r="M449" s="777"/>
      <c r="N449" s="777"/>
      <c r="O449" s="777"/>
      <c r="P449" s="777"/>
      <c r="Q449" s="777"/>
      <c r="R449" s="777"/>
      <c r="S449" s="777"/>
      <c r="T449" s="777"/>
      <c r="U449" s="777"/>
      <c r="V449" s="777"/>
    </row>
    <row r="450" spans="1:22" x14ac:dyDescent="0.25">
      <c r="A450" s="777"/>
      <c r="B450" s="777"/>
      <c r="C450" s="777"/>
      <c r="D450" s="777"/>
      <c r="E450" s="777"/>
      <c r="F450" s="777"/>
      <c r="G450" s="777"/>
      <c r="H450" s="777"/>
      <c r="I450" s="777"/>
      <c r="J450" s="777"/>
      <c r="K450" s="777"/>
      <c r="L450" s="777"/>
      <c r="M450" s="777"/>
      <c r="N450" s="777"/>
      <c r="O450" s="777"/>
      <c r="P450" s="777"/>
      <c r="Q450" s="777"/>
      <c r="R450" s="777"/>
      <c r="S450" s="777"/>
      <c r="T450" s="777"/>
      <c r="U450" s="777"/>
      <c r="V450" s="777"/>
    </row>
    <row r="451" spans="1:22" x14ac:dyDescent="0.25">
      <c r="A451" s="777"/>
      <c r="B451" s="777"/>
      <c r="C451" s="777"/>
      <c r="D451" s="777"/>
      <c r="E451" s="777"/>
      <c r="F451" s="777"/>
      <c r="G451" s="777"/>
      <c r="H451" s="777"/>
      <c r="I451" s="777"/>
      <c r="J451" s="777"/>
      <c r="K451" s="777"/>
      <c r="L451" s="777"/>
      <c r="M451" s="777"/>
      <c r="N451" s="777"/>
      <c r="O451" s="777"/>
      <c r="P451" s="777"/>
      <c r="Q451" s="777"/>
      <c r="R451" s="777"/>
      <c r="S451" s="777"/>
      <c r="T451" s="777"/>
      <c r="U451" s="777"/>
      <c r="V451" s="777"/>
    </row>
    <row r="452" spans="1:22" x14ac:dyDescent="0.25">
      <c r="A452" s="777"/>
      <c r="B452" s="777"/>
      <c r="C452" s="777"/>
      <c r="D452" s="777"/>
      <c r="E452" s="777"/>
      <c r="F452" s="777"/>
      <c r="G452" s="777"/>
      <c r="H452" s="777"/>
      <c r="I452" s="777"/>
      <c r="J452" s="777"/>
      <c r="K452" s="777"/>
      <c r="L452" s="777"/>
      <c r="M452" s="777"/>
      <c r="N452" s="777"/>
      <c r="O452" s="777"/>
      <c r="P452" s="777"/>
      <c r="Q452" s="777"/>
      <c r="R452" s="777"/>
      <c r="S452" s="777"/>
      <c r="T452" s="777"/>
      <c r="U452" s="777"/>
      <c r="V452" s="777"/>
    </row>
    <row r="453" spans="1:22" x14ac:dyDescent="0.25">
      <c r="A453" s="777"/>
      <c r="B453" s="777"/>
      <c r="C453" s="777"/>
      <c r="D453" s="777"/>
      <c r="E453" s="777"/>
      <c r="F453" s="777"/>
      <c r="G453" s="777"/>
      <c r="H453" s="777"/>
      <c r="I453" s="777"/>
      <c r="J453" s="777"/>
      <c r="K453" s="777"/>
      <c r="L453" s="777"/>
      <c r="M453" s="777"/>
      <c r="N453" s="777"/>
      <c r="O453" s="777"/>
      <c r="P453" s="777"/>
      <c r="Q453" s="777"/>
      <c r="R453" s="777"/>
      <c r="S453" s="777"/>
      <c r="T453" s="777"/>
      <c r="U453" s="777"/>
      <c r="V453" s="777"/>
    </row>
    <row r="454" spans="1:22" x14ac:dyDescent="0.25">
      <c r="A454" s="777"/>
      <c r="B454" s="777"/>
      <c r="C454" s="777"/>
      <c r="D454" s="777"/>
      <c r="E454" s="777"/>
      <c r="F454" s="777"/>
      <c r="G454" s="777"/>
      <c r="H454" s="777"/>
      <c r="I454" s="777"/>
      <c r="J454" s="777"/>
      <c r="K454" s="777"/>
      <c r="L454" s="777"/>
      <c r="M454" s="777"/>
      <c r="N454" s="777"/>
      <c r="O454" s="777"/>
      <c r="P454" s="777"/>
      <c r="Q454" s="777"/>
      <c r="R454" s="777"/>
      <c r="S454" s="777"/>
      <c r="T454" s="777"/>
      <c r="U454" s="777"/>
      <c r="V454" s="777"/>
    </row>
    <row r="455" spans="1:22" x14ac:dyDescent="0.25">
      <c r="A455" s="777"/>
      <c r="B455" s="777"/>
      <c r="C455" s="777"/>
      <c r="D455" s="777"/>
      <c r="E455" s="777"/>
      <c r="F455" s="777"/>
      <c r="G455" s="777"/>
      <c r="H455" s="777"/>
      <c r="I455" s="777"/>
      <c r="J455" s="777"/>
      <c r="K455" s="777"/>
      <c r="L455" s="777"/>
      <c r="M455" s="777"/>
      <c r="N455" s="777"/>
      <c r="O455" s="777"/>
      <c r="P455" s="777"/>
      <c r="Q455" s="777"/>
      <c r="R455" s="777"/>
      <c r="S455" s="777"/>
      <c r="T455" s="777"/>
      <c r="U455" s="777"/>
      <c r="V455" s="777"/>
    </row>
    <row r="456" spans="1:22" x14ac:dyDescent="0.25">
      <c r="A456" s="777"/>
      <c r="B456" s="777"/>
      <c r="C456" s="777"/>
      <c r="D456" s="777"/>
      <c r="E456" s="777"/>
      <c r="F456" s="777"/>
      <c r="G456" s="777"/>
      <c r="H456" s="777"/>
      <c r="I456" s="777"/>
      <c r="J456" s="777"/>
      <c r="K456" s="777"/>
      <c r="L456" s="777"/>
      <c r="M456" s="777"/>
      <c r="N456" s="777"/>
      <c r="O456" s="777"/>
      <c r="P456" s="777"/>
      <c r="Q456" s="777"/>
      <c r="R456" s="777"/>
      <c r="S456" s="777"/>
      <c r="T456" s="777"/>
      <c r="U456" s="777"/>
      <c r="V456" s="777"/>
    </row>
    <row r="457" spans="1:22" x14ac:dyDescent="0.25">
      <c r="A457" s="777"/>
      <c r="B457" s="777"/>
      <c r="C457" s="777"/>
      <c r="D457" s="777"/>
      <c r="E457" s="777"/>
      <c r="F457" s="777"/>
      <c r="G457" s="777"/>
      <c r="H457" s="777"/>
      <c r="I457" s="777"/>
      <c r="J457" s="777"/>
      <c r="K457" s="777"/>
      <c r="L457" s="777"/>
      <c r="M457" s="777"/>
      <c r="N457" s="777"/>
      <c r="O457" s="777"/>
      <c r="P457" s="777"/>
      <c r="Q457" s="777"/>
      <c r="R457" s="777"/>
      <c r="S457" s="777"/>
      <c r="T457" s="777"/>
      <c r="U457" s="777"/>
      <c r="V457" s="777"/>
    </row>
    <row r="458" spans="1:22" x14ac:dyDescent="0.25">
      <c r="A458" s="777"/>
      <c r="B458" s="777"/>
      <c r="C458" s="777"/>
      <c r="D458" s="777"/>
      <c r="E458" s="777"/>
      <c r="F458" s="777"/>
      <c r="G458" s="777"/>
      <c r="H458" s="777"/>
      <c r="I458" s="777"/>
      <c r="J458" s="777"/>
      <c r="K458" s="777"/>
      <c r="L458" s="777"/>
      <c r="M458" s="777"/>
      <c r="N458" s="777"/>
      <c r="O458" s="777"/>
      <c r="P458" s="777"/>
      <c r="Q458" s="777"/>
      <c r="R458" s="777"/>
      <c r="S458" s="777"/>
      <c r="T458" s="777"/>
      <c r="U458" s="777"/>
      <c r="V458" s="777"/>
    </row>
    <row r="459" spans="1:22" x14ac:dyDescent="0.25">
      <c r="A459" s="777"/>
      <c r="B459" s="777"/>
      <c r="C459" s="777"/>
      <c r="D459" s="777"/>
      <c r="E459" s="777"/>
      <c r="F459" s="777"/>
      <c r="G459" s="777"/>
      <c r="H459" s="777"/>
      <c r="I459" s="777"/>
      <c r="J459" s="777"/>
      <c r="K459" s="777"/>
      <c r="L459" s="777"/>
      <c r="M459" s="777"/>
      <c r="N459" s="777"/>
      <c r="O459" s="777"/>
      <c r="P459" s="777"/>
      <c r="Q459" s="777"/>
      <c r="R459" s="777"/>
      <c r="S459" s="777"/>
      <c r="T459" s="777"/>
      <c r="U459" s="777"/>
      <c r="V459" s="777"/>
    </row>
    <row r="460" spans="1:22" x14ac:dyDescent="0.25">
      <c r="A460" s="777"/>
      <c r="B460" s="777"/>
      <c r="C460" s="777"/>
      <c r="D460" s="777"/>
      <c r="E460" s="777"/>
      <c r="F460" s="777"/>
      <c r="G460" s="777"/>
      <c r="H460" s="777"/>
      <c r="I460" s="777"/>
      <c r="J460" s="777"/>
      <c r="K460" s="777"/>
      <c r="L460" s="777"/>
      <c r="M460" s="777"/>
      <c r="N460" s="777"/>
      <c r="O460" s="777"/>
      <c r="P460" s="777"/>
      <c r="Q460" s="777"/>
      <c r="R460" s="777"/>
      <c r="S460" s="777"/>
      <c r="T460" s="777"/>
      <c r="U460" s="777"/>
      <c r="V460" s="777"/>
    </row>
    <row r="461" spans="1:22" x14ac:dyDescent="0.25">
      <c r="A461" s="777"/>
      <c r="B461" s="777"/>
      <c r="C461" s="777"/>
      <c r="D461" s="777"/>
      <c r="E461" s="777"/>
      <c r="F461" s="777"/>
      <c r="G461" s="777"/>
      <c r="H461" s="777"/>
      <c r="I461" s="777"/>
      <c r="J461" s="777"/>
      <c r="K461" s="777"/>
      <c r="L461" s="777"/>
      <c r="M461" s="777"/>
      <c r="N461" s="777"/>
      <c r="O461" s="777"/>
      <c r="P461" s="777"/>
      <c r="Q461" s="777"/>
      <c r="R461" s="777"/>
      <c r="S461" s="777"/>
      <c r="T461" s="777"/>
      <c r="U461" s="777"/>
      <c r="V461" s="777"/>
    </row>
    <row r="462" spans="1:22" x14ac:dyDescent="0.25">
      <c r="A462" s="777"/>
      <c r="B462" s="777"/>
      <c r="C462" s="777"/>
      <c r="D462" s="777"/>
      <c r="E462" s="777"/>
      <c r="F462" s="777"/>
      <c r="G462" s="777"/>
      <c r="H462" s="777"/>
      <c r="I462" s="777"/>
      <c r="J462" s="777"/>
      <c r="K462" s="777"/>
      <c r="L462" s="777"/>
      <c r="M462" s="777"/>
      <c r="N462" s="777"/>
      <c r="O462" s="777"/>
      <c r="P462" s="777"/>
      <c r="Q462" s="777"/>
      <c r="R462" s="777"/>
      <c r="S462" s="777"/>
      <c r="T462" s="777"/>
      <c r="U462" s="777"/>
      <c r="V462" s="777"/>
    </row>
    <row r="463" spans="1:22" x14ac:dyDescent="0.25">
      <c r="A463" s="777"/>
      <c r="B463" s="777"/>
      <c r="C463" s="777"/>
      <c r="D463" s="777"/>
      <c r="E463" s="777"/>
      <c r="F463" s="777"/>
      <c r="G463" s="777"/>
      <c r="H463" s="777"/>
      <c r="I463" s="777"/>
      <c r="J463" s="777"/>
      <c r="K463" s="777"/>
      <c r="L463" s="777"/>
      <c r="M463" s="777"/>
      <c r="N463" s="777"/>
      <c r="O463" s="777"/>
      <c r="P463" s="777"/>
      <c r="Q463" s="777"/>
      <c r="R463" s="777"/>
      <c r="S463" s="777"/>
      <c r="T463" s="777"/>
      <c r="U463" s="777"/>
      <c r="V463" s="777"/>
    </row>
    <row r="464" spans="1:22" x14ac:dyDescent="0.25">
      <c r="A464" s="777"/>
      <c r="B464" s="777"/>
      <c r="C464" s="777"/>
      <c r="D464" s="777"/>
      <c r="E464" s="777"/>
      <c r="F464" s="777"/>
      <c r="G464" s="777"/>
      <c r="H464" s="777"/>
      <c r="I464" s="777"/>
      <c r="J464" s="777"/>
      <c r="K464" s="777"/>
      <c r="L464" s="777"/>
      <c r="M464" s="777"/>
      <c r="N464" s="777"/>
      <c r="O464" s="777"/>
      <c r="P464" s="777"/>
      <c r="Q464" s="777"/>
      <c r="R464" s="777"/>
      <c r="S464" s="777"/>
      <c r="T464" s="777"/>
      <c r="U464" s="777"/>
      <c r="V464" s="777"/>
    </row>
    <row r="465" spans="1:22" x14ac:dyDescent="0.25">
      <c r="A465" s="777"/>
      <c r="B465" s="777"/>
      <c r="C465" s="777"/>
      <c r="D465" s="777"/>
      <c r="E465" s="777"/>
      <c r="F465" s="777"/>
      <c r="G465" s="777"/>
      <c r="H465" s="777"/>
      <c r="I465" s="777"/>
      <c r="J465" s="777"/>
      <c r="K465" s="777"/>
      <c r="L465" s="777"/>
      <c r="M465" s="777"/>
      <c r="N465" s="777"/>
      <c r="O465" s="777"/>
      <c r="P465" s="777"/>
      <c r="Q465" s="777"/>
      <c r="R465" s="777"/>
      <c r="S465" s="777"/>
      <c r="T465" s="777"/>
      <c r="U465" s="777"/>
      <c r="V465" s="777"/>
    </row>
    <row r="466" spans="1:22" x14ac:dyDescent="0.25">
      <c r="A466" s="777"/>
      <c r="B466" s="777"/>
      <c r="C466" s="777"/>
      <c r="D466" s="777"/>
      <c r="E466" s="777"/>
      <c r="F466" s="777"/>
      <c r="G466" s="777"/>
      <c r="H466" s="777"/>
      <c r="I466" s="777"/>
      <c r="J466" s="777"/>
      <c r="K466" s="777"/>
      <c r="L466" s="777"/>
      <c r="M466" s="777"/>
      <c r="N466" s="777"/>
      <c r="O466" s="777"/>
      <c r="P466" s="777"/>
      <c r="Q466" s="777"/>
      <c r="R466" s="777"/>
      <c r="S466" s="777"/>
      <c r="T466" s="777"/>
      <c r="U466" s="777"/>
      <c r="V466" s="777"/>
    </row>
    <row r="467" spans="1:22" x14ac:dyDescent="0.25">
      <c r="A467" s="777"/>
      <c r="B467" s="777"/>
      <c r="C467" s="777"/>
      <c r="D467" s="777"/>
      <c r="E467" s="777"/>
      <c r="F467" s="777"/>
      <c r="G467" s="777"/>
      <c r="H467" s="777"/>
      <c r="I467" s="777"/>
      <c r="J467" s="777"/>
      <c r="K467" s="777"/>
      <c r="L467" s="777"/>
      <c r="M467" s="777"/>
      <c r="N467" s="777"/>
      <c r="O467" s="777"/>
      <c r="P467" s="777"/>
      <c r="Q467" s="777"/>
      <c r="R467" s="777"/>
      <c r="S467" s="777"/>
      <c r="T467" s="777"/>
      <c r="U467" s="777"/>
      <c r="V467" s="777"/>
    </row>
    <row r="468" spans="1:22" x14ac:dyDescent="0.25">
      <c r="A468" s="777"/>
      <c r="B468" s="777"/>
      <c r="C468" s="777"/>
      <c r="D468" s="777"/>
      <c r="E468" s="777"/>
      <c r="F468" s="777"/>
      <c r="G468" s="777"/>
      <c r="H468" s="777"/>
      <c r="I468" s="777"/>
      <c r="J468" s="777"/>
      <c r="K468" s="777"/>
      <c r="L468" s="777"/>
      <c r="M468" s="777"/>
      <c r="N468" s="777"/>
      <c r="O468" s="777"/>
      <c r="P468" s="777"/>
      <c r="Q468" s="777"/>
      <c r="R468" s="777"/>
      <c r="S468" s="777"/>
      <c r="T468" s="777"/>
      <c r="U468" s="777"/>
      <c r="V468" s="777"/>
    </row>
    <row r="469" spans="1:22" x14ac:dyDescent="0.25">
      <c r="A469" s="777"/>
      <c r="B469" s="777"/>
      <c r="C469" s="777"/>
      <c r="D469" s="777"/>
      <c r="E469" s="777"/>
      <c r="F469" s="777"/>
      <c r="G469" s="777"/>
      <c r="H469" s="777"/>
      <c r="I469" s="777"/>
      <c r="J469" s="777"/>
      <c r="K469" s="777"/>
      <c r="L469" s="777"/>
      <c r="M469" s="777"/>
      <c r="N469" s="777"/>
      <c r="O469" s="777"/>
      <c r="P469" s="777"/>
      <c r="Q469" s="777"/>
      <c r="R469" s="777"/>
      <c r="S469" s="777"/>
      <c r="T469" s="777"/>
      <c r="U469" s="777"/>
      <c r="V469" s="777"/>
    </row>
    <row r="470" spans="1:22" x14ac:dyDescent="0.25">
      <c r="A470" s="777"/>
      <c r="B470" s="777"/>
      <c r="C470" s="777"/>
      <c r="D470" s="777"/>
      <c r="E470" s="777"/>
      <c r="F470" s="777"/>
      <c r="G470" s="777"/>
      <c r="H470" s="777"/>
      <c r="I470" s="777"/>
      <c r="J470" s="777"/>
      <c r="K470" s="777"/>
      <c r="L470" s="777"/>
      <c r="M470" s="777"/>
      <c r="N470" s="777"/>
      <c r="O470" s="777"/>
      <c r="P470" s="777"/>
      <c r="Q470" s="777"/>
      <c r="R470" s="777"/>
      <c r="S470" s="777"/>
      <c r="T470" s="777"/>
      <c r="U470" s="777"/>
      <c r="V470" s="777"/>
    </row>
    <row r="471" spans="1:22" x14ac:dyDescent="0.25">
      <c r="A471" s="777"/>
      <c r="B471" s="777"/>
      <c r="C471" s="777"/>
      <c r="D471" s="777"/>
      <c r="E471" s="777"/>
      <c r="F471" s="777"/>
      <c r="G471" s="777"/>
      <c r="H471" s="777"/>
      <c r="I471" s="777"/>
      <c r="J471" s="777"/>
      <c r="K471" s="777"/>
      <c r="L471" s="777"/>
      <c r="M471" s="777"/>
      <c r="N471" s="777"/>
      <c r="O471" s="777"/>
      <c r="P471" s="777"/>
      <c r="Q471" s="777"/>
      <c r="R471" s="777"/>
      <c r="S471" s="777"/>
      <c r="T471" s="777"/>
      <c r="U471" s="777"/>
      <c r="V471" s="777"/>
    </row>
    <row r="472" spans="1:22" x14ac:dyDescent="0.25">
      <c r="A472" s="777"/>
      <c r="B472" s="777"/>
      <c r="C472" s="777"/>
      <c r="D472" s="777"/>
      <c r="E472" s="777"/>
      <c r="F472" s="777"/>
      <c r="G472" s="777"/>
      <c r="H472" s="777"/>
      <c r="I472" s="777"/>
      <c r="J472" s="777"/>
      <c r="K472" s="777"/>
      <c r="L472" s="777"/>
      <c r="M472" s="777"/>
      <c r="N472" s="777"/>
      <c r="O472" s="777"/>
      <c r="P472" s="777"/>
      <c r="Q472" s="777"/>
      <c r="R472" s="777"/>
      <c r="S472" s="777"/>
      <c r="T472" s="777"/>
      <c r="U472" s="777"/>
      <c r="V472" s="777"/>
    </row>
    <row r="473" spans="1:22" x14ac:dyDescent="0.25">
      <c r="A473" s="777"/>
      <c r="B473" s="777"/>
      <c r="C473" s="777"/>
      <c r="D473" s="777"/>
      <c r="E473" s="777"/>
      <c r="F473" s="777"/>
      <c r="G473" s="777"/>
      <c r="H473" s="777"/>
      <c r="I473" s="777"/>
      <c r="J473" s="777"/>
      <c r="K473" s="777"/>
      <c r="L473" s="777"/>
      <c r="M473" s="777"/>
      <c r="N473" s="777"/>
      <c r="O473" s="777"/>
      <c r="P473" s="777"/>
      <c r="Q473" s="777"/>
      <c r="R473" s="777"/>
      <c r="S473" s="777"/>
      <c r="T473" s="777"/>
      <c r="U473" s="777"/>
      <c r="V473" s="777"/>
    </row>
    <row r="474" spans="1:22" x14ac:dyDescent="0.25">
      <c r="A474" s="777"/>
      <c r="B474" s="777"/>
      <c r="C474" s="777"/>
      <c r="D474" s="777"/>
      <c r="E474" s="777"/>
      <c r="F474" s="777"/>
      <c r="G474" s="777"/>
      <c r="H474" s="777"/>
      <c r="I474" s="777"/>
      <c r="J474" s="777"/>
      <c r="K474" s="777"/>
      <c r="L474" s="777"/>
      <c r="M474" s="777"/>
      <c r="N474" s="777"/>
      <c r="O474" s="777"/>
      <c r="P474" s="777"/>
      <c r="Q474" s="777"/>
      <c r="R474" s="777"/>
      <c r="S474" s="777"/>
      <c r="T474" s="777"/>
      <c r="U474" s="777"/>
      <c r="V474" s="777"/>
    </row>
    <row r="475" spans="1:22" x14ac:dyDescent="0.25">
      <c r="A475" s="777"/>
      <c r="B475" s="777"/>
      <c r="C475" s="777"/>
      <c r="D475" s="777"/>
      <c r="E475" s="777"/>
      <c r="F475" s="777"/>
      <c r="G475" s="777"/>
      <c r="H475" s="777"/>
      <c r="I475" s="777"/>
      <c r="J475" s="777"/>
      <c r="K475" s="777"/>
      <c r="L475" s="777"/>
      <c r="M475" s="777"/>
      <c r="N475" s="777"/>
      <c r="O475" s="777"/>
      <c r="P475" s="777"/>
      <c r="Q475" s="777"/>
      <c r="R475" s="777"/>
      <c r="S475" s="777"/>
      <c r="T475" s="777"/>
      <c r="U475" s="777"/>
      <c r="V475" s="777"/>
    </row>
    <row r="476" spans="1:22" x14ac:dyDescent="0.25">
      <c r="A476" s="777"/>
      <c r="B476" s="777"/>
      <c r="C476" s="777"/>
      <c r="D476" s="777"/>
      <c r="E476" s="777"/>
      <c r="F476" s="777"/>
      <c r="G476" s="777"/>
      <c r="H476" s="777"/>
      <c r="I476" s="777"/>
      <c r="J476" s="777"/>
      <c r="K476" s="777"/>
      <c r="L476" s="777"/>
      <c r="M476" s="777"/>
      <c r="N476" s="777"/>
      <c r="O476" s="777"/>
      <c r="P476" s="777"/>
      <c r="Q476" s="777"/>
      <c r="R476" s="777"/>
      <c r="S476" s="777"/>
      <c r="T476" s="777"/>
      <c r="U476" s="777"/>
      <c r="V476" s="777"/>
    </row>
    <row r="477" spans="1:22" x14ac:dyDescent="0.25">
      <c r="A477" s="777"/>
      <c r="B477" s="777"/>
      <c r="C477" s="777"/>
      <c r="D477" s="777"/>
      <c r="E477" s="777"/>
      <c r="F477" s="777"/>
      <c r="G477" s="777"/>
      <c r="H477" s="777"/>
      <c r="I477" s="777"/>
      <c r="J477" s="777"/>
      <c r="K477" s="777"/>
      <c r="L477" s="777"/>
      <c r="M477" s="777"/>
      <c r="N477" s="777"/>
      <c r="O477" s="777"/>
      <c r="P477" s="777"/>
      <c r="Q477" s="777"/>
      <c r="R477" s="777"/>
      <c r="S477" s="777"/>
      <c r="T477" s="777"/>
      <c r="U477" s="777"/>
      <c r="V477" s="777"/>
    </row>
    <row r="478" spans="1:22" x14ac:dyDescent="0.25">
      <c r="A478" s="777"/>
      <c r="B478" s="777"/>
      <c r="C478" s="777"/>
      <c r="D478" s="777"/>
      <c r="E478" s="777"/>
      <c r="F478" s="777"/>
      <c r="G478" s="777"/>
      <c r="H478" s="777"/>
      <c r="I478" s="777"/>
      <c r="J478" s="777"/>
      <c r="K478" s="777"/>
      <c r="L478" s="777"/>
      <c r="M478" s="777"/>
      <c r="N478" s="777"/>
      <c r="O478" s="777"/>
      <c r="P478" s="777"/>
      <c r="Q478" s="777"/>
      <c r="R478" s="777"/>
      <c r="S478" s="777"/>
      <c r="T478" s="777"/>
      <c r="U478" s="777"/>
      <c r="V478" s="777"/>
    </row>
    <row r="479" spans="1:22" x14ac:dyDescent="0.25">
      <c r="A479" s="777"/>
      <c r="B479" s="777"/>
      <c r="C479" s="777"/>
      <c r="D479" s="777"/>
      <c r="E479" s="777"/>
      <c r="F479" s="777"/>
      <c r="G479" s="777"/>
      <c r="H479" s="777"/>
      <c r="I479" s="777"/>
      <c r="J479" s="777"/>
      <c r="K479" s="777"/>
      <c r="L479" s="777"/>
      <c r="M479" s="777"/>
      <c r="N479" s="777"/>
      <c r="O479" s="777"/>
      <c r="P479" s="777"/>
      <c r="Q479" s="777"/>
      <c r="R479" s="777"/>
      <c r="S479" s="777"/>
      <c r="T479" s="777"/>
      <c r="U479" s="777"/>
      <c r="V479" s="777"/>
    </row>
    <row r="480" spans="1:22" x14ac:dyDescent="0.25">
      <c r="A480" s="777"/>
      <c r="B480" s="777"/>
      <c r="C480" s="777"/>
      <c r="D480" s="777"/>
      <c r="E480" s="777"/>
      <c r="F480" s="777"/>
      <c r="G480" s="777"/>
      <c r="H480" s="777"/>
      <c r="I480" s="777"/>
      <c r="J480" s="777"/>
      <c r="K480" s="777"/>
      <c r="L480" s="777"/>
      <c r="M480" s="777"/>
      <c r="N480" s="777"/>
      <c r="O480" s="777"/>
      <c r="P480" s="777"/>
      <c r="Q480" s="777"/>
      <c r="R480" s="777"/>
      <c r="S480" s="777"/>
      <c r="T480" s="777"/>
      <c r="U480" s="777"/>
      <c r="V480" s="777"/>
    </row>
    <row r="481" spans="1:22" x14ac:dyDescent="0.25">
      <c r="A481" s="777"/>
      <c r="B481" s="777"/>
      <c r="C481" s="777"/>
      <c r="D481" s="777"/>
      <c r="E481" s="777"/>
      <c r="F481" s="777"/>
      <c r="G481" s="777"/>
      <c r="H481" s="777"/>
      <c r="I481" s="777"/>
      <c r="J481" s="777"/>
      <c r="K481" s="777"/>
      <c r="L481" s="777"/>
      <c r="M481" s="777"/>
      <c r="N481" s="777"/>
      <c r="O481" s="777"/>
      <c r="P481" s="777"/>
      <c r="Q481" s="777"/>
      <c r="R481" s="777"/>
      <c r="S481" s="777"/>
      <c r="T481" s="777"/>
      <c r="U481" s="777"/>
      <c r="V481" s="777"/>
    </row>
    <row r="482" spans="1:22" x14ac:dyDescent="0.25">
      <c r="A482" s="777"/>
      <c r="B482" s="777"/>
      <c r="C482" s="777"/>
      <c r="D482" s="777"/>
      <c r="E482" s="777"/>
      <c r="F482" s="777"/>
      <c r="G482" s="777"/>
      <c r="H482" s="777"/>
      <c r="I482" s="777"/>
      <c r="J482" s="777"/>
      <c r="K482" s="777"/>
      <c r="L482" s="777"/>
      <c r="M482" s="777"/>
      <c r="N482" s="777"/>
      <c r="O482" s="777"/>
      <c r="P482" s="777"/>
      <c r="Q482" s="777"/>
      <c r="R482" s="777"/>
      <c r="S482" s="777"/>
      <c r="T482" s="777"/>
      <c r="U482" s="777"/>
      <c r="V482" s="777"/>
    </row>
    <row r="483" spans="1:22" x14ac:dyDescent="0.25">
      <c r="A483" s="777"/>
      <c r="B483" s="777"/>
      <c r="C483" s="777"/>
      <c r="D483" s="777"/>
      <c r="E483" s="777"/>
      <c r="F483" s="777"/>
      <c r="G483" s="777"/>
      <c r="H483" s="777"/>
      <c r="I483" s="777"/>
      <c r="J483" s="777"/>
      <c r="K483" s="777"/>
      <c r="L483" s="777"/>
      <c r="M483" s="777"/>
      <c r="N483" s="777"/>
      <c r="O483" s="777"/>
      <c r="P483" s="777"/>
      <c r="Q483" s="777"/>
      <c r="R483" s="777"/>
      <c r="S483" s="777"/>
      <c r="T483" s="777"/>
      <c r="U483" s="777"/>
      <c r="V483" s="777"/>
    </row>
    <row r="484" spans="1:22" x14ac:dyDescent="0.25">
      <c r="A484" s="777"/>
      <c r="B484" s="777"/>
      <c r="C484" s="777"/>
      <c r="D484" s="777"/>
      <c r="E484" s="777"/>
      <c r="F484" s="777"/>
      <c r="G484" s="777"/>
      <c r="H484" s="777"/>
      <c r="I484" s="777"/>
      <c r="J484" s="777"/>
      <c r="K484" s="777"/>
      <c r="L484" s="777"/>
      <c r="M484" s="777"/>
      <c r="N484" s="777"/>
      <c r="O484" s="777"/>
      <c r="P484" s="777"/>
      <c r="Q484" s="777"/>
      <c r="R484" s="777"/>
      <c r="S484" s="777"/>
      <c r="T484" s="777"/>
      <c r="U484" s="777"/>
      <c r="V484" s="777"/>
    </row>
    <row r="485" spans="1:22" x14ac:dyDescent="0.25">
      <c r="A485" s="777"/>
      <c r="B485" s="777"/>
      <c r="C485" s="777"/>
      <c r="D485" s="777"/>
      <c r="E485" s="777"/>
      <c r="F485" s="777"/>
      <c r="G485" s="777"/>
      <c r="H485" s="777"/>
      <c r="I485" s="777"/>
      <c r="J485" s="777"/>
      <c r="K485" s="777"/>
      <c r="L485" s="777"/>
      <c r="M485" s="777"/>
      <c r="N485" s="777"/>
      <c r="O485" s="777"/>
      <c r="P485" s="777"/>
      <c r="Q485" s="777"/>
      <c r="R485" s="777"/>
      <c r="S485" s="777"/>
      <c r="T485" s="777"/>
      <c r="U485" s="777"/>
      <c r="V485" s="777"/>
    </row>
    <row r="486" spans="1:22" x14ac:dyDescent="0.25">
      <c r="A486" s="777"/>
      <c r="B486" s="777"/>
      <c r="C486" s="777"/>
      <c r="D486" s="777"/>
      <c r="E486" s="777"/>
      <c r="F486" s="777"/>
      <c r="G486" s="777"/>
      <c r="H486" s="777"/>
      <c r="I486" s="777"/>
      <c r="J486" s="777"/>
      <c r="K486" s="777"/>
      <c r="L486" s="777"/>
      <c r="M486" s="777"/>
      <c r="N486" s="777"/>
      <c r="O486" s="777"/>
      <c r="P486" s="777"/>
      <c r="Q486" s="777"/>
      <c r="R486" s="777"/>
      <c r="S486" s="777"/>
      <c r="T486" s="777"/>
      <c r="U486" s="777"/>
      <c r="V486" s="777"/>
    </row>
  </sheetData>
  <mergeCells count="4">
    <mergeCell ref="A1:G1"/>
    <mergeCell ref="A4:G4"/>
    <mergeCell ref="H4:J4"/>
    <mergeCell ref="K4:N4"/>
  </mergeCells>
  <conditionalFormatting sqref="A32:C32">
    <cfRule type="expression" dxfId="4" priority="16">
      <formula>#REF!="Ecolibrium"</formula>
    </cfRule>
  </conditionalFormatting>
  <conditionalFormatting sqref="D32:E32">
    <cfRule type="expression" dxfId="3" priority="9">
      <formula>#REF!="Ecolibrium"</formula>
    </cfRule>
  </conditionalFormatting>
  <conditionalFormatting sqref="A7:N8">
    <cfRule type="expression" dxfId="2" priority="3">
      <formula>$G$30="YES"</formula>
    </cfRule>
  </conditionalFormatting>
  <conditionalFormatting sqref="A9:N9">
    <cfRule type="expression" dxfId="1" priority="2">
      <formula>$G$31="NO"</formula>
    </cfRule>
  </conditionalFormatting>
  <conditionalFormatting sqref="A6:N6">
    <cfRule type="expression" dxfId="0"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876" customWidth="1"/>
    <col min="2" max="2" width="29.75" style="876" customWidth="1"/>
    <col min="3" max="3" width="13.875" style="876" bestFit="1" customWidth="1"/>
    <col min="4" max="4" width="8.375" style="876" customWidth="1"/>
    <col min="5" max="5" width="11.25" style="876" customWidth="1"/>
    <col min="6" max="6" width="13" style="876" customWidth="1"/>
    <col min="7" max="7" width="9.125" style="876" customWidth="1"/>
    <col min="8" max="16384" width="8.75" style="876"/>
  </cols>
  <sheetData>
    <row r="1" spans="1:7" ht="47.25" x14ac:dyDescent="0.6">
      <c r="A1" s="874"/>
      <c r="B1" s="875"/>
      <c r="C1" s="1120" t="s">
        <v>195</v>
      </c>
      <c r="D1" s="1120"/>
      <c r="E1" s="1120"/>
      <c r="F1" s="1120"/>
    </row>
    <row r="2" spans="1:7" ht="15" x14ac:dyDescent="0.25">
      <c r="A2" s="918"/>
      <c r="B2" s="919"/>
      <c r="C2" s="877"/>
      <c r="D2" s="877"/>
      <c r="E2" s="877"/>
      <c r="F2" s="877"/>
    </row>
    <row r="3" spans="1:7" ht="12.75" customHeight="1" x14ac:dyDescent="0.2">
      <c r="A3" s="1038" t="s">
        <v>253</v>
      </c>
      <c r="C3" s="878" t="s">
        <v>254</v>
      </c>
      <c r="D3" s="1121"/>
      <c r="E3" s="1121"/>
      <c r="F3" s="1121"/>
      <c r="G3" s="879" t="s">
        <v>255</v>
      </c>
    </row>
    <row r="4" spans="1:7" ht="12.75" customHeight="1" x14ac:dyDescent="0.2">
      <c r="A4" s="1038" t="s">
        <v>256</v>
      </c>
      <c r="C4" s="878" t="s">
        <v>257</v>
      </c>
      <c r="D4" s="1121">
        <f ca="1">TODAY()</f>
        <v>42649</v>
      </c>
      <c r="E4" s="1121"/>
      <c r="F4" s="1121"/>
    </row>
    <row r="5" spans="1:7" ht="12.75" customHeight="1" x14ac:dyDescent="0.2">
      <c r="A5" s="1038" t="s">
        <v>258</v>
      </c>
      <c r="C5" s="878" t="s">
        <v>259</v>
      </c>
      <c r="D5" s="1121">
        <f ca="1">D4+30</f>
        <v>42679</v>
      </c>
      <c r="E5" s="1121"/>
      <c r="F5" s="1121"/>
    </row>
    <row r="6" spans="1:7" x14ac:dyDescent="0.2">
      <c r="A6" s="1039" t="s">
        <v>260</v>
      </c>
      <c r="C6" s="878" t="s">
        <v>261</v>
      </c>
      <c r="D6" s="1131" t="str">
        <f>'1-Eng Inputs'!B6</f>
        <v>Hannah Solar</v>
      </c>
      <c r="E6" s="1131"/>
      <c r="F6" s="1131"/>
    </row>
    <row r="7" spans="1:7" ht="12.75" customHeight="1" x14ac:dyDescent="0.2">
      <c r="A7" s="880"/>
      <c r="B7" s="880"/>
      <c r="C7" s="880"/>
      <c r="D7" s="880"/>
      <c r="E7" s="880"/>
    </row>
    <row r="8" spans="1:7" ht="12.75" customHeight="1" x14ac:dyDescent="0.2">
      <c r="D8" s="880"/>
    </row>
    <row r="9" spans="1:7" x14ac:dyDescent="0.2">
      <c r="A9" s="881"/>
      <c r="B9" s="881"/>
      <c r="C9" s="881"/>
      <c r="D9" s="881"/>
      <c r="E9" s="881"/>
      <c r="F9" s="882"/>
    </row>
    <row r="10" spans="1:7" ht="12.75" customHeight="1" x14ac:dyDescent="0.2">
      <c r="A10" s="883" t="s">
        <v>262</v>
      </c>
      <c r="B10" s="1037"/>
      <c r="C10" s="920" t="s">
        <v>263</v>
      </c>
      <c r="D10" s="1123" t="s">
        <v>264</v>
      </c>
      <c r="E10" s="1124"/>
      <c r="F10" s="1125"/>
      <c r="G10" s="884"/>
    </row>
    <row r="11" spans="1:7" ht="15" customHeight="1" x14ac:dyDescent="0.2">
      <c r="A11" s="885" t="str">
        <f>'1-Eng Inputs'!B4</f>
        <v>Ted Bleecker</v>
      </c>
      <c r="B11" s="1036"/>
      <c r="C11" s="921" t="s">
        <v>265</v>
      </c>
      <c r="D11" s="1126" t="s">
        <v>266</v>
      </c>
      <c r="E11" s="1127"/>
      <c r="F11" s="1128"/>
      <c r="G11" s="884"/>
    </row>
    <row r="12" spans="1:7" x14ac:dyDescent="0.2">
      <c r="A12" s="886"/>
      <c r="B12" s="886"/>
      <c r="C12" s="886"/>
      <c r="D12" s="886"/>
      <c r="E12" s="886"/>
      <c r="F12" s="886"/>
    </row>
    <row r="13" spans="1:7" ht="15" customHeight="1" x14ac:dyDescent="0.2">
      <c r="A13" s="922" t="s">
        <v>199</v>
      </c>
      <c r="B13" s="1129"/>
      <c r="C13" s="1130"/>
      <c r="D13" s="887" t="s">
        <v>202</v>
      </c>
      <c r="E13" s="883" t="s">
        <v>267</v>
      </c>
      <c r="F13" s="883" t="s">
        <v>268</v>
      </c>
      <c r="G13" s="884"/>
    </row>
    <row r="14" spans="1:7" x14ac:dyDescent="0.2">
      <c r="A14" s="923" t="str">
        <f>IF('2-Quote Inputs'!F6=0,"",'2-Quote Inputs'!C6)</f>
        <v>ES11236</v>
      </c>
      <c r="B14" s="929" t="str">
        <f>IF('2-Quote Inputs'!F6=0,"",'2-Quote Inputs'!A6)</f>
        <v>ECOFOOT3 10° BASE ASSEMBLY</v>
      </c>
      <c r="C14" s="924"/>
      <c r="D14" s="888">
        <f>IF('2-Quote Inputs'!F6=0,"",'2-Quote Inputs'!F6)</f>
        <v>744</v>
      </c>
      <c r="E14" s="930">
        <f>IF('2-Quote Inputs'!F6=0,"",'2-Quote Inputs'!E6)</f>
        <v>36.26</v>
      </c>
      <c r="F14" s="889">
        <f>IF(D14="","",D14*E14)</f>
        <v>26977.439999999999</v>
      </c>
      <c r="G14" s="884"/>
    </row>
    <row r="15" spans="1:7" ht="12.75" customHeight="1" x14ac:dyDescent="0.2">
      <c r="A15" s="923" t="str">
        <f>IF('2-Quote Inputs'!F7=0,"",'2-Quote Inputs'!C7)</f>
        <v/>
      </c>
      <c r="B15" s="929" t="str">
        <f>IF('2-Quote Inputs'!F7=0,"",'2-Quote Inputs'!A7)</f>
        <v/>
      </c>
      <c r="C15" s="924"/>
      <c r="D15" s="888" t="str">
        <f>IF('2-Quote Inputs'!F7=0,"",'2-Quote Inputs'!F7)</f>
        <v/>
      </c>
      <c r="E15" s="930" t="str">
        <f>IF('2-Quote Inputs'!F7=0,"",'2-Quote Inputs'!E7)</f>
        <v/>
      </c>
      <c r="F15" s="889" t="str">
        <f t="shared" ref="F15:F28" si="0">IF(D15="","",D15*E15)</f>
        <v/>
      </c>
      <c r="G15" s="884"/>
    </row>
    <row r="16" spans="1:7" ht="12.75" customHeight="1" x14ac:dyDescent="0.2">
      <c r="A16" s="923" t="str">
        <f>IF('2-Quote Inputs'!F8=0,"",'2-Quote Inputs'!C8)</f>
        <v/>
      </c>
      <c r="B16" s="929" t="str">
        <f>IF('2-Quote Inputs'!F8=0,"",'2-Quote Inputs'!A8)</f>
        <v/>
      </c>
      <c r="C16" s="924"/>
      <c r="D16" s="888" t="str">
        <f>IF('2-Quote Inputs'!F8=0,"",'2-Quote Inputs'!F8)</f>
        <v/>
      </c>
      <c r="E16" s="930" t="str">
        <f>IF('2-Quote Inputs'!F8=0,"",'2-Quote Inputs'!E8)</f>
        <v/>
      </c>
      <c r="F16" s="889" t="str">
        <f t="shared" si="0"/>
        <v/>
      </c>
      <c r="G16" s="884"/>
    </row>
    <row r="17" spans="1:7" ht="12.75" customHeight="1" x14ac:dyDescent="0.2">
      <c r="A17" s="923" t="str">
        <f>IF('2-Quote Inputs'!F9=0,"",'2-Quote Inputs'!C9)</f>
        <v>ES11232</v>
      </c>
      <c r="B17" s="929" t="str">
        <f>IF('2-Quote Inputs'!F9=0,"",'2-Quote Inputs'!A9)</f>
        <v>ECOFOOT3 BALLAST PAN</v>
      </c>
      <c r="C17" s="924"/>
      <c r="D17" s="888">
        <f>IF('2-Quote Inputs'!F9=0,"",'2-Quote Inputs'!F9)</f>
        <v>744</v>
      </c>
      <c r="E17" s="930">
        <f>IF('2-Quote Inputs'!F9=0,"",'2-Quote Inputs'!E9)</f>
        <v>2.82</v>
      </c>
      <c r="F17" s="889">
        <f t="shared" si="0"/>
        <v>2098.08</v>
      </c>
      <c r="G17" s="884"/>
    </row>
    <row r="18" spans="1:7" x14ac:dyDescent="0.2">
      <c r="A18" s="923" t="str">
        <f>IF('2-Quote Inputs'!F10=0,"",'2-Quote Inputs'!C10)</f>
        <v/>
      </c>
      <c r="B18" s="929" t="str">
        <f>IF('2-Quote Inputs'!F10=0,"",'2-Quote Inputs'!A10)</f>
        <v/>
      </c>
      <c r="C18" s="924"/>
      <c r="D18" s="888" t="str">
        <f>IF('2-Quote Inputs'!F10=0,"",'2-Quote Inputs'!F10)</f>
        <v/>
      </c>
      <c r="E18" s="930" t="str">
        <f>IF('2-Quote Inputs'!F10=0,"",'2-Quote Inputs'!E10)</f>
        <v/>
      </c>
      <c r="F18" s="889" t="str">
        <f t="shared" si="0"/>
        <v/>
      </c>
      <c r="G18" s="884"/>
    </row>
    <row r="19" spans="1:7" x14ac:dyDescent="0.2">
      <c r="A19" s="923" t="str">
        <f>IF('2-Quote Inputs'!F11=0,"",'2-Quote Inputs'!C11)</f>
        <v/>
      </c>
      <c r="B19" s="929" t="str">
        <f>IF('2-Quote Inputs'!F11=0,"",'2-Quote Inputs'!A11)</f>
        <v/>
      </c>
      <c r="C19" s="924"/>
      <c r="D19" s="888" t="str">
        <f>IF('2-Quote Inputs'!F11=0,"",'2-Quote Inputs'!F11)</f>
        <v/>
      </c>
      <c r="E19" s="930" t="str">
        <f>IF('2-Quote Inputs'!F11=0,"",'2-Quote Inputs'!E11)</f>
        <v/>
      </c>
      <c r="F19" s="889" t="str">
        <f t="shared" si="0"/>
        <v/>
      </c>
      <c r="G19" s="884"/>
    </row>
    <row r="20" spans="1:7" ht="12.75" customHeight="1" x14ac:dyDescent="0.2">
      <c r="A20" s="923" t="str">
        <f>IF('2-Quote Inputs'!F12=0,"",'2-Quote Inputs'!C12)</f>
        <v/>
      </c>
      <c r="B20" s="929" t="str">
        <f>IF('2-Quote Inputs'!F12=0,"",'2-Quote Inputs'!A12)</f>
        <v/>
      </c>
      <c r="C20" s="924"/>
      <c r="D20" s="888" t="str">
        <f>IF('2-Quote Inputs'!F12=0,"",'2-Quote Inputs'!F12)</f>
        <v/>
      </c>
      <c r="E20" s="930" t="str">
        <f>IF('2-Quote Inputs'!F12=0,"",'2-Quote Inputs'!E12)</f>
        <v/>
      </c>
      <c r="F20" s="889" t="str">
        <f t="shared" si="0"/>
        <v/>
      </c>
      <c r="G20" s="884"/>
    </row>
    <row r="21" spans="1:7" ht="12.75" customHeight="1" x14ac:dyDescent="0.2">
      <c r="A21" s="923" t="str">
        <f>IF('2-Quote Inputs'!F13=0,"",'2-Quote Inputs'!C13)</f>
        <v/>
      </c>
      <c r="B21" s="929" t="str">
        <f>IF('2-Quote Inputs'!F13=0,"",'2-Quote Inputs'!A13)</f>
        <v/>
      </c>
      <c r="C21" s="924"/>
      <c r="D21" s="888" t="str">
        <f>IF('2-Quote Inputs'!F13=0,"",'2-Quote Inputs'!F13)</f>
        <v/>
      </c>
      <c r="E21" s="930" t="str">
        <f>IF('2-Quote Inputs'!F13=0,"",'2-Quote Inputs'!E13)</f>
        <v/>
      </c>
      <c r="F21" s="889" t="str">
        <f t="shared" si="0"/>
        <v/>
      </c>
      <c r="G21" s="884"/>
    </row>
    <row r="22" spans="1:7" ht="12.75" customHeight="1" x14ac:dyDescent="0.2">
      <c r="A22" s="923" t="str">
        <f>IF('2-Quote Inputs'!F14=0,"",'2-Quote Inputs'!C14)</f>
        <v/>
      </c>
      <c r="B22" s="929" t="str">
        <f>IF('2-Quote Inputs'!F14=0,"",'2-Quote Inputs'!A14)</f>
        <v/>
      </c>
      <c r="C22" s="924"/>
      <c r="D22" s="888" t="str">
        <f>IF('2-Quote Inputs'!F14=0,"",'2-Quote Inputs'!F14)</f>
        <v/>
      </c>
      <c r="E22" s="930" t="str">
        <f>IF('2-Quote Inputs'!F14=0,"",'2-Quote Inputs'!E14)</f>
        <v/>
      </c>
      <c r="F22" s="889" t="str">
        <f t="shared" si="0"/>
        <v/>
      </c>
      <c r="G22" s="884"/>
    </row>
    <row r="23" spans="1:7" ht="12.75" customHeight="1" x14ac:dyDescent="0.2">
      <c r="A23" s="923" t="str">
        <f>IF('2-Quote Inputs'!F15=0,"",'2-Quote Inputs'!C15)</f>
        <v>ES11073-CP</v>
      </c>
      <c r="B23" s="929" t="str">
        <f>IF('2-Quote Inputs'!F15=0,"",'2-Quote Inputs'!A15)</f>
        <v>60 Cell Landscape Wind Deflector</v>
      </c>
      <c r="C23" s="924"/>
      <c r="D23" s="888">
        <f>IF('2-Quote Inputs'!F15=0,"",'2-Quote Inputs'!F15)</f>
        <v>595</v>
      </c>
      <c r="E23" s="930">
        <f>IF('2-Quote Inputs'!F15=0,"",'2-Quote Inputs'!E15)</f>
        <v>8.23</v>
      </c>
      <c r="F23" s="889">
        <f t="shared" si="0"/>
        <v>4896.8500000000004</v>
      </c>
      <c r="G23" s="884"/>
    </row>
    <row r="24" spans="1:7" ht="12.75" customHeight="1" x14ac:dyDescent="0.2">
      <c r="A24" s="923" t="str">
        <f>IF('2-Quote Inputs'!F16=0,"",'2-Quote Inputs'!C16)</f>
        <v>ES61022-CP</v>
      </c>
      <c r="B24" s="929" t="str">
        <f>IF('2-Quote Inputs'!F16=0,"",'2-Quote Inputs'!A16)</f>
        <v>Wind Deflector Bracket</v>
      </c>
      <c r="C24" s="924"/>
      <c r="D24" s="888">
        <f>IF('2-Quote Inputs'!F16=0,"",'2-Quote Inputs'!F16)</f>
        <v>1190</v>
      </c>
      <c r="E24" s="930">
        <f>IF('2-Quote Inputs'!F16=0,"",'2-Quote Inputs'!E16)</f>
        <v>0</v>
      </c>
      <c r="F24" s="889">
        <f t="shared" si="0"/>
        <v>0</v>
      </c>
      <c r="G24" s="884"/>
    </row>
    <row r="25" spans="1:7" ht="12.75" customHeight="1" x14ac:dyDescent="0.2">
      <c r="A25" s="923" t="str">
        <f>IF('2-Quote Inputs'!F17=0,"",'2-Quote Inputs'!C17)</f>
        <v/>
      </c>
      <c r="B25" s="929" t="str">
        <f>IF('2-Quote Inputs'!F17=0,"",'2-Quote Inputs'!A17)</f>
        <v/>
      </c>
      <c r="C25" s="924"/>
      <c r="D25" s="888" t="str">
        <f>IF('2-Quote Inputs'!F17=0,"",'2-Quote Inputs'!F17)</f>
        <v/>
      </c>
      <c r="E25" s="930" t="str">
        <f>IF('2-Quote Inputs'!F17=0,"",'2-Quote Inputs'!E17)</f>
        <v/>
      </c>
      <c r="F25" s="889" t="str">
        <f t="shared" si="0"/>
        <v/>
      </c>
      <c r="G25" s="884"/>
    </row>
    <row r="26" spans="1:7" ht="12.75" customHeight="1" x14ac:dyDescent="0.2">
      <c r="A26" s="923" t="s">
        <v>208</v>
      </c>
      <c r="B26" s="929"/>
      <c r="C26" s="924"/>
      <c r="D26" s="888">
        <f>IF('2-Quote Inputs'!F18=0,"",'2-Quote Inputs'!F18)</f>
        <v>1</v>
      </c>
      <c r="E26" s="930" t="e">
        <f>IF('2-Quote Inputs'!F18=0,"",'2-Quote Inputs'!E18)</f>
        <v>#REF!</v>
      </c>
      <c r="F26" s="889" t="e">
        <f t="shared" si="0"/>
        <v>#REF!</v>
      </c>
      <c r="G26" s="884"/>
    </row>
    <row r="27" spans="1:7" ht="12.75" customHeight="1" x14ac:dyDescent="0.2">
      <c r="A27" s="923" t="str">
        <f>IF('2-Quote Inputs'!F19=0,"",'2-Quote Inputs'!C19)</f>
        <v/>
      </c>
      <c r="B27" s="929" t="str">
        <f>IF('2-Quote Inputs'!F19=0,"",'2-Quote Inputs'!A19)</f>
        <v/>
      </c>
      <c r="C27" s="924"/>
      <c r="D27" s="888" t="str">
        <f>IF('2-Quote Inputs'!F19=0,"",'2-Quote Inputs'!F19)</f>
        <v/>
      </c>
      <c r="E27" s="930" t="str">
        <f>IF('2-Quote Inputs'!F19=0,"",'2-Quote Inputs'!E19)</f>
        <v/>
      </c>
      <c r="F27" s="889" t="str">
        <f t="shared" si="0"/>
        <v/>
      </c>
      <c r="G27" s="884"/>
    </row>
    <row r="28" spans="1:7" x14ac:dyDescent="0.2">
      <c r="A28" s="923" t="str">
        <f>IF('2-Quote Inputs'!F20=0,"",'2-Quote Inputs'!C20)</f>
        <v/>
      </c>
      <c r="B28" s="929" t="str">
        <f>IF('2-Quote Inputs'!F20=0,"",'2-Quote Inputs'!A20)</f>
        <v/>
      </c>
      <c r="C28" s="924"/>
      <c r="D28" s="888" t="str">
        <f>IF('2-Quote Inputs'!F20=0,"",'2-Quote Inputs'!F20)</f>
        <v/>
      </c>
      <c r="E28" s="930" t="str">
        <f>IF('2-Quote Inputs'!F20=0,"",'2-Quote Inputs'!E20)</f>
        <v/>
      </c>
      <c r="F28" s="889" t="str">
        <f t="shared" si="0"/>
        <v/>
      </c>
      <c r="G28" s="884"/>
    </row>
    <row r="29" spans="1:7" x14ac:dyDescent="0.2">
      <c r="A29" s="923"/>
      <c r="B29" s="929"/>
      <c r="C29" s="924"/>
      <c r="D29" s="888"/>
      <c r="E29" s="930"/>
      <c r="F29" s="889"/>
      <c r="G29" s="884"/>
    </row>
    <row r="30" spans="1:7" x14ac:dyDescent="0.2">
      <c r="A30" s="923" t="str">
        <f>IF('2-Quote Inputs'!G21=0,"",'2-Quote Inputs'!A21)</f>
        <v/>
      </c>
      <c r="B30" s="929"/>
      <c r="C30" s="925"/>
      <c r="D30" s="888"/>
      <c r="E30" s="930"/>
      <c r="F30" s="931" t="str">
        <f>IF('2-Quote Inputs'!G21=0,"",'2-Quote Inputs'!G21)</f>
        <v/>
      </c>
      <c r="G30" s="884"/>
    </row>
    <row r="31" spans="1:7" x14ac:dyDescent="0.2">
      <c r="A31" s="890" t="s">
        <v>269</v>
      </c>
      <c r="B31" s="890"/>
      <c r="C31" s="890"/>
      <c r="D31" s="890"/>
      <c r="E31" s="933" t="s">
        <v>270</v>
      </c>
      <c r="F31" s="891" t="e">
        <f>SUM(F14:F28)-ABS(F30)</f>
        <v>#REF!</v>
      </c>
      <c r="G31" s="884"/>
    </row>
    <row r="32" spans="1:7" x14ac:dyDescent="0.2">
      <c r="A32" s="926" t="s">
        <v>271</v>
      </c>
      <c r="B32" s="926"/>
      <c r="C32" s="926"/>
      <c r="E32" s="927" t="s">
        <v>216</v>
      </c>
      <c r="F32" s="892">
        <f>'2-Quote Inputs'!G24</f>
        <v>205.27500000000001</v>
      </c>
      <c r="G32" s="884"/>
    </row>
    <row r="33" spans="1:7" x14ac:dyDescent="0.2">
      <c r="A33" s="926" t="s">
        <v>272</v>
      </c>
      <c r="B33" s="926"/>
      <c r="C33" s="926"/>
      <c r="E33" s="927" t="s">
        <v>218</v>
      </c>
      <c r="F33" s="932" t="str">
        <f>IFERROR(F31/(F32*1000),"N/A")</f>
        <v>N/A</v>
      </c>
      <c r="G33" s="884"/>
    </row>
    <row r="34" spans="1:7" x14ac:dyDescent="0.2">
      <c r="A34" s="926" t="s">
        <v>273</v>
      </c>
      <c r="B34" s="926"/>
      <c r="C34" s="926"/>
      <c r="E34" s="927" t="s">
        <v>274</v>
      </c>
      <c r="F34" s="893">
        <v>48</v>
      </c>
      <c r="G34" s="884"/>
    </row>
    <row r="35" spans="1:7" x14ac:dyDescent="0.2">
      <c r="A35" s="926" t="s">
        <v>275</v>
      </c>
      <c r="B35" s="926"/>
      <c r="C35" s="926"/>
      <c r="E35" s="927" t="s">
        <v>276</v>
      </c>
      <c r="F35" s="893" t="str">
        <f>IF('2-Quote Inputs'!G26=0,"",'2-Quote Inputs'!G26)</f>
        <v/>
      </c>
    </row>
    <row r="39" spans="1:7" ht="12.75" customHeight="1" x14ac:dyDescent="0.25">
      <c r="A39" s="928" t="s">
        <v>277</v>
      </c>
      <c r="B39" s="928"/>
      <c r="C39" s="928"/>
      <c r="D39" s="928"/>
      <c r="E39" s="928"/>
      <c r="F39" s="928"/>
    </row>
    <row r="50" spans="1:6" ht="12.75" customHeight="1" x14ac:dyDescent="0.25"/>
    <row r="51" spans="1:6" ht="12.75" customHeight="1" x14ac:dyDescent="0.25"/>
    <row r="59" spans="1:6" ht="12.75" customHeight="1" x14ac:dyDescent="0.25">
      <c r="A59" s="908" t="s">
        <v>278</v>
      </c>
      <c r="B59" s="909"/>
      <c r="C59" s="909"/>
      <c r="D59" s="909"/>
      <c r="E59" s="909"/>
      <c r="F59" s="910"/>
    </row>
    <row r="60" spans="1:6" ht="12.75" customHeight="1" x14ac:dyDescent="0.25">
      <c r="A60" s="894" t="s">
        <v>108</v>
      </c>
      <c r="B60" s="895"/>
      <c r="C60" s="895"/>
      <c r="D60" s="895"/>
      <c r="E60" s="896">
        <f>'1-Eng Inputs'!D22</f>
        <v>0</v>
      </c>
      <c r="F60" s="897"/>
    </row>
    <row r="61" spans="1:6" ht="12.75" customHeight="1" x14ac:dyDescent="0.2">
      <c r="A61" s="898" t="s">
        <v>279</v>
      </c>
      <c r="D61" s="899"/>
      <c r="E61" s="900"/>
      <c r="F61" s="901"/>
    </row>
    <row r="62" spans="1:6" ht="12.75" customHeight="1" x14ac:dyDescent="0.2">
      <c r="A62" s="902" t="s">
        <v>280</v>
      </c>
      <c r="D62" s="903"/>
      <c r="E62" s="900"/>
      <c r="F62" s="901" t="s">
        <v>281</v>
      </c>
    </row>
    <row r="63" spans="1:6" ht="12.75" customHeight="1" x14ac:dyDescent="0.2">
      <c r="A63" s="902" t="s">
        <v>282</v>
      </c>
      <c r="D63" s="899"/>
      <c r="E63" s="900"/>
      <c r="F63" s="901"/>
    </row>
    <row r="64" spans="1:6" ht="12.75" customHeight="1" x14ac:dyDescent="0.2">
      <c r="A64" s="902" t="s">
        <v>283</v>
      </c>
      <c r="D64" s="899"/>
      <c r="E64" s="900"/>
      <c r="F64" s="901"/>
    </row>
    <row r="65" spans="1:7" ht="12.75" customHeight="1" x14ac:dyDescent="0.2">
      <c r="A65" s="902" t="s">
        <v>284</v>
      </c>
      <c r="D65" s="899"/>
      <c r="E65" s="900"/>
      <c r="F65" s="901" t="s">
        <v>285</v>
      </c>
    </row>
    <row r="66" spans="1:7" ht="12.75" customHeight="1" x14ac:dyDescent="0.2">
      <c r="A66" s="902" t="s">
        <v>286</v>
      </c>
      <c r="D66" s="899"/>
      <c r="E66" s="900">
        <f>'1-Eng Inputs'!D19</f>
        <v>0</v>
      </c>
      <c r="F66" s="901" t="s">
        <v>287</v>
      </c>
    </row>
    <row r="67" spans="1:7" ht="12.75" customHeight="1" x14ac:dyDescent="0.2">
      <c r="A67" s="902" t="s">
        <v>288</v>
      </c>
      <c r="D67" s="899"/>
      <c r="E67" s="900">
        <f>'1-Eng Inputs'!D17</f>
        <v>0</v>
      </c>
      <c r="F67" s="901" t="s">
        <v>289</v>
      </c>
    </row>
    <row r="68" spans="1:7" ht="12.75" customHeight="1" x14ac:dyDescent="0.2">
      <c r="A68" s="902" t="s">
        <v>290</v>
      </c>
      <c r="D68" s="899"/>
      <c r="E68" s="900">
        <f>'1-Eng Inputs'!D18</f>
        <v>0</v>
      </c>
      <c r="F68" s="901" t="s">
        <v>289</v>
      </c>
    </row>
    <row r="69" spans="1:7" ht="12.75" customHeight="1" x14ac:dyDescent="0.2">
      <c r="A69" s="902" t="s">
        <v>291</v>
      </c>
      <c r="D69" s="903"/>
      <c r="E69" s="904">
        <f>'1-Eng Inputs'!D30</f>
        <v>0</v>
      </c>
      <c r="F69" s="901" t="s">
        <v>292</v>
      </c>
    </row>
    <row r="70" spans="1:7" ht="12.75" customHeight="1" x14ac:dyDescent="0.2">
      <c r="A70" s="902" t="s">
        <v>300</v>
      </c>
      <c r="D70" s="903"/>
      <c r="E70" s="905"/>
      <c r="F70" s="901"/>
    </row>
    <row r="71" spans="1:7" ht="12.75" customHeight="1" x14ac:dyDescent="0.2">
      <c r="A71" s="902" t="s">
        <v>293</v>
      </c>
      <c r="D71" s="903"/>
      <c r="E71" s="906">
        <f>'1-Eng Inputs'!D44</f>
        <v>0</v>
      </c>
      <c r="F71" s="901" t="s">
        <v>294</v>
      </c>
    </row>
    <row r="72" spans="1:7" ht="12.75" customHeight="1" x14ac:dyDescent="0.2">
      <c r="A72" s="884" t="s">
        <v>295</v>
      </c>
      <c r="D72" s="903"/>
      <c r="E72" s="907">
        <f>'1-Eng Inputs'!D10</f>
        <v>0</v>
      </c>
      <c r="F72" s="901"/>
    </row>
    <row r="73" spans="1:7" ht="12.75" customHeight="1" x14ac:dyDescent="0.2">
      <c r="A73" s="902" t="s">
        <v>296</v>
      </c>
      <c r="D73" s="903"/>
      <c r="E73" s="905">
        <f>('Friction Data'!F34)</f>
        <v>0</v>
      </c>
      <c r="F73" s="901"/>
    </row>
    <row r="74" spans="1:7" ht="12.75" customHeight="1" x14ac:dyDescent="0.2">
      <c r="A74" s="908" t="s">
        <v>297</v>
      </c>
      <c r="B74" s="909"/>
      <c r="C74" s="909"/>
      <c r="D74" s="909"/>
      <c r="E74" s="909"/>
      <c r="F74" s="910"/>
      <c r="G74" s="911"/>
    </row>
    <row r="75" spans="1:7" ht="12.75" customHeight="1" x14ac:dyDescent="0.2">
      <c r="A75" s="912" t="s">
        <v>298</v>
      </c>
      <c r="B75" s="913"/>
      <c r="C75" s="913"/>
      <c r="D75" s="914"/>
      <c r="E75" s="915"/>
      <c r="F75" s="916" t="s">
        <v>287</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122" t="s">
        <v>299</v>
      </c>
      <c r="B107" s="1122"/>
      <c r="C107" s="1122"/>
      <c r="D107" s="1122"/>
      <c r="E107" s="1122"/>
      <c r="F107" s="1122"/>
    </row>
    <row r="108" spans="1:6" ht="12.75" customHeight="1" x14ac:dyDescent="0.25">
      <c r="A108" s="1122"/>
      <c r="B108" s="1122"/>
      <c r="C108" s="1122"/>
      <c r="D108" s="1122"/>
      <c r="E108" s="1122"/>
      <c r="F108" s="1122"/>
    </row>
    <row r="109" spans="1:6" ht="12.75" customHeight="1" x14ac:dyDescent="0.25">
      <c r="A109" s="1122"/>
      <c r="B109" s="1122"/>
      <c r="C109" s="1122"/>
      <c r="D109" s="1122"/>
      <c r="E109" s="1122"/>
      <c r="F109" s="1122"/>
    </row>
    <row r="110" spans="1:6" ht="12.75" customHeight="1" x14ac:dyDescent="0.25">
      <c r="A110" s="1122"/>
      <c r="B110" s="1122"/>
      <c r="C110" s="1122"/>
      <c r="D110" s="1122"/>
      <c r="E110" s="1122"/>
      <c r="F110" s="1122"/>
    </row>
    <row r="111" spans="1:6" ht="12.75" customHeight="1" x14ac:dyDescent="0.25">
      <c r="A111" s="1122"/>
      <c r="B111" s="1122"/>
      <c r="C111" s="1122"/>
      <c r="D111" s="1122"/>
      <c r="E111" s="1122"/>
      <c r="F111" s="1122"/>
    </row>
    <row r="112" spans="1:6" ht="12.75" customHeight="1" x14ac:dyDescent="0.25">
      <c r="A112" s="1122"/>
      <c r="B112" s="1122"/>
      <c r="C112" s="1122"/>
      <c r="D112" s="1122"/>
      <c r="E112" s="1122"/>
      <c r="F112" s="1122"/>
    </row>
    <row r="113" spans="1:6" ht="12.75" customHeight="1" x14ac:dyDescent="0.25">
      <c r="A113" s="1122"/>
      <c r="B113" s="1122"/>
      <c r="C113" s="1122"/>
      <c r="D113" s="1122"/>
      <c r="E113" s="1122"/>
      <c r="F113" s="1122"/>
    </row>
    <row r="114" spans="1:6" ht="12.75" customHeight="1" x14ac:dyDescent="0.25">
      <c r="A114" s="1122"/>
      <c r="B114" s="1122"/>
      <c r="C114" s="1122"/>
      <c r="D114" s="1122"/>
      <c r="E114" s="1122"/>
      <c r="F114" s="1122"/>
    </row>
    <row r="115" spans="1:6" ht="12.75" customHeight="1" x14ac:dyDescent="0.25">
      <c r="A115" s="1122"/>
      <c r="B115" s="1122"/>
      <c r="C115" s="1122"/>
      <c r="D115" s="1122"/>
      <c r="E115" s="1122"/>
      <c r="F115" s="1122"/>
    </row>
    <row r="116" spans="1:6" ht="12.75" customHeight="1" x14ac:dyDescent="0.25">
      <c r="A116" s="1122"/>
      <c r="B116" s="1122"/>
      <c r="C116" s="1122"/>
      <c r="D116" s="1122"/>
      <c r="E116" s="1122"/>
      <c r="F116" s="1122"/>
    </row>
    <row r="117" spans="1:6" ht="12.75" customHeight="1" x14ac:dyDescent="0.25">
      <c r="A117" s="1122"/>
      <c r="B117" s="1122"/>
      <c r="C117" s="1122"/>
      <c r="D117" s="1122"/>
      <c r="E117" s="1122"/>
      <c r="F117" s="1122"/>
    </row>
    <row r="118" spans="1:6" ht="12.75" customHeight="1" x14ac:dyDescent="0.25">
      <c r="A118" s="1122"/>
      <c r="B118" s="1122"/>
      <c r="C118" s="1122"/>
      <c r="D118" s="1122"/>
      <c r="E118" s="1122"/>
      <c r="F118" s="1122"/>
    </row>
    <row r="119" spans="1:6" ht="12.75" customHeight="1" x14ac:dyDescent="0.25">
      <c r="A119" s="1122"/>
      <c r="B119" s="1122"/>
      <c r="C119" s="1122"/>
      <c r="D119" s="1122"/>
      <c r="E119" s="1122"/>
      <c r="F119" s="1122"/>
    </row>
    <row r="120" spans="1:6" ht="12.75" customHeight="1" x14ac:dyDescent="0.25">
      <c r="A120" s="1122"/>
      <c r="B120" s="1122"/>
      <c r="C120" s="1122"/>
      <c r="D120" s="1122"/>
      <c r="E120" s="1122"/>
      <c r="F120" s="1122"/>
    </row>
    <row r="121" spans="1:6" ht="12.75" customHeight="1" x14ac:dyDescent="0.25">
      <c r="A121" s="1122"/>
      <c r="B121" s="1122"/>
      <c r="C121" s="1122"/>
      <c r="D121" s="1122"/>
      <c r="E121" s="1122"/>
      <c r="F121" s="1122"/>
    </row>
    <row r="122" spans="1:6" ht="12.75" customHeight="1" x14ac:dyDescent="0.25">
      <c r="A122" s="1122"/>
      <c r="B122" s="1122"/>
      <c r="C122" s="1122"/>
      <c r="D122" s="1122"/>
      <c r="E122" s="1122"/>
      <c r="F122" s="1122"/>
    </row>
    <row r="123" spans="1:6" ht="12.75" customHeight="1" x14ac:dyDescent="0.25">
      <c r="A123" s="1122"/>
      <c r="B123" s="1122"/>
      <c r="C123" s="1122"/>
      <c r="D123" s="1122"/>
      <c r="E123" s="1122"/>
      <c r="F123" s="1122"/>
    </row>
    <row r="124" spans="1:6" ht="12.75" customHeight="1" x14ac:dyDescent="0.25">
      <c r="A124" s="1122"/>
      <c r="B124" s="1122"/>
      <c r="C124" s="1122"/>
      <c r="D124" s="1122"/>
      <c r="E124" s="1122"/>
      <c r="F124" s="1122"/>
    </row>
    <row r="125" spans="1:6" ht="12.75" customHeight="1" x14ac:dyDescent="0.25">
      <c r="A125" s="1122"/>
      <c r="B125" s="1122"/>
      <c r="C125" s="1122"/>
      <c r="D125" s="1122"/>
      <c r="E125" s="1122"/>
      <c r="F125" s="1122"/>
    </row>
    <row r="126" spans="1:6" ht="12.75" customHeight="1" x14ac:dyDescent="0.25">
      <c r="A126" s="1122"/>
      <c r="B126" s="1122"/>
      <c r="C126" s="1122"/>
      <c r="D126" s="1122"/>
      <c r="E126" s="1122"/>
      <c r="F126" s="1122"/>
    </row>
    <row r="127" spans="1:6" ht="12.75" customHeight="1" x14ac:dyDescent="0.25">
      <c r="A127" s="1122"/>
      <c r="B127" s="1122"/>
      <c r="C127" s="1122"/>
      <c r="D127" s="1122"/>
      <c r="E127" s="1122"/>
      <c r="F127" s="1122"/>
    </row>
    <row r="128" spans="1:6" ht="12.75" customHeight="1" x14ac:dyDescent="0.25">
      <c r="A128" s="1122"/>
      <c r="B128" s="1122"/>
      <c r="C128" s="1122"/>
      <c r="D128" s="1122"/>
      <c r="E128" s="1122"/>
      <c r="F128" s="1122"/>
    </row>
    <row r="129" spans="1:6" ht="12.75" customHeight="1" x14ac:dyDescent="0.25">
      <c r="A129" s="1122"/>
      <c r="B129" s="1122"/>
      <c r="C129" s="1122"/>
      <c r="D129" s="1122"/>
      <c r="E129" s="1122"/>
      <c r="F129" s="1122"/>
    </row>
    <row r="130" spans="1:6" ht="12.75" customHeight="1" x14ac:dyDescent="0.25">
      <c r="A130" s="1122"/>
      <c r="B130" s="1122"/>
      <c r="C130" s="1122"/>
      <c r="D130" s="1122"/>
      <c r="E130" s="1122"/>
      <c r="F130" s="1122"/>
    </row>
    <row r="131" spans="1:6" ht="12.75" customHeight="1" x14ac:dyDescent="0.25">
      <c r="A131" s="1122"/>
      <c r="B131" s="1122"/>
      <c r="C131" s="1122"/>
      <c r="D131" s="1122"/>
      <c r="E131" s="1122"/>
      <c r="F131" s="1122"/>
    </row>
    <row r="132" spans="1:6" ht="12.75" customHeight="1" x14ac:dyDescent="0.25">
      <c r="A132" s="1122"/>
      <c r="B132" s="1122"/>
      <c r="C132" s="1122"/>
      <c r="D132" s="1122"/>
      <c r="E132" s="1122"/>
      <c r="F132" s="1122"/>
    </row>
    <row r="133" spans="1:6" ht="12.75" customHeight="1" x14ac:dyDescent="0.25">
      <c r="A133" s="1122"/>
      <c r="B133" s="1122"/>
      <c r="C133" s="1122"/>
      <c r="D133" s="1122"/>
      <c r="E133" s="1122"/>
      <c r="F133" s="1122"/>
    </row>
    <row r="134" spans="1:6" ht="12.75" customHeight="1" x14ac:dyDescent="0.25">
      <c r="A134" s="1122"/>
      <c r="B134" s="1122"/>
      <c r="C134" s="1122"/>
      <c r="D134" s="1122"/>
      <c r="E134" s="1122"/>
      <c r="F134" s="1122"/>
    </row>
    <row r="135" spans="1:6" ht="12.75" customHeight="1" x14ac:dyDescent="0.25">
      <c r="A135" s="1122"/>
      <c r="B135" s="1122"/>
      <c r="C135" s="1122"/>
      <c r="D135" s="1122"/>
      <c r="E135" s="1122"/>
      <c r="F135" s="1122"/>
    </row>
    <row r="136" spans="1:6" ht="12.75" customHeight="1" x14ac:dyDescent="0.25">
      <c r="A136" s="1122"/>
      <c r="B136" s="1122"/>
      <c r="C136" s="1122"/>
      <c r="D136" s="1122"/>
      <c r="E136" s="1122"/>
      <c r="F136" s="1122"/>
    </row>
    <row r="137" spans="1:6" ht="12.75" customHeight="1" x14ac:dyDescent="0.25">
      <c r="A137" s="1122"/>
      <c r="B137" s="1122"/>
      <c r="C137" s="1122"/>
      <c r="D137" s="1122"/>
      <c r="E137" s="1122"/>
      <c r="F137" s="1122"/>
    </row>
    <row r="138" spans="1:6" ht="12.75" customHeight="1" x14ac:dyDescent="0.25">
      <c r="A138" s="1122"/>
      <c r="B138" s="1122"/>
      <c r="C138" s="1122"/>
      <c r="D138" s="1122"/>
      <c r="E138" s="1122"/>
      <c r="F138" s="1122"/>
    </row>
    <row r="139" spans="1:6" ht="12.75" customHeight="1" x14ac:dyDescent="0.25">
      <c r="A139" s="1122"/>
      <c r="B139" s="1122"/>
      <c r="C139" s="1122"/>
      <c r="D139" s="1122"/>
      <c r="E139" s="1122"/>
      <c r="F139" s="1122"/>
    </row>
    <row r="140" spans="1:6" ht="12.75" customHeight="1" x14ac:dyDescent="0.25">
      <c r="A140" s="1122"/>
      <c r="B140" s="1122"/>
      <c r="C140" s="1122"/>
      <c r="D140" s="1122"/>
      <c r="E140" s="1122"/>
      <c r="F140" s="1122"/>
    </row>
    <row r="141" spans="1:6" ht="12.75" customHeight="1" x14ac:dyDescent="0.25">
      <c r="A141" s="1122"/>
      <c r="B141" s="1122"/>
      <c r="C141" s="1122"/>
      <c r="D141" s="1122"/>
      <c r="E141" s="1122"/>
      <c r="F141" s="1122"/>
    </row>
    <row r="142" spans="1:6" ht="12.75" customHeight="1" x14ac:dyDescent="0.25">
      <c r="A142" s="1122"/>
      <c r="B142" s="1122"/>
      <c r="C142" s="1122"/>
      <c r="D142" s="1122"/>
      <c r="E142" s="1122"/>
      <c r="F142" s="1122"/>
    </row>
    <row r="143" spans="1:6" ht="12.75" customHeight="1" x14ac:dyDescent="0.25">
      <c r="A143" s="1122"/>
      <c r="B143" s="1122"/>
      <c r="C143" s="1122"/>
      <c r="D143" s="1122"/>
      <c r="E143" s="1122"/>
      <c r="F143" s="1122"/>
    </row>
    <row r="144" spans="1:6" ht="12.75" customHeight="1" x14ac:dyDescent="0.25">
      <c r="A144" s="1122"/>
      <c r="B144" s="1122"/>
      <c r="C144" s="1122"/>
      <c r="D144" s="1122"/>
      <c r="E144" s="1122"/>
      <c r="F144" s="1122"/>
    </row>
    <row r="145" spans="1:6" ht="12.75" customHeight="1" x14ac:dyDescent="0.25">
      <c r="A145" s="1122"/>
      <c r="B145" s="1122"/>
      <c r="C145" s="1122"/>
      <c r="D145" s="1122"/>
      <c r="E145" s="1122"/>
      <c r="F145" s="1122"/>
    </row>
    <row r="146" spans="1:6" ht="12.75" customHeight="1" x14ac:dyDescent="0.25">
      <c r="A146" s="1122"/>
      <c r="B146" s="1122"/>
      <c r="C146" s="1122"/>
      <c r="D146" s="1122"/>
      <c r="E146" s="1122"/>
      <c r="F146" s="1122"/>
    </row>
    <row r="147" spans="1:6" ht="12.75" customHeight="1" x14ac:dyDescent="0.25">
      <c r="A147" s="1122"/>
      <c r="B147" s="1122"/>
      <c r="C147" s="1122"/>
      <c r="D147" s="1122"/>
      <c r="E147" s="1122"/>
      <c r="F147" s="1122"/>
    </row>
    <row r="148" spans="1:6" ht="12.75" customHeight="1" x14ac:dyDescent="0.25">
      <c r="A148" s="1122"/>
      <c r="B148" s="1122"/>
      <c r="C148" s="1122"/>
      <c r="D148" s="1122"/>
      <c r="E148" s="1122"/>
      <c r="F148" s="1122"/>
    </row>
    <row r="149" spans="1:6" ht="12.75" customHeight="1" x14ac:dyDescent="0.25">
      <c r="A149" s="1122"/>
      <c r="B149" s="1122"/>
      <c r="C149" s="1122"/>
      <c r="D149" s="1122"/>
      <c r="E149" s="1122"/>
      <c r="F149" s="1122"/>
    </row>
    <row r="150" spans="1:6" ht="12.75" customHeight="1" x14ac:dyDescent="0.25">
      <c r="A150" s="1122"/>
      <c r="B150" s="1122"/>
      <c r="C150" s="1122"/>
      <c r="D150" s="1122"/>
      <c r="E150" s="1122"/>
      <c r="F150" s="1122"/>
    </row>
    <row r="151" spans="1:6" ht="12.75" customHeight="1" x14ac:dyDescent="0.25">
      <c r="A151" s="1122"/>
      <c r="B151" s="1122"/>
      <c r="C151" s="1122"/>
      <c r="D151" s="1122"/>
      <c r="E151" s="1122"/>
      <c r="F151" s="1122"/>
    </row>
    <row r="152" spans="1:6" ht="12.75" customHeight="1" x14ac:dyDescent="0.25">
      <c r="A152" s="1122"/>
      <c r="B152" s="1122"/>
      <c r="C152" s="1122"/>
      <c r="D152" s="1122"/>
      <c r="E152" s="1122"/>
      <c r="F152" s="1122"/>
    </row>
    <row r="153" spans="1:6" ht="12.75" customHeight="1" x14ac:dyDescent="0.25">
      <c r="A153" s="1122"/>
      <c r="B153" s="1122"/>
      <c r="C153" s="1122"/>
      <c r="D153" s="1122"/>
      <c r="E153" s="1122"/>
      <c r="F153" s="1122"/>
    </row>
    <row r="154" spans="1:6" ht="12.75" customHeight="1" x14ac:dyDescent="0.25">
      <c r="A154" s="1122"/>
      <c r="B154" s="1122"/>
      <c r="C154" s="1122"/>
      <c r="D154" s="1122"/>
      <c r="E154" s="1122"/>
      <c r="F154" s="1122"/>
    </row>
    <row r="155" spans="1:6" ht="12.75" customHeight="1" x14ac:dyDescent="0.25">
      <c r="A155" s="917"/>
      <c r="B155" s="917"/>
      <c r="C155" s="917"/>
      <c r="D155" s="917"/>
      <c r="E155" s="917"/>
      <c r="F155" s="917"/>
    </row>
    <row r="156" spans="1:6" ht="12.75" customHeight="1" x14ac:dyDescent="0.25">
      <c r="A156" s="917"/>
      <c r="B156" s="917"/>
      <c r="C156" s="917"/>
      <c r="D156" s="917"/>
      <c r="E156" s="917"/>
      <c r="F156" s="917"/>
    </row>
    <row r="157" spans="1:6" ht="12.75" customHeight="1" x14ac:dyDescent="0.25">
      <c r="A157" s="917"/>
      <c r="B157" s="917"/>
      <c r="C157" s="917"/>
      <c r="D157" s="917"/>
      <c r="E157" s="917"/>
      <c r="F157" s="917"/>
    </row>
    <row r="158" spans="1:6" ht="12.75" customHeight="1" x14ac:dyDescent="0.25">
      <c r="A158" s="917"/>
      <c r="B158" s="917"/>
      <c r="C158" s="917"/>
      <c r="D158" s="917"/>
      <c r="E158" s="917"/>
      <c r="F158" s="917"/>
    </row>
    <row r="159" spans="1:6" ht="12.75" customHeight="1" x14ac:dyDescent="0.25">
      <c r="A159" s="917"/>
      <c r="B159" s="917"/>
      <c r="C159" s="917"/>
      <c r="D159" s="917"/>
      <c r="E159" s="917"/>
      <c r="F159" s="917"/>
    </row>
    <row r="160" spans="1:6" ht="12.75" customHeight="1" x14ac:dyDescent="0.25">
      <c r="A160" s="917"/>
      <c r="B160" s="917"/>
      <c r="C160" s="917"/>
      <c r="D160" s="917"/>
      <c r="E160" s="917"/>
      <c r="F160" s="917"/>
    </row>
    <row r="161" spans="1:6" ht="12.75" customHeight="1" x14ac:dyDescent="0.25">
      <c r="A161" s="917"/>
      <c r="B161" s="917"/>
      <c r="C161" s="917"/>
      <c r="D161" s="917"/>
      <c r="E161" s="917"/>
      <c r="F161" s="917"/>
    </row>
    <row r="162" spans="1:6" ht="12.75" customHeight="1" x14ac:dyDescent="0.25">
      <c r="A162" s="917"/>
      <c r="B162" s="917"/>
      <c r="C162" s="917"/>
      <c r="D162" s="917"/>
      <c r="E162" s="917"/>
      <c r="F162" s="917"/>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T9" sqref="T9"/>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315</v>
      </c>
      <c r="N2" s="218"/>
      <c r="O2" s="219"/>
      <c r="P2" s="219"/>
      <c r="Q2" s="219"/>
      <c r="R2" s="219"/>
      <c r="S2" s="221"/>
    </row>
    <row r="3" spans="2:19" ht="18" customHeight="1" x14ac:dyDescent="0.25">
      <c r="B3" s="222" t="s">
        <v>316</v>
      </c>
      <c r="C3" s="223"/>
      <c r="D3" s="224"/>
      <c r="E3" s="224"/>
      <c r="F3" s="224"/>
      <c r="G3" s="224"/>
      <c r="H3" s="224"/>
      <c r="I3" s="224"/>
      <c r="J3" s="224"/>
      <c r="K3" s="225"/>
      <c r="L3" s="225"/>
      <c r="M3" s="117" t="s">
        <v>317</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137" t="s">
        <v>318</v>
      </c>
      <c r="C5" s="1138"/>
      <c r="D5" s="1138"/>
      <c r="E5" s="1138"/>
      <c r="F5" s="1138"/>
      <c r="G5" s="1138"/>
      <c r="H5" s="1138"/>
      <c r="I5" s="1138"/>
      <c r="J5" s="1138"/>
      <c r="K5" s="1138"/>
      <c r="L5" s="1138"/>
      <c r="M5" s="1138"/>
      <c r="N5" s="1138"/>
      <c r="O5" s="1138"/>
      <c r="P5" s="1138"/>
      <c r="Q5" s="1138"/>
      <c r="R5" s="1138"/>
      <c r="S5" s="1139"/>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314</v>
      </c>
      <c r="C8" s="115"/>
      <c r="D8" s="115"/>
      <c r="E8" s="115"/>
      <c r="F8" s="115"/>
      <c r="G8" s="115"/>
      <c r="H8" s="115"/>
      <c r="I8" s="115"/>
      <c r="J8" s="115"/>
      <c r="K8" s="115"/>
      <c r="L8" s="115"/>
      <c r="M8" s="115"/>
      <c r="N8" s="115"/>
      <c r="O8" s="115"/>
      <c r="P8" s="115"/>
      <c r="Q8" s="113" t="s">
        <v>334</v>
      </c>
      <c r="R8" s="115"/>
      <c r="S8" s="115"/>
    </row>
    <row r="9" spans="2:19" ht="12.75" customHeight="1" thickBot="1" x14ac:dyDescent="0.3">
      <c r="B9" s="282" t="s">
        <v>310</v>
      </c>
      <c r="C9" s="1140" t="str">
        <f>'1-Eng Inputs'!B7</f>
        <v>807 E Main</v>
      </c>
      <c r="D9" s="1140"/>
      <c r="E9" s="1141" t="s">
        <v>319</v>
      </c>
      <c r="F9" s="1142"/>
      <c r="G9" s="1143"/>
      <c r="H9" s="1144" t="s">
        <v>7</v>
      </c>
      <c r="I9" s="1144"/>
      <c r="J9" s="1144"/>
      <c r="K9" s="1144"/>
      <c r="L9" s="1145"/>
      <c r="M9" s="1146"/>
      <c r="N9" s="115"/>
      <c r="O9" s="115"/>
      <c r="P9" s="115"/>
      <c r="Q9" s="283" t="s">
        <v>335</v>
      </c>
      <c r="R9" s="284" t="s">
        <v>336</v>
      </c>
      <c r="S9" s="115"/>
    </row>
    <row r="10" spans="2:19" ht="12.75" customHeight="1" x14ac:dyDescent="0.25">
      <c r="B10" s="285" t="s">
        <v>311</v>
      </c>
      <c r="C10" s="1147">
        <f>'1-Eng Inputs'!B9</f>
        <v>27332</v>
      </c>
      <c r="D10" s="1147"/>
      <c r="E10" s="1148" t="s">
        <v>320</v>
      </c>
      <c r="F10" s="1149"/>
      <c r="G10" s="1150"/>
      <c r="H10" s="1147" t="str">
        <f>'1-Eng Inputs'!B8</f>
        <v>807 E Main St</v>
      </c>
      <c r="I10" s="1147"/>
      <c r="J10" s="1147"/>
      <c r="K10" s="1147"/>
      <c r="L10" s="1151"/>
      <c r="M10" s="1152"/>
      <c r="N10" s="115"/>
      <c r="O10" s="115"/>
      <c r="P10" s="115"/>
      <c r="Q10" s="286" t="s">
        <v>21</v>
      </c>
      <c r="R10" s="287" t="s">
        <v>18</v>
      </c>
      <c r="S10" s="115"/>
    </row>
    <row r="11" spans="2:19" ht="12.75" customHeight="1" x14ac:dyDescent="0.25">
      <c r="B11" s="285" t="s">
        <v>312</v>
      </c>
      <c r="C11" s="1147" t="str">
        <f>'1-Eng Inputs'!B4</f>
        <v>Ted Bleecker</v>
      </c>
      <c r="D11" s="1147"/>
      <c r="E11" s="1148" t="s">
        <v>321</v>
      </c>
      <c r="F11" s="1149"/>
      <c r="G11" s="1150"/>
      <c r="H11" s="1156" t="str">
        <f>IF('1-Eng Inputs'!B31=2010,"USA","USA II")</f>
        <v>USA</v>
      </c>
      <c r="I11" s="1156"/>
      <c r="J11" s="1156"/>
      <c r="K11" s="1156"/>
      <c r="L11" s="1157"/>
      <c r="M11" s="1158"/>
      <c r="N11" s="115"/>
      <c r="O11" s="115"/>
      <c r="P11" s="115"/>
      <c r="Q11" s="286" t="s">
        <v>26</v>
      </c>
      <c r="R11" s="287" t="s">
        <v>27</v>
      </c>
      <c r="S11" s="115"/>
    </row>
    <row r="12" spans="2:19" ht="12.75" customHeight="1" thickBot="1" x14ac:dyDescent="0.3">
      <c r="B12" s="288" t="s">
        <v>313</v>
      </c>
      <c r="C12" s="1159">
        <f ca="1">TODAY()</f>
        <v>42649</v>
      </c>
      <c r="D12" s="1159"/>
      <c r="E12" s="1160" t="s">
        <v>322</v>
      </c>
      <c r="F12" s="1161"/>
      <c r="G12" s="1162"/>
      <c r="H12" s="1163" t="str">
        <f>VLOOKUP(H11,Q10:R25,2,FALSE)</f>
        <v>ASCE/SEI 7-10</v>
      </c>
      <c r="I12" s="1163"/>
      <c r="J12" s="1163"/>
      <c r="K12" s="1163"/>
      <c r="L12" s="1164"/>
      <c r="M12" s="1165"/>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323</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324</v>
      </c>
      <c r="C16" s="715">
        <f>'1-Eng Inputs'!B22*0.3048</f>
        <v>7.3152000000000008</v>
      </c>
      <c r="D16" s="289" t="s">
        <v>331</v>
      </c>
      <c r="E16" s="290"/>
      <c r="F16" s="290"/>
      <c r="G16" s="291"/>
      <c r="H16" s="155"/>
      <c r="I16" s="155"/>
      <c r="J16" s="155"/>
      <c r="K16" s="155"/>
      <c r="L16" s="155"/>
      <c r="M16" s="155"/>
      <c r="N16" s="50"/>
      <c r="O16" s="292"/>
      <c r="P16" s="115"/>
      <c r="Q16" s="286"/>
      <c r="R16" s="287"/>
      <c r="S16" s="115"/>
    </row>
    <row r="17" spans="2:19" ht="12.75" customHeight="1" x14ac:dyDescent="0.25">
      <c r="B17" s="293"/>
      <c r="C17" s="294"/>
      <c r="D17" s="43"/>
      <c r="E17" s="43"/>
      <c r="F17" s="43"/>
      <c r="G17" s="43"/>
      <c r="H17" s="43"/>
      <c r="I17" s="43"/>
      <c r="J17" s="43"/>
      <c r="K17" s="43"/>
      <c r="L17" s="43"/>
      <c r="M17" s="43"/>
      <c r="N17" s="43"/>
      <c r="O17" s="297"/>
      <c r="P17" s="115"/>
      <c r="Q17" s="286"/>
      <c r="R17" s="287"/>
      <c r="S17" s="115"/>
    </row>
    <row r="18" spans="2:19" ht="12.75" customHeight="1" x14ac:dyDescent="0.25">
      <c r="B18" s="293" t="s">
        <v>325</v>
      </c>
      <c r="C18" s="716">
        <f>'1-Eng Inputs'!B38*0.0254</f>
        <v>0.127</v>
      </c>
      <c r="D18" s="94" t="s">
        <v>0</v>
      </c>
      <c r="E18" s="295"/>
      <c r="F18" s="295"/>
      <c r="G18" s="296"/>
      <c r="H18" s="94"/>
      <c r="I18" s="94"/>
      <c r="J18" s="94"/>
      <c r="K18" s="94"/>
      <c r="L18" s="94"/>
      <c r="M18" s="94"/>
      <c r="N18" s="43"/>
      <c r="O18" s="297"/>
      <c r="P18" s="115"/>
      <c r="Q18" s="286"/>
      <c r="R18" s="287"/>
      <c r="S18" s="115"/>
    </row>
    <row r="19" spans="2:19" ht="12.75" customHeight="1" x14ac:dyDescent="0.25">
      <c r="B19" s="293" t="s">
        <v>326</v>
      </c>
      <c r="C19" s="298">
        <v>1.2</v>
      </c>
      <c r="D19" s="94" t="s">
        <v>332</v>
      </c>
      <c r="E19" s="94"/>
      <c r="F19" s="94"/>
      <c r="G19" s="94"/>
      <c r="H19" s="94"/>
      <c r="I19" s="94"/>
      <c r="J19" s="94"/>
      <c r="K19" s="94"/>
      <c r="L19" s="94"/>
      <c r="M19" s="94"/>
      <c r="N19" s="43"/>
      <c r="O19" s="297"/>
      <c r="P19" s="115"/>
      <c r="Q19" s="286"/>
      <c r="R19" s="287"/>
      <c r="S19" s="115"/>
    </row>
    <row r="20" spans="2:19" ht="12.75" customHeight="1" x14ac:dyDescent="0.25">
      <c r="B20" s="293" t="s">
        <v>327</v>
      </c>
      <c r="C20" s="716">
        <f>'1-Eng Inputs'!B21*0.3048</f>
        <v>91.44</v>
      </c>
      <c r="D20" s="94" t="s">
        <v>0</v>
      </c>
      <c r="E20" s="299"/>
      <c r="F20" s="299"/>
      <c r="G20" s="299"/>
      <c r="H20" s="299"/>
      <c r="I20" s="299"/>
      <c r="J20" s="299"/>
      <c r="K20" s="299"/>
      <c r="L20" s="299"/>
      <c r="M20" s="299"/>
      <c r="N20" s="43"/>
      <c r="O20" s="300"/>
      <c r="P20" s="115"/>
      <c r="Q20" s="286"/>
      <c r="R20" s="287"/>
      <c r="S20" s="115"/>
    </row>
    <row r="21" spans="2:19" ht="12.75" customHeight="1" x14ac:dyDescent="0.25">
      <c r="B21" s="293" t="s">
        <v>328</v>
      </c>
      <c r="C21" s="716">
        <f>'1-Eng Inputs'!B20*0.3048</f>
        <v>91.44</v>
      </c>
      <c r="D21" s="94" t="s">
        <v>0</v>
      </c>
      <c r="E21" s="299"/>
      <c r="F21" s="299"/>
      <c r="G21" s="299"/>
      <c r="H21" s="299"/>
      <c r="I21" s="299"/>
      <c r="J21" s="299"/>
      <c r="K21" s="299"/>
      <c r="L21" s="299"/>
      <c r="M21" s="299"/>
      <c r="N21" s="43"/>
      <c r="O21" s="300"/>
      <c r="P21" s="115"/>
      <c r="Q21" s="286"/>
      <c r="R21" s="287"/>
      <c r="S21" s="115"/>
    </row>
    <row r="22" spans="2:19" ht="12.75" customHeight="1" x14ac:dyDescent="0.25">
      <c r="B22" s="293" t="s">
        <v>329</v>
      </c>
      <c r="C22" s="301">
        <f>C20*C21</f>
        <v>8361.2736000000004</v>
      </c>
      <c r="D22" s="94" t="s">
        <v>1</v>
      </c>
      <c r="E22" s="94"/>
      <c r="F22" s="94"/>
      <c r="G22" s="94"/>
      <c r="H22" s="94"/>
      <c r="I22" s="94"/>
      <c r="J22" s="94"/>
      <c r="K22" s="94"/>
      <c r="L22" s="94"/>
      <c r="M22" s="94"/>
      <c r="N22" s="43"/>
      <c r="O22" s="302"/>
      <c r="P22" s="115"/>
      <c r="Q22" s="286"/>
      <c r="R22" s="287"/>
      <c r="S22" s="115"/>
    </row>
    <row r="23" spans="2:19" ht="12.75" customHeight="1" x14ac:dyDescent="0.25">
      <c r="B23" s="293" t="s">
        <v>330</v>
      </c>
      <c r="C23" s="716">
        <f>'1-Eng Inputs'!B35</f>
        <v>1.1934894239820351</v>
      </c>
      <c r="D23" s="316" t="s">
        <v>333</v>
      </c>
      <c r="E23" s="94"/>
      <c r="F23" s="94"/>
      <c r="G23" s="94"/>
      <c r="H23" s="94"/>
      <c r="I23" s="94"/>
      <c r="J23" s="94"/>
      <c r="K23" s="94"/>
      <c r="L23" s="94"/>
      <c r="M23" s="94"/>
      <c r="N23" s="43"/>
      <c r="O23" s="302"/>
      <c r="P23" s="304"/>
      <c r="Q23" s="286"/>
      <c r="R23" s="287"/>
      <c r="S23" s="115"/>
    </row>
    <row r="24" spans="2:19" ht="12.75" customHeight="1" thickBot="1" x14ac:dyDescent="0.3">
      <c r="B24" s="303"/>
      <c r="C24" s="210"/>
      <c r="D24" s="210"/>
      <c r="E24" s="210"/>
      <c r="F24" s="210"/>
      <c r="G24" s="210"/>
      <c r="H24" s="210"/>
      <c r="I24" s="210"/>
      <c r="J24" s="210"/>
      <c r="K24" s="210"/>
      <c r="L24" s="210"/>
      <c r="M24" s="210"/>
      <c r="N24" s="211"/>
      <c r="O24" s="339"/>
      <c r="P24" s="304"/>
      <c r="Q24" s="286"/>
      <c r="R24" s="287"/>
      <c r="S24" s="296"/>
    </row>
    <row r="25" spans="2:19" ht="12.75" customHeight="1" thickBot="1" x14ac:dyDescent="0.3">
      <c r="B25" s="115"/>
      <c r="C25" s="305"/>
      <c r="D25" s="115"/>
      <c r="E25" s="115"/>
      <c r="F25" s="115"/>
      <c r="G25" s="115"/>
      <c r="H25" s="115"/>
      <c r="I25" s="115"/>
      <c r="J25" s="115"/>
      <c r="K25" s="115"/>
      <c r="L25" s="115"/>
      <c r="M25" s="115"/>
      <c r="N25" s="306"/>
      <c r="O25" s="304"/>
      <c r="P25" s="304"/>
      <c r="Q25" s="307"/>
      <c r="R25" s="308"/>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9"/>
      <c r="C27" s="155"/>
      <c r="D27" s="155"/>
      <c r="E27" s="155"/>
      <c r="F27" s="155"/>
      <c r="G27" s="310"/>
      <c r="I27" s="238" t="s">
        <v>348</v>
      </c>
      <c r="J27" s="238"/>
      <c r="K27" s="155"/>
      <c r="L27" s="155"/>
      <c r="M27" s="155"/>
      <c r="N27" s="155"/>
      <c r="O27" s="155"/>
      <c r="P27" s="292"/>
      <c r="Q27" s="115"/>
      <c r="R27" s="115"/>
      <c r="S27" s="115"/>
    </row>
    <row r="28" spans="2:19" ht="12.75" customHeight="1" thickBot="1" x14ac:dyDescent="0.3">
      <c r="B28" s="311" t="s">
        <v>337</v>
      </c>
      <c r="C28" s="94"/>
      <c r="D28" s="94"/>
      <c r="E28" s="1134" t="s">
        <v>345</v>
      </c>
      <c r="F28" s="1135"/>
      <c r="G28" s="1135"/>
      <c r="H28" s="1135"/>
      <c r="I28" s="1135"/>
      <c r="J28" s="1135"/>
      <c r="K28" s="1135"/>
      <c r="L28" s="1135"/>
      <c r="M28" s="1136"/>
      <c r="N28" s="94"/>
      <c r="O28" s="325">
        <f>MAX(1.2,C19)</f>
        <v>1.2</v>
      </c>
      <c r="P28" s="297" t="s">
        <v>0</v>
      </c>
      <c r="Q28" s="115"/>
      <c r="R28" s="115"/>
      <c r="S28" s="115"/>
    </row>
    <row r="29" spans="2:19" ht="12.75" customHeight="1" x14ac:dyDescent="0.25">
      <c r="B29" s="1134" t="s">
        <v>338</v>
      </c>
      <c r="C29" s="1136"/>
      <c r="D29" s="94"/>
      <c r="E29" s="947"/>
      <c r="F29" s="566"/>
      <c r="G29" s="567"/>
      <c r="H29" s="567"/>
      <c r="I29" s="567"/>
      <c r="J29" s="570"/>
      <c r="K29" s="548"/>
      <c r="L29" s="378"/>
      <c r="M29" s="948"/>
      <c r="N29" s="94"/>
      <c r="O29" s="312"/>
      <c r="P29" s="297"/>
      <c r="Q29" s="115"/>
      <c r="R29" s="115"/>
      <c r="S29" s="115"/>
    </row>
    <row r="30" spans="2:19" ht="12.75" customHeight="1" x14ac:dyDescent="0.25">
      <c r="B30" s="1170"/>
      <c r="C30" s="1171"/>
      <c r="D30" s="94"/>
      <c r="E30" s="947"/>
      <c r="F30" s="568"/>
      <c r="G30" s="569"/>
      <c r="H30" s="569"/>
      <c r="I30" s="569"/>
      <c r="J30" s="551"/>
      <c r="K30" s="549"/>
      <c r="L30" s="379"/>
      <c r="M30" s="948"/>
      <c r="N30" s="94"/>
      <c r="O30" s="279"/>
      <c r="P30" s="297"/>
      <c r="Q30" s="313"/>
      <c r="R30" s="115"/>
      <c r="S30" s="115"/>
    </row>
    <row r="31" spans="2:19" ht="12.75" customHeight="1" x14ac:dyDescent="0.25">
      <c r="B31" s="1172"/>
      <c r="C31" s="1173"/>
      <c r="D31" s="43"/>
      <c r="E31" s="947"/>
      <c r="F31" s="568"/>
      <c r="G31" s="569"/>
      <c r="H31" s="569"/>
      <c r="I31" s="569"/>
      <c r="J31" s="551"/>
      <c r="K31" s="549"/>
      <c r="L31" s="379"/>
      <c r="M31" s="948"/>
      <c r="N31" s="94"/>
      <c r="O31" s="279"/>
      <c r="P31" s="297"/>
      <c r="Q31" s="313"/>
      <c r="R31" s="115"/>
      <c r="S31" s="115"/>
    </row>
    <row r="32" spans="2:19" ht="12.75" customHeight="1" x14ac:dyDescent="0.25">
      <c r="B32" s="1168" t="s">
        <v>339</v>
      </c>
      <c r="C32" s="1169"/>
      <c r="D32" s="314" t="s">
        <v>344</v>
      </c>
      <c r="E32" s="947"/>
      <c r="F32" s="1178" t="s">
        <v>346</v>
      </c>
      <c r="G32" s="1176"/>
      <c r="H32" s="1176"/>
      <c r="I32" s="1176"/>
      <c r="J32" s="551"/>
      <c r="K32" s="549"/>
      <c r="L32" s="501"/>
      <c r="M32" s="948"/>
      <c r="N32" s="94"/>
      <c r="O32" s="279"/>
      <c r="P32" s="297"/>
      <c r="Q32" s="313"/>
      <c r="R32" s="115"/>
      <c r="S32" s="115"/>
    </row>
    <row r="33" spans="1:38" ht="12.75" customHeight="1" x14ac:dyDescent="0.25">
      <c r="B33" s="1132" t="s">
        <v>340</v>
      </c>
      <c r="C33" s="1133"/>
      <c r="D33" s="43"/>
      <c r="E33" s="947"/>
      <c r="F33" s="1178"/>
      <c r="G33" s="1176"/>
      <c r="H33" s="1176"/>
      <c r="I33" s="1176"/>
      <c r="J33" s="551"/>
      <c r="K33" s="549"/>
      <c r="L33" s="501"/>
      <c r="M33" s="948"/>
      <c r="N33" s="94"/>
      <c r="O33" s="315"/>
      <c r="P33" s="297"/>
      <c r="Q33" s="115"/>
      <c r="R33" s="115"/>
      <c r="S33" s="94"/>
    </row>
    <row r="34" spans="1:38" ht="12.75" customHeight="1" x14ac:dyDescent="0.25">
      <c r="B34" s="1166" t="s">
        <v>341</v>
      </c>
      <c r="C34" s="1167"/>
      <c r="D34" s="94"/>
      <c r="E34" s="947"/>
      <c r="F34" s="1178"/>
      <c r="G34" s="1176"/>
      <c r="H34" s="1176"/>
      <c r="I34" s="1176"/>
      <c r="J34" s="551"/>
      <c r="K34" s="549"/>
      <c r="L34" s="501"/>
      <c r="M34" s="948"/>
      <c r="N34" s="94"/>
      <c r="O34" s="279"/>
      <c r="P34" s="297"/>
      <c r="Q34" s="115"/>
      <c r="R34" s="115"/>
      <c r="S34" s="115"/>
    </row>
    <row r="35" spans="1:38" ht="12.75" customHeight="1" thickBot="1" x14ac:dyDescent="0.3">
      <c r="B35" s="1179" t="s">
        <v>342</v>
      </c>
      <c r="C35" s="1180"/>
      <c r="D35" s="94"/>
      <c r="E35" s="947"/>
      <c r="F35" s="513"/>
      <c r="G35" s="502"/>
      <c r="H35" s="502"/>
      <c r="I35" s="502"/>
      <c r="J35" s="552"/>
      <c r="K35" s="550"/>
      <c r="L35" s="553"/>
      <c r="M35" s="948"/>
      <c r="N35" s="94"/>
      <c r="O35" s="279"/>
      <c r="P35" s="297"/>
      <c r="Q35" s="115"/>
      <c r="R35" s="115"/>
      <c r="S35" s="115"/>
    </row>
    <row r="36" spans="1:38" ht="12.75" customHeight="1" thickBot="1" x14ac:dyDescent="0.3">
      <c r="B36" s="1174" t="s">
        <v>343</v>
      </c>
      <c r="C36" s="1175"/>
      <c r="D36" s="94"/>
      <c r="E36" s="1153" t="s">
        <v>347</v>
      </c>
      <c r="F36" s="1154"/>
      <c r="G36" s="1154"/>
      <c r="H36" s="1154"/>
      <c r="I36" s="1154"/>
      <c r="J36" s="1154"/>
      <c r="K36" s="1154"/>
      <c r="L36" s="1154"/>
      <c r="M36" s="1155"/>
      <c r="N36" s="94"/>
      <c r="O36" s="325">
        <f>O28</f>
        <v>1.2</v>
      </c>
      <c r="P36" s="297" t="s">
        <v>0</v>
      </c>
      <c r="Q36" s="115"/>
      <c r="R36" s="115"/>
      <c r="S36" s="115"/>
    </row>
    <row r="37" spans="1:38" ht="12.75" customHeight="1" x14ac:dyDescent="0.25">
      <c r="B37" s="155"/>
      <c r="C37" s="155"/>
      <c r="D37" s="94"/>
      <c r="E37" s="94"/>
      <c r="F37" s="94"/>
      <c r="G37" s="94"/>
      <c r="H37" s="94"/>
      <c r="I37" s="94"/>
      <c r="J37" s="94"/>
      <c r="K37" s="94"/>
      <c r="L37" s="94"/>
      <c r="M37" s="94"/>
      <c r="N37" s="94"/>
      <c r="O37" s="94"/>
      <c r="P37" s="297"/>
      <c r="Q37" s="115"/>
      <c r="R37" s="115"/>
      <c r="S37" s="115"/>
    </row>
    <row r="38" spans="1:38" ht="12.75" customHeight="1" x14ac:dyDescent="0.25">
      <c r="B38" s="94"/>
      <c r="C38" s="94"/>
      <c r="D38" s="94"/>
      <c r="E38" s="324">
        <f>O28</f>
        <v>1.2</v>
      </c>
      <c r="F38" s="324"/>
      <c r="G38" s="318"/>
      <c r="H38" s="318"/>
      <c r="I38" s="318"/>
      <c r="J38" s="318"/>
      <c r="K38" s="318"/>
      <c r="L38" s="318"/>
      <c r="M38" s="323">
        <f>O28</f>
        <v>1.2</v>
      </c>
      <c r="N38" s="94"/>
      <c r="O38" s="94"/>
      <c r="P38" s="297"/>
      <c r="Q38" s="115"/>
      <c r="R38" s="115"/>
      <c r="S38" s="115"/>
    </row>
    <row r="39" spans="1:38" ht="12.75" customHeight="1" x14ac:dyDescent="0.25">
      <c r="B39" s="509"/>
      <c r="C39" s="510"/>
      <c r="D39" s="510"/>
      <c r="E39" s="511" t="s">
        <v>0</v>
      </c>
      <c r="F39" s="511"/>
      <c r="G39" s="511"/>
      <c r="H39" s="511"/>
      <c r="I39" s="511"/>
      <c r="J39" s="511"/>
      <c r="K39" s="511"/>
      <c r="L39" s="511"/>
      <c r="M39" s="511" t="s">
        <v>0</v>
      </c>
      <c r="N39" s="510"/>
      <c r="O39" s="510"/>
      <c r="P39" s="512"/>
      <c r="Q39" s="115"/>
      <c r="R39" s="115"/>
      <c r="S39" s="115"/>
    </row>
    <row r="40" spans="1:38" ht="12.75" customHeight="1" thickBot="1" x14ac:dyDescent="0.3">
      <c r="B40" s="508"/>
      <c r="C40" s="43"/>
      <c r="D40" s="94"/>
      <c r="E40" s="94"/>
      <c r="F40" s="94"/>
      <c r="G40" s="316"/>
      <c r="I40" s="525" t="s">
        <v>348</v>
      </c>
      <c r="J40" s="525"/>
      <c r="K40" s="94"/>
      <c r="L40" s="94"/>
      <c r="M40" s="94"/>
      <c r="N40" s="94"/>
      <c r="O40" s="94"/>
      <c r="P40" s="297"/>
    </row>
    <row r="41" spans="1:38" ht="12.75" customHeight="1" thickBot="1" x14ac:dyDescent="0.3">
      <c r="B41" s="317"/>
      <c r="C41" s="43"/>
      <c r="D41" s="94"/>
      <c r="E41" s="1134" t="s">
        <v>345</v>
      </c>
      <c r="F41" s="1135"/>
      <c r="G41" s="1135"/>
      <c r="H41" s="1135"/>
      <c r="I41" s="1135"/>
      <c r="J41" s="1135"/>
      <c r="K41" s="1135"/>
      <c r="L41" s="1135"/>
      <c r="M41" s="1136"/>
      <c r="N41" s="94"/>
      <c r="O41" s="325">
        <f>MAX(1.2,C19)</f>
        <v>1.2</v>
      </c>
      <c r="P41" s="297" t="s">
        <v>0</v>
      </c>
      <c r="Q41" s="321"/>
      <c r="R41" s="322"/>
    </row>
    <row r="42" spans="1:38" ht="12.75" customHeight="1" x14ac:dyDescent="0.25">
      <c r="B42" s="317"/>
      <c r="C42" s="43"/>
      <c r="D42" s="94"/>
      <c r="E42" s="947"/>
      <c r="F42" s="376"/>
      <c r="G42" s="548"/>
      <c r="H42" s="570"/>
      <c r="I42" s="567"/>
      <c r="J42" s="567"/>
      <c r="K42" s="567"/>
      <c r="L42" s="571"/>
      <c r="M42" s="948"/>
      <c r="N42" s="94"/>
      <c r="O42" s="312"/>
      <c r="P42" s="297"/>
      <c r="Q42" s="321"/>
      <c r="R42" s="322"/>
    </row>
    <row r="43" spans="1:38" ht="12.75" customHeight="1" x14ac:dyDescent="0.25">
      <c r="B43" s="317"/>
      <c r="C43" s="43"/>
      <c r="D43" s="94"/>
      <c r="E43" s="947"/>
      <c r="F43" s="377"/>
      <c r="G43" s="549"/>
      <c r="H43" s="551"/>
      <c r="I43" s="569"/>
      <c r="J43" s="569"/>
      <c r="K43" s="569"/>
      <c r="L43" s="572"/>
      <c r="M43" s="948"/>
      <c r="N43" s="94"/>
      <c r="O43" s="279"/>
      <c r="P43" s="297"/>
      <c r="Q43" s="321"/>
      <c r="R43" s="322"/>
    </row>
    <row r="44" spans="1:38" ht="12.75" customHeight="1" x14ac:dyDescent="0.25">
      <c r="B44" s="317"/>
      <c r="C44" s="46"/>
      <c r="D44" s="43"/>
      <c r="E44" s="947"/>
      <c r="F44" s="377"/>
      <c r="G44" s="549"/>
      <c r="H44" s="551"/>
      <c r="I44" s="569"/>
      <c r="J44" s="569"/>
      <c r="K44" s="569"/>
      <c r="L44" s="572"/>
      <c r="M44" s="948"/>
      <c r="N44" s="94"/>
      <c r="O44" s="279"/>
      <c r="P44" s="297"/>
      <c r="Q44" s="321"/>
      <c r="R44" s="322"/>
    </row>
    <row r="45" spans="1:38" ht="12.75" customHeight="1" x14ac:dyDescent="0.25">
      <c r="A45" s="97"/>
      <c r="B45" s="317"/>
      <c r="C45" s="46"/>
      <c r="D45" s="314" t="s">
        <v>344</v>
      </c>
      <c r="E45" s="947"/>
      <c r="F45" s="500"/>
      <c r="G45" s="549"/>
      <c r="H45" s="551"/>
      <c r="I45" s="1176" t="s">
        <v>349</v>
      </c>
      <c r="J45" s="1176"/>
      <c r="K45" s="1176"/>
      <c r="L45" s="1177"/>
      <c r="M45" s="948"/>
      <c r="N45" s="94"/>
      <c r="O45" s="279"/>
      <c r="P45" s="297"/>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5"/>
      <c r="C46" s="46"/>
      <c r="D46" s="43"/>
      <c r="E46" s="947"/>
      <c r="F46" s="500"/>
      <c r="G46" s="549"/>
      <c r="H46" s="551"/>
      <c r="I46" s="1176"/>
      <c r="J46" s="1176"/>
      <c r="K46" s="1176"/>
      <c r="L46" s="1177"/>
      <c r="M46" s="948"/>
      <c r="N46" s="94"/>
      <c r="O46" s="315"/>
      <c r="P46" s="297"/>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5"/>
      <c r="C47" s="46"/>
      <c r="D47" s="94"/>
      <c r="E47" s="947"/>
      <c r="F47" s="500"/>
      <c r="G47" s="549"/>
      <c r="H47" s="551"/>
      <c r="I47" s="1176"/>
      <c r="J47" s="1176"/>
      <c r="K47" s="1176"/>
      <c r="L47" s="1177"/>
      <c r="M47" s="948"/>
      <c r="N47" s="94"/>
      <c r="O47" s="279"/>
      <c r="P47" s="297"/>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5"/>
      <c r="C48" s="46"/>
      <c r="D48" s="94"/>
      <c r="E48" s="947"/>
      <c r="F48" s="554"/>
      <c r="G48" s="550"/>
      <c r="H48" s="552"/>
      <c r="I48" s="502"/>
      <c r="J48" s="502"/>
      <c r="K48" s="502"/>
      <c r="L48" s="514"/>
      <c r="M48" s="948"/>
      <c r="N48" s="94"/>
      <c r="O48" s="279"/>
      <c r="P48" s="297"/>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5"/>
      <c r="C49" s="46"/>
      <c r="D49" s="94"/>
      <c r="E49" s="1153" t="s">
        <v>347</v>
      </c>
      <c r="F49" s="1154"/>
      <c r="G49" s="1154"/>
      <c r="H49" s="1154"/>
      <c r="I49" s="1154"/>
      <c r="J49" s="1154"/>
      <c r="K49" s="1154"/>
      <c r="L49" s="1154"/>
      <c r="M49" s="1155"/>
      <c r="N49" s="94"/>
      <c r="O49" s="325">
        <f>O41</f>
        <v>1.2</v>
      </c>
      <c r="P49" s="297"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6"/>
      <c r="C50" s="25"/>
      <c r="D50" s="94"/>
      <c r="E50" s="94"/>
      <c r="F50" s="94"/>
      <c r="G50" s="94"/>
      <c r="H50" s="94"/>
      <c r="I50" s="94"/>
      <c r="J50" s="94"/>
      <c r="K50" s="94"/>
      <c r="L50" s="94"/>
      <c r="M50" s="94"/>
      <c r="N50" s="94"/>
      <c r="O50" s="94"/>
      <c r="P50" s="297"/>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6"/>
      <c r="C51" s="25"/>
      <c r="D51" s="94"/>
      <c r="E51" s="324">
        <f>O41</f>
        <v>1.2</v>
      </c>
      <c r="F51" s="324"/>
      <c r="G51" s="318"/>
      <c r="H51" s="318"/>
      <c r="I51" s="318"/>
      <c r="J51" s="318"/>
      <c r="K51" s="318"/>
      <c r="L51" s="318"/>
      <c r="M51" s="323">
        <f>O41</f>
        <v>1.2</v>
      </c>
      <c r="N51" s="94"/>
      <c r="O51" s="94"/>
      <c r="P51" s="297"/>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9"/>
      <c r="C52" s="211"/>
      <c r="D52" s="211"/>
      <c r="E52" s="320" t="s">
        <v>0</v>
      </c>
      <c r="F52" s="320"/>
      <c r="G52" s="320"/>
      <c r="H52" s="320"/>
      <c r="I52" s="320"/>
      <c r="J52" s="320"/>
      <c r="K52" s="320"/>
      <c r="L52" s="320"/>
      <c r="M52" s="320" t="s">
        <v>0</v>
      </c>
      <c r="N52" s="211"/>
      <c r="O52" s="211"/>
      <c r="P52" s="507"/>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 ref="B33:C33"/>
    <mergeCell ref="E41:M41"/>
    <mergeCell ref="B5:S5"/>
    <mergeCell ref="C9:D9"/>
    <mergeCell ref="E9:G9"/>
    <mergeCell ref="H9:M9"/>
    <mergeCell ref="C10:D10"/>
    <mergeCell ref="E10:G10"/>
    <mergeCell ref="H10:M10"/>
  </mergeCells>
  <dataValidations disablePrompts="1"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315</v>
      </c>
      <c r="J2" s="3"/>
      <c r="K2" s="4"/>
      <c r="L2" s="4"/>
      <c r="M2" s="7"/>
      <c r="N2" s="10"/>
    </row>
    <row r="3" spans="2:14" ht="18" x14ac:dyDescent="0.2">
      <c r="B3" s="222" t="s">
        <v>316</v>
      </c>
      <c r="C3" s="9"/>
      <c r="D3" s="10"/>
      <c r="E3" s="10"/>
      <c r="F3" s="10"/>
      <c r="G3" s="10"/>
      <c r="H3" s="225"/>
      <c r="I3" s="117" t="s">
        <v>317</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208" t="s">
        <v>350</v>
      </c>
      <c r="C5" s="1209"/>
      <c r="D5" s="1209"/>
      <c r="E5" s="1209"/>
      <c r="F5" s="1209"/>
      <c r="G5" s="1209"/>
      <c r="H5" s="1209"/>
      <c r="I5" s="1209"/>
      <c r="J5" s="1209"/>
      <c r="K5" s="1209"/>
      <c r="L5" s="1209"/>
      <c r="M5" s="1210"/>
      <c r="N5" s="280"/>
    </row>
    <row r="6" spans="2:14" ht="15" x14ac:dyDescent="0.2">
      <c r="B6" s="245" t="s">
        <v>351</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352</v>
      </c>
      <c r="C9" s="1"/>
      <c r="D9" s="1"/>
      <c r="E9" s="1"/>
      <c r="F9" s="1"/>
      <c r="G9" s="1"/>
      <c r="H9" s="1"/>
      <c r="I9" s="1"/>
      <c r="J9" s="1"/>
      <c r="K9" s="1"/>
      <c r="L9" s="1"/>
      <c r="M9" s="1"/>
      <c r="N9" s="1"/>
    </row>
    <row r="10" spans="2:14" ht="13.5" thickBot="1" x14ac:dyDescent="0.25">
      <c r="B10" s="247" t="s">
        <v>310</v>
      </c>
      <c r="C10" s="1213" t="str">
        <f>'building data'!C9</f>
        <v>807 E Main</v>
      </c>
      <c r="D10" s="1214"/>
      <c r="E10" s="248" t="s">
        <v>319</v>
      </c>
      <c r="F10" s="249" t="s">
        <v>7</v>
      </c>
      <c r="G10" s="19"/>
      <c r="H10" s="1225" t="s">
        <v>354</v>
      </c>
      <c r="I10" s="1226"/>
      <c r="J10" s="1226"/>
      <c r="K10" s="1226"/>
      <c r="L10" s="1226"/>
      <c r="M10" s="1227"/>
      <c r="N10" s="1"/>
    </row>
    <row r="11" spans="2:14" ht="12.75" customHeight="1" x14ac:dyDescent="0.2">
      <c r="B11" s="250" t="s">
        <v>311</v>
      </c>
      <c r="C11" s="1215">
        <f>'building data'!C10</f>
        <v>27332</v>
      </c>
      <c r="D11" s="1215"/>
      <c r="E11" s="251" t="s">
        <v>320</v>
      </c>
      <c r="F11" s="228" t="str">
        <f>'building data'!H10</f>
        <v>807 E Main St</v>
      </c>
      <c r="G11" s="19"/>
      <c r="H11" s="1228" t="s">
        <v>355</v>
      </c>
      <c r="I11" s="1229"/>
      <c r="J11" s="1196" t="s">
        <v>356</v>
      </c>
      <c r="K11" s="1196" t="s">
        <v>357</v>
      </c>
      <c r="L11" s="1196" t="s">
        <v>358</v>
      </c>
      <c r="M11" s="1181" t="s">
        <v>359</v>
      </c>
      <c r="N11" s="1"/>
    </row>
    <row r="12" spans="2:14" ht="13.5" thickBot="1" x14ac:dyDescent="0.25">
      <c r="B12" s="250" t="s">
        <v>312</v>
      </c>
      <c r="C12" s="1215" t="str">
        <f>'building data'!C11</f>
        <v>Ted Bleecker</v>
      </c>
      <c r="D12" s="1215"/>
      <c r="E12" s="251" t="s">
        <v>321</v>
      </c>
      <c r="F12" s="228" t="str">
        <f>'building data'!H11</f>
        <v>USA</v>
      </c>
      <c r="G12" s="19"/>
      <c r="H12" s="1230"/>
      <c r="I12" s="1231"/>
      <c r="J12" s="1197"/>
      <c r="K12" s="1197"/>
      <c r="L12" s="1197"/>
      <c r="M12" s="1182"/>
      <c r="N12" s="1"/>
    </row>
    <row r="13" spans="2:14" ht="13.5" thickBot="1" x14ac:dyDescent="0.25">
      <c r="B13" s="252" t="s">
        <v>353</v>
      </c>
      <c r="C13" s="1216">
        <f ca="1">'building data'!C12</f>
        <v>42649</v>
      </c>
      <c r="D13" s="1217"/>
      <c r="E13" s="253" t="s">
        <v>322</v>
      </c>
      <c r="F13" s="229" t="str">
        <f>'building data'!H12</f>
        <v>ASCE/SEI 7-10</v>
      </c>
      <c r="G13" s="19"/>
      <c r="H13" s="1184">
        <v>1.6</v>
      </c>
      <c r="I13" s="1185"/>
      <c r="J13" s="425">
        <v>1.6</v>
      </c>
      <c r="K13" s="426">
        <v>0.9</v>
      </c>
      <c r="L13" s="426">
        <v>0.9</v>
      </c>
      <c r="M13" s="1183"/>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360</v>
      </c>
      <c r="C16" s="1"/>
      <c r="D16" s="1"/>
      <c r="E16" s="1"/>
      <c r="F16" s="1"/>
      <c r="G16" s="1"/>
      <c r="H16" s="1"/>
      <c r="I16" s="1"/>
      <c r="J16" s="1"/>
      <c r="K16" s="1"/>
      <c r="L16" s="1"/>
      <c r="M16" s="1"/>
      <c r="N16" s="1"/>
    </row>
    <row r="17" spans="2:14" x14ac:dyDescent="0.2">
      <c r="B17" s="14" t="s">
        <v>361</v>
      </c>
      <c r="C17" s="1"/>
      <c r="D17" s="1"/>
      <c r="E17" s="1"/>
      <c r="F17" s="1"/>
      <c r="G17" s="1"/>
      <c r="H17" s="1"/>
      <c r="I17" s="1"/>
      <c r="J17" s="1"/>
      <c r="K17" s="1"/>
      <c r="L17" s="1"/>
      <c r="M17" s="1"/>
      <c r="N17" s="1"/>
    </row>
    <row r="18" spans="2:14" ht="13.5" thickBot="1" x14ac:dyDescent="0.3">
      <c r="B18" s="81"/>
    </row>
    <row r="19" spans="2:14" ht="17.25" customHeight="1" thickBot="1" x14ac:dyDescent="0.25">
      <c r="B19" s="254" t="s">
        <v>387</v>
      </c>
      <c r="C19" s="255">
        <f>VLOOKUP(C24,B38:M40,6,0)/1000</f>
        <v>1.0384922145487721</v>
      </c>
      <c r="D19" s="256" t="s">
        <v>2</v>
      </c>
      <c r="E19" s="257" t="s">
        <v>388</v>
      </c>
      <c r="F19" s="258">
        <f>(2/1.25*1000*C19)^0.5</f>
        <v>40.762575277796607</v>
      </c>
      <c r="G19" s="259" t="s">
        <v>8</v>
      </c>
      <c r="H19" s="1218" t="s">
        <v>389</v>
      </c>
      <c r="I19" s="1218"/>
      <c r="J19" s="258">
        <f>F19*3.6</f>
        <v>146.74527100006779</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352</v>
      </c>
    </row>
    <row r="24" spans="2:14" ht="13.5" customHeight="1" x14ac:dyDescent="0.25">
      <c r="B24" s="82" t="s">
        <v>379</v>
      </c>
      <c r="C24" s="718" t="str">
        <f>IF('1-Eng Inputs'!B25="B","Exp. B",IF('1-Eng Inputs'!B25="C","Exp. C","Exp. D"))</f>
        <v>Exp. B</v>
      </c>
      <c r="D24" s="50"/>
      <c r="E24" s="1219" t="s">
        <v>371</v>
      </c>
      <c r="F24" s="1219"/>
      <c r="G24" s="1219"/>
      <c r="H24" s="1219"/>
      <c r="I24" s="1219"/>
      <c r="J24" s="1219"/>
      <c r="K24" s="1219"/>
      <c r="L24" s="1219"/>
      <c r="M24" s="1220"/>
    </row>
    <row r="25" spans="2:14" x14ac:dyDescent="0.25">
      <c r="B25" s="83" t="s">
        <v>367</v>
      </c>
      <c r="C25" s="1221" t="str">
        <f>VLOOKUP(C24,B38:N40,7,0)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4" ht="25.5" customHeight="1" x14ac:dyDescent="0.25">
      <c r="B26" s="84" t="s">
        <v>380</v>
      </c>
      <c r="C26" s="717">
        <f>'1-Eng Inputs'!B29*0.3048</f>
        <v>97.536000000000001</v>
      </c>
      <c r="D26" s="244" t="s">
        <v>378</v>
      </c>
      <c r="E26" s="1223"/>
      <c r="F26" s="1223"/>
      <c r="G26" s="1223"/>
      <c r="H26" s="1223"/>
      <c r="I26" s="1223"/>
      <c r="J26" s="1223"/>
      <c r="K26" s="1223"/>
      <c r="L26" s="1223"/>
      <c r="M26" s="1224"/>
    </row>
    <row r="27" spans="2:14" ht="12.75" customHeight="1" x14ac:dyDescent="0.25">
      <c r="B27" s="85" t="s">
        <v>381</v>
      </c>
      <c r="C27" s="86">
        <f>'building data'!C16</f>
        <v>7.3152000000000008</v>
      </c>
      <c r="D27" s="87" t="s">
        <v>0</v>
      </c>
      <c r="E27" s="1223" t="s">
        <v>372</v>
      </c>
      <c r="F27" s="1223"/>
      <c r="G27" s="1223"/>
      <c r="H27" s="1223"/>
      <c r="I27" s="1223"/>
      <c r="J27" s="1223"/>
      <c r="K27" s="1223"/>
      <c r="L27" s="1223"/>
      <c r="M27" s="1224"/>
    </row>
    <row r="28" spans="2:14" ht="25.5" customHeight="1" x14ac:dyDescent="0.25">
      <c r="B28" s="88" t="s">
        <v>382</v>
      </c>
      <c r="C28" s="719">
        <f>'1-Eng Inputs'!B23*0.44704</f>
        <v>49.174399999999999</v>
      </c>
      <c r="D28" s="87" t="s">
        <v>8</v>
      </c>
      <c r="E28" s="1211" t="s">
        <v>373</v>
      </c>
      <c r="F28" s="1211"/>
      <c r="G28" s="1211"/>
      <c r="H28" s="1211"/>
      <c r="I28" s="1211"/>
      <c r="J28" s="1211"/>
      <c r="K28" s="1211"/>
      <c r="L28" s="1211"/>
      <c r="M28" s="1212"/>
    </row>
    <row r="29" spans="2:14" ht="42.75" customHeight="1" x14ac:dyDescent="0.25">
      <c r="B29" s="88" t="s">
        <v>383</v>
      </c>
      <c r="C29" s="89" t="s">
        <v>30</v>
      </c>
      <c r="D29" s="87" t="s">
        <v>4</v>
      </c>
      <c r="E29" s="1211" t="s">
        <v>374</v>
      </c>
      <c r="F29" s="1211"/>
      <c r="G29" s="1211"/>
      <c r="H29" s="1211"/>
      <c r="I29" s="1211"/>
      <c r="J29" s="1211"/>
      <c r="K29" s="1211"/>
      <c r="L29" s="1211"/>
      <c r="M29" s="1212"/>
    </row>
    <row r="30" spans="2:14" ht="26.25" customHeight="1" x14ac:dyDescent="0.25">
      <c r="B30" s="233" t="s">
        <v>384</v>
      </c>
      <c r="C30" s="86">
        <f>IF('1-Eng Inputs'!B24="I",0.87,IF('1-Eng Inputs'!B24="II",1,1.15))</f>
        <v>1</v>
      </c>
      <c r="D30" s="262"/>
      <c r="E30" s="1190" t="s">
        <v>375</v>
      </c>
      <c r="F30" s="1190"/>
      <c r="G30" s="1190"/>
      <c r="H30" s="1190"/>
      <c r="I30" s="1190"/>
      <c r="J30" s="1190"/>
      <c r="K30" s="1190"/>
      <c r="L30" s="1190"/>
      <c r="M30" s="1191"/>
    </row>
    <row r="31" spans="2:14" ht="12.75" customHeight="1" x14ac:dyDescent="0.25">
      <c r="B31" s="88" t="s">
        <v>385</v>
      </c>
      <c r="C31" s="720">
        <v>1</v>
      </c>
      <c r="D31" s="87"/>
      <c r="E31" s="1192" t="s">
        <v>376</v>
      </c>
      <c r="F31" s="1192"/>
      <c r="G31" s="1192"/>
      <c r="H31" s="1192"/>
      <c r="I31" s="1192"/>
      <c r="J31" s="1192"/>
      <c r="K31" s="1192"/>
      <c r="L31" s="1192"/>
      <c r="M31" s="1193"/>
    </row>
    <row r="32" spans="2:14" ht="25.5" customHeight="1" thickBot="1" x14ac:dyDescent="0.3">
      <c r="B32" s="90" t="s">
        <v>386</v>
      </c>
      <c r="C32" s="91">
        <v>1</v>
      </c>
      <c r="D32" s="92"/>
      <c r="E32" s="1194" t="s">
        <v>377</v>
      </c>
      <c r="F32" s="1194"/>
      <c r="G32" s="1194"/>
      <c r="H32" s="1194"/>
      <c r="I32" s="1194"/>
      <c r="J32" s="1194"/>
      <c r="K32" s="1194"/>
      <c r="L32" s="1194"/>
      <c r="M32" s="1195"/>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379</v>
      </c>
      <c r="K36" s="97"/>
      <c r="L36" s="97"/>
      <c r="M36" s="98"/>
      <c r="N36" s="97"/>
    </row>
    <row r="37" spans="1:15" ht="27" customHeight="1" thickBot="1" x14ac:dyDescent="0.3">
      <c r="B37" s="99" t="s">
        <v>366</v>
      </c>
      <c r="C37" s="100" t="s">
        <v>11</v>
      </c>
      <c r="D37" s="100" t="s">
        <v>12</v>
      </c>
      <c r="E37" s="100" t="s">
        <v>13</v>
      </c>
      <c r="F37" s="100" t="s">
        <v>14</v>
      </c>
      <c r="G37" s="100" t="s">
        <v>15</v>
      </c>
      <c r="H37" s="1198" t="s">
        <v>367</v>
      </c>
      <c r="I37" s="1187"/>
      <c r="J37" s="1187"/>
      <c r="K37" s="1187"/>
      <c r="L37" s="1187"/>
      <c r="M37" s="1188"/>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1038.4922145487722</v>
      </c>
      <c r="H38" s="1199" t="s">
        <v>368</v>
      </c>
      <c r="I38" s="1200"/>
      <c r="J38" s="1200"/>
      <c r="K38" s="1200"/>
      <c r="L38" s="1200"/>
      <c r="M38" s="1201"/>
    </row>
    <row r="39" spans="1:15" ht="25.5" customHeight="1" x14ac:dyDescent="0.25">
      <c r="B39" s="101" t="s">
        <v>16</v>
      </c>
      <c r="C39" s="102">
        <v>274.32</v>
      </c>
      <c r="D39" s="58">
        <v>4.57</v>
      </c>
      <c r="E39" s="73">
        <v>9.5</v>
      </c>
      <c r="F39" s="102">
        <f>IF($C$27&gt;C39,"Fehler",IF($C$27&gt;15*0.3048,2.01*($C$27/C39)^(2/E39),2.01*(15*0.3048/C39)^(2/E39)))</f>
        <v>0.93717577428821708</v>
      </c>
      <c r="G39" s="103">
        <f>0.613*F39*$C$31*$C$32*$C$30*$C$28^2</f>
        <v>1389.1836632824243</v>
      </c>
      <c r="H39" s="1202" t="s">
        <v>369</v>
      </c>
      <c r="I39" s="1203"/>
      <c r="J39" s="1203"/>
      <c r="K39" s="1203"/>
      <c r="L39" s="1203"/>
      <c r="M39" s="1204"/>
    </row>
    <row r="40" spans="1:15" ht="26.25" customHeight="1" thickBot="1" x14ac:dyDescent="0.3">
      <c r="B40" s="104" t="s">
        <v>17</v>
      </c>
      <c r="C40" s="105">
        <v>213.36</v>
      </c>
      <c r="D40" s="106">
        <v>2.13</v>
      </c>
      <c r="E40" s="107">
        <v>11.5</v>
      </c>
      <c r="F40" s="105">
        <f>IF($C$27&gt;C40,"Fehler",IF($C$27&gt;15*0.3048,2.01*($C$27/C40)^(2/E40),2.01*(15*0.3048/C40)^(2/E40)))</f>
        <v>1.1179776873727965</v>
      </c>
      <c r="G40" s="108">
        <f>0.613*F40*$C$31*$C$32*$C$30*$C$28^2</f>
        <v>1657.1878849430486</v>
      </c>
      <c r="H40" s="1205" t="s">
        <v>370</v>
      </c>
      <c r="I40" s="1206"/>
      <c r="J40" s="1206"/>
      <c r="K40" s="1206"/>
      <c r="L40" s="1206"/>
      <c r="M40" s="1207"/>
    </row>
    <row r="41" spans="1:15" ht="13.5" thickBot="1" x14ac:dyDescent="0.3">
      <c r="B41" s="109"/>
      <c r="C41" s="110"/>
      <c r="D41" s="110"/>
      <c r="F41" s="98"/>
      <c r="G41" s="97"/>
      <c r="H41" s="111"/>
    </row>
    <row r="42" spans="1:15" ht="12.75" customHeight="1" thickBot="1" x14ac:dyDescent="0.3">
      <c r="B42" s="1186" t="s">
        <v>362</v>
      </c>
      <c r="C42" s="1187"/>
      <c r="D42" s="1188"/>
      <c r="E42" s="242"/>
      <c r="F42" s="43"/>
      <c r="O42" s="43"/>
    </row>
    <row r="43" spans="1:15" ht="90.75" customHeight="1" thickBot="1" x14ac:dyDescent="0.3">
      <c r="B43" s="99" t="s">
        <v>363</v>
      </c>
      <c r="C43" s="264" t="s">
        <v>364</v>
      </c>
      <c r="D43" s="265" t="s">
        <v>365</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189"/>
      <c r="C48" s="1189"/>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 ref="M11:M13"/>
    <mergeCell ref="H13:I13"/>
    <mergeCell ref="B42:D42"/>
    <mergeCell ref="B48:C48"/>
    <mergeCell ref="E30:M30"/>
    <mergeCell ref="E31:M31"/>
    <mergeCell ref="E32:M32"/>
    <mergeCell ref="L11:L12"/>
    <mergeCell ref="H37:M37"/>
    <mergeCell ref="H38:M38"/>
    <mergeCell ref="H39:M39"/>
    <mergeCell ref="H40:M40"/>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B5" sqref="B5:M5"/>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315</v>
      </c>
      <c r="J2" s="218"/>
      <c r="K2" s="219"/>
      <c r="L2" s="219"/>
      <c r="M2" s="221"/>
      <c r="N2" s="224"/>
    </row>
    <row r="3" spans="2:14" ht="18" x14ac:dyDescent="0.25">
      <c r="B3" s="222" t="s">
        <v>316</v>
      </c>
      <c r="C3" s="223"/>
      <c r="D3" s="224"/>
      <c r="E3" s="224"/>
      <c r="F3" s="224"/>
      <c r="G3" s="224"/>
      <c r="H3" s="225"/>
      <c r="I3" s="117" t="s">
        <v>317</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137" t="s">
        <v>395</v>
      </c>
      <c r="C5" s="1138"/>
      <c r="D5" s="1138"/>
      <c r="E5" s="1138"/>
      <c r="F5" s="1138"/>
      <c r="G5" s="1138"/>
      <c r="H5" s="1138"/>
      <c r="I5" s="1138"/>
      <c r="J5" s="1138"/>
      <c r="K5" s="1138"/>
      <c r="L5" s="1138"/>
      <c r="M5" s="1139"/>
      <c r="N5" s="383"/>
    </row>
    <row r="6" spans="2:14" ht="15" x14ac:dyDescent="0.25">
      <c r="B6" s="384" t="s">
        <v>351</v>
      </c>
      <c r="C6" s="385" t="s">
        <v>32</v>
      </c>
    </row>
    <row r="7" spans="2:14" ht="15" customHeight="1" x14ac:dyDescent="0.25">
      <c r="B7" s="385"/>
      <c r="C7" s="385" t="s">
        <v>33</v>
      </c>
    </row>
    <row r="8" spans="2:14" ht="15" x14ac:dyDescent="0.25">
      <c r="C8" s="385"/>
    </row>
    <row r="9" spans="2:14" ht="13.5" thickBot="1" x14ac:dyDescent="0.3">
      <c r="B9" s="386" t="s">
        <v>352</v>
      </c>
    </row>
    <row r="10" spans="2:14" ht="15.75" customHeight="1" thickBot="1" x14ac:dyDescent="0.25">
      <c r="B10" s="387" t="s">
        <v>310</v>
      </c>
      <c r="C10" s="1213" t="str">
        <f>'building data'!C9</f>
        <v>807 E Main</v>
      </c>
      <c r="D10" s="1214"/>
      <c r="E10" s="388" t="s">
        <v>319</v>
      </c>
      <c r="F10" s="389" t="s">
        <v>7</v>
      </c>
      <c r="H10" s="1225" t="s">
        <v>354</v>
      </c>
      <c r="I10" s="1226"/>
      <c r="J10" s="1226"/>
      <c r="K10" s="1226"/>
      <c r="L10" s="1226"/>
      <c r="M10" s="1227"/>
    </row>
    <row r="11" spans="2:14" ht="15.75" customHeight="1" x14ac:dyDescent="0.25">
      <c r="B11" s="390" t="s">
        <v>311</v>
      </c>
      <c r="C11" s="1215">
        <f>'building data'!C10</f>
        <v>27332</v>
      </c>
      <c r="D11" s="1215"/>
      <c r="E11" s="391" t="s">
        <v>320</v>
      </c>
      <c r="F11" s="228" t="str">
        <f>'building data'!H10</f>
        <v>807 E Main St</v>
      </c>
      <c r="H11" s="1228" t="s">
        <v>355</v>
      </c>
      <c r="I11" s="1229"/>
      <c r="J11" s="1196" t="s">
        <v>356</v>
      </c>
      <c r="K11" s="1196" t="s">
        <v>357</v>
      </c>
      <c r="L11" s="1196" t="s">
        <v>358</v>
      </c>
      <c r="M11" s="1181" t="s">
        <v>394</v>
      </c>
    </row>
    <row r="12" spans="2:14" ht="15.75" customHeight="1" thickBot="1" x14ac:dyDescent="0.3">
      <c r="B12" s="390" t="s">
        <v>312</v>
      </c>
      <c r="C12" s="1215" t="str">
        <f>'building data'!C11</f>
        <v>Ted Bleecker</v>
      </c>
      <c r="D12" s="1215"/>
      <c r="E12" s="391" t="s">
        <v>321</v>
      </c>
      <c r="F12" s="228" t="str">
        <f>'building data'!H11</f>
        <v>USA</v>
      </c>
      <c r="H12" s="1230"/>
      <c r="I12" s="1231"/>
      <c r="J12" s="1197"/>
      <c r="K12" s="1197"/>
      <c r="L12" s="1197"/>
      <c r="M12" s="1182"/>
    </row>
    <row r="13" spans="2:14" ht="15.75" customHeight="1" thickBot="1" x14ac:dyDescent="0.3">
      <c r="B13" s="392" t="s">
        <v>353</v>
      </c>
      <c r="C13" s="1216">
        <f ca="1">'building data'!C12</f>
        <v>42649</v>
      </c>
      <c r="D13" s="1232"/>
      <c r="E13" s="393" t="s">
        <v>322</v>
      </c>
      <c r="F13" s="229" t="str">
        <f>'building data'!H12</f>
        <v>ASCE/SEI 7-10</v>
      </c>
      <c r="H13" s="1184">
        <v>1</v>
      </c>
      <c r="I13" s="1185"/>
      <c r="J13" s="425">
        <v>1</v>
      </c>
      <c r="K13" s="426">
        <v>0.9</v>
      </c>
      <c r="L13" s="426">
        <v>0.9</v>
      </c>
      <c r="M13" s="1183"/>
    </row>
    <row r="14" spans="2:14" ht="12.75" customHeight="1" x14ac:dyDescent="0.25">
      <c r="C14" s="385"/>
    </row>
    <row r="16" spans="2:14" x14ac:dyDescent="0.25">
      <c r="B16" s="394" t="s">
        <v>396</v>
      </c>
    </row>
    <row r="17" spans="2:13" x14ac:dyDescent="0.25">
      <c r="B17" s="394" t="s">
        <v>397</v>
      </c>
    </row>
    <row r="18" spans="2:13" ht="13.5" thickBot="1" x14ac:dyDescent="0.3">
      <c r="B18" s="81"/>
    </row>
    <row r="19" spans="2:13" ht="17.25" customHeight="1" thickBot="1" x14ac:dyDescent="0.3">
      <c r="B19" s="395" t="s">
        <v>387</v>
      </c>
      <c r="C19" s="396">
        <f>VLOOKUP(C24,B37:M39,6,0)/1000</f>
        <v>1.0384922145487721</v>
      </c>
      <c r="D19" s="397" t="s">
        <v>2</v>
      </c>
      <c r="E19" s="382" t="s">
        <v>388</v>
      </c>
      <c r="F19" s="398">
        <f>(2/1.25*1000*C19)^0.5</f>
        <v>40.762575277796607</v>
      </c>
      <c r="G19" s="399" t="s">
        <v>8</v>
      </c>
      <c r="H19" s="1236" t="s">
        <v>389</v>
      </c>
      <c r="I19" s="1236"/>
      <c r="J19" s="398">
        <f>F19*3.6</f>
        <v>146.74527100006779</v>
      </c>
      <c r="K19" s="400" t="s">
        <v>9</v>
      </c>
      <c r="L19" s="94"/>
    </row>
    <row r="20" spans="2:13" ht="12.75" customHeight="1" x14ac:dyDescent="0.25"/>
    <row r="21" spans="2:13" ht="12.75" customHeight="1" x14ac:dyDescent="0.25"/>
    <row r="22" spans="2:13" ht="12.75" customHeight="1" x14ac:dyDescent="0.25">
      <c r="B22" s="81"/>
    </row>
    <row r="23" spans="2:13" ht="16.5" thickBot="1" x14ac:dyDescent="0.3">
      <c r="B23" s="401" t="s">
        <v>352</v>
      </c>
    </row>
    <row r="24" spans="2:13" ht="13.5" customHeight="1" x14ac:dyDescent="0.25">
      <c r="B24" s="82" t="s">
        <v>379</v>
      </c>
      <c r="C24" s="718" t="str">
        <f>IF('1-Eng Inputs'!B25="B","Exp. B",IF('1-Eng Inputs'!B25="C","Exp. C","Exp. D"))</f>
        <v>Exp. B</v>
      </c>
      <c r="D24" s="50" t="s">
        <v>4</v>
      </c>
      <c r="E24" s="1219" t="s">
        <v>393</v>
      </c>
      <c r="F24" s="1219"/>
      <c r="G24" s="1219"/>
      <c r="H24" s="1219"/>
      <c r="I24" s="1219"/>
      <c r="J24" s="1219"/>
      <c r="K24" s="1219"/>
      <c r="L24" s="1219"/>
      <c r="M24" s="1220"/>
    </row>
    <row r="25" spans="2:13" x14ac:dyDescent="0.25">
      <c r="B25" s="83" t="s">
        <v>367</v>
      </c>
      <c r="C25" s="1221" t="str">
        <f>VLOOKUP(C24,B37:M39,7,0)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3" ht="25.5" customHeight="1" x14ac:dyDescent="0.25">
      <c r="B26" s="84" t="s">
        <v>380</v>
      </c>
      <c r="C26" s="717">
        <f>'1-Eng Inputs'!B29*0.3048</f>
        <v>97.536000000000001</v>
      </c>
      <c r="D26" s="244" t="str">
        <f>IF($F$10="Deutsch","m über NHN",IF($F$10="English","m ASL","Fehler"))</f>
        <v>m ASL</v>
      </c>
      <c r="E26" s="1223"/>
      <c r="F26" s="1223"/>
      <c r="G26" s="1223"/>
      <c r="H26" s="1223"/>
      <c r="I26" s="1223"/>
      <c r="J26" s="1223"/>
      <c r="K26" s="1223"/>
      <c r="L26" s="1223"/>
      <c r="M26" s="1224"/>
    </row>
    <row r="27" spans="2:13" ht="12.75" customHeight="1" x14ac:dyDescent="0.25">
      <c r="B27" s="85" t="s">
        <v>381</v>
      </c>
      <c r="C27" s="86">
        <f>'building data'!C16</f>
        <v>7.3152000000000008</v>
      </c>
      <c r="D27" s="87" t="s">
        <v>0</v>
      </c>
      <c r="E27" s="1223" t="s">
        <v>372</v>
      </c>
      <c r="F27" s="1223"/>
      <c r="G27" s="1223"/>
      <c r="H27" s="1223"/>
      <c r="I27" s="1223"/>
      <c r="J27" s="1223"/>
      <c r="K27" s="1223"/>
      <c r="L27" s="1223"/>
      <c r="M27" s="1224"/>
    </row>
    <row r="28" spans="2:13" ht="25.5" customHeight="1" x14ac:dyDescent="0.25">
      <c r="B28" s="88" t="s">
        <v>382</v>
      </c>
      <c r="C28" s="719">
        <f>'1-Eng Inputs'!B23*0.44704</f>
        <v>49.174399999999999</v>
      </c>
      <c r="D28" s="87" t="s">
        <v>8</v>
      </c>
      <c r="E28" s="1211" t="s">
        <v>390</v>
      </c>
      <c r="F28" s="1211"/>
      <c r="G28" s="1211"/>
      <c r="H28" s="1211"/>
      <c r="I28" s="1211"/>
      <c r="J28" s="1211"/>
      <c r="K28" s="1211"/>
      <c r="L28" s="1211"/>
      <c r="M28" s="1212"/>
    </row>
    <row r="29" spans="2:13" ht="30.75" customHeight="1" x14ac:dyDescent="0.25">
      <c r="B29" s="88" t="s">
        <v>383</v>
      </c>
      <c r="C29" s="89" t="s">
        <v>34</v>
      </c>
      <c r="D29" s="87" t="s">
        <v>4</v>
      </c>
      <c r="E29" s="1211" t="s">
        <v>391</v>
      </c>
      <c r="F29" s="1211"/>
      <c r="G29" s="1211"/>
      <c r="H29" s="1211"/>
      <c r="I29" s="1211"/>
      <c r="J29" s="1211"/>
      <c r="K29" s="1211"/>
      <c r="L29" s="1211"/>
      <c r="M29" s="1212"/>
    </row>
    <row r="30" spans="2:13" ht="12.75" customHeight="1" x14ac:dyDescent="0.25">
      <c r="B30" s="88" t="s">
        <v>385</v>
      </c>
      <c r="C30" s="337">
        <v>1</v>
      </c>
      <c r="D30" s="87" t="s">
        <v>4</v>
      </c>
      <c r="E30" s="1192" t="s">
        <v>376</v>
      </c>
      <c r="F30" s="1192"/>
      <c r="G30" s="1192"/>
      <c r="H30" s="1192"/>
      <c r="I30" s="1192"/>
      <c r="J30" s="1192"/>
      <c r="K30" s="1192"/>
      <c r="L30" s="1192"/>
      <c r="M30" s="1193"/>
    </row>
    <row r="31" spans="2:13" ht="25.5" customHeight="1" thickBot="1" x14ac:dyDescent="0.3">
      <c r="B31" s="90" t="s">
        <v>386</v>
      </c>
      <c r="C31" s="402">
        <v>1</v>
      </c>
      <c r="D31" s="92" t="s">
        <v>4</v>
      </c>
      <c r="E31" s="1194" t="s">
        <v>392</v>
      </c>
      <c r="F31" s="1194"/>
      <c r="G31" s="1194"/>
      <c r="H31" s="1194"/>
      <c r="I31" s="1194"/>
      <c r="J31" s="1194"/>
      <c r="K31" s="1194"/>
      <c r="L31" s="1194"/>
      <c r="M31" s="1195"/>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403" t="s">
        <v>379</v>
      </c>
      <c r="K35" s="97"/>
      <c r="L35" s="97"/>
      <c r="M35" s="98"/>
      <c r="N35" s="97"/>
      <c r="O35" s="97"/>
    </row>
    <row r="36" spans="1:15" ht="27" customHeight="1" thickBot="1" x14ac:dyDescent="0.3">
      <c r="B36" s="99" t="s">
        <v>366</v>
      </c>
      <c r="C36" s="100" t="s">
        <v>11</v>
      </c>
      <c r="D36" s="100" t="s">
        <v>12</v>
      </c>
      <c r="E36" s="100" t="s">
        <v>13</v>
      </c>
      <c r="F36" s="100" t="s">
        <v>14</v>
      </c>
      <c r="G36" s="100" t="s">
        <v>15</v>
      </c>
      <c r="H36" s="1233" t="s">
        <v>367</v>
      </c>
      <c r="I36" s="1234"/>
      <c r="J36" s="1234"/>
      <c r="K36" s="1234"/>
      <c r="L36" s="1234"/>
      <c r="M36" s="1235"/>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1038.4922145487722</v>
      </c>
      <c r="H37" s="1199" t="s">
        <v>368</v>
      </c>
      <c r="I37" s="1200"/>
      <c r="J37" s="1200"/>
      <c r="K37" s="1200"/>
      <c r="L37" s="1200"/>
      <c r="M37" s="1201"/>
    </row>
    <row r="38" spans="1:15" ht="25.5" customHeight="1" x14ac:dyDescent="0.25">
      <c r="B38" s="101" t="s">
        <v>16</v>
      </c>
      <c r="C38" s="102">
        <v>274.32</v>
      </c>
      <c r="D38" s="58">
        <v>4.57</v>
      </c>
      <c r="E38" s="73">
        <v>9.5</v>
      </c>
      <c r="F38" s="102">
        <f>IF($C$27&gt;C38,"Fehler",IF($C$27&gt;15*0.3048,2.01*($C$27/C38)^(2/E38),2.01*(15*0.3048/C38)^(2/E38)))</f>
        <v>0.93717577428821708</v>
      </c>
      <c r="G38" s="103">
        <f t="shared" ref="G38" si="0">0.613*F38*$C$30*$C$31*$C$28^2</f>
        <v>1389.1836632824243</v>
      </c>
      <c r="H38" s="1202" t="s">
        <v>369</v>
      </c>
      <c r="I38" s="1203"/>
      <c r="J38" s="1203"/>
      <c r="K38" s="1203"/>
      <c r="L38" s="1203"/>
      <c r="M38" s="1204"/>
    </row>
    <row r="39" spans="1:15" ht="27.75" customHeight="1" thickBot="1" x14ac:dyDescent="0.3">
      <c r="B39" s="104" t="s">
        <v>17</v>
      </c>
      <c r="C39" s="105">
        <v>213.36</v>
      </c>
      <c r="D39" s="106">
        <v>2.13</v>
      </c>
      <c r="E39" s="107">
        <v>11.5</v>
      </c>
      <c r="F39" s="105">
        <f>IF($C$27&gt;C39,"Fehler",IF($C$27&gt;15*0.3048,2.01*($C$27/C39)^(2/E39),2.01*(15*0.3048/C39)^(2/E39)))</f>
        <v>1.1179776873727965</v>
      </c>
      <c r="G39" s="108">
        <f>0.613*F39*$C$30*$C$31*$C$28^2</f>
        <v>1657.1878849430486</v>
      </c>
      <c r="H39" s="1205" t="s">
        <v>370</v>
      </c>
      <c r="I39" s="1206"/>
      <c r="J39" s="1206"/>
      <c r="K39" s="1206"/>
      <c r="L39" s="1206"/>
      <c r="M39" s="1207"/>
    </row>
    <row r="40" spans="1:15" x14ac:dyDescent="0.25">
      <c r="B40" s="109"/>
      <c r="C40" s="110"/>
      <c r="D40" s="110"/>
      <c r="F40" s="98"/>
      <c r="G40" s="97"/>
      <c r="H40" s="111"/>
    </row>
    <row r="41" spans="1:15" x14ac:dyDescent="0.25">
      <c r="B41" s="381"/>
      <c r="C41" s="381"/>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 ref="B5:M5"/>
    <mergeCell ref="C10:D10"/>
    <mergeCell ref="H10:M10"/>
    <mergeCell ref="C11:D11"/>
    <mergeCell ref="H11:I12"/>
    <mergeCell ref="J11:J12"/>
    <mergeCell ref="K11:K12"/>
    <mergeCell ref="M11:M13"/>
    <mergeCell ref="C12:D12"/>
    <mergeCell ref="C13:D13"/>
    <mergeCell ref="H13:I13"/>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9" customWidth="1"/>
    <col min="2" max="2" width="15.75" style="739" bestFit="1" customWidth="1"/>
    <col min="3" max="3" width="13.125" style="739" bestFit="1" customWidth="1"/>
    <col min="4" max="4" width="16.875" style="739" hidden="1" customWidth="1"/>
    <col min="5" max="5" width="8.875" style="723" bestFit="1" customWidth="1"/>
    <col min="6" max="6" width="2.75" style="723" customWidth="1"/>
    <col min="7" max="7" width="5.75" style="723" bestFit="1" customWidth="1"/>
    <col min="8" max="16384" width="8.875" style="723"/>
  </cols>
  <sheetData>
    <row r="2" spans="2:8" x14ac:dyDescent="0.25">
      <c r="B2" s="1237" t="s">
        <v>170</v>
      </c>
      <c r="C2" s="1238"/>
      <c r="D2" s="1238"/>
      <c r="E2" s="1239"/>
      <c r="F2" s="722"/>
    </row>
    <row r="3" spans="2:8" x14ac:dyDescent="0.25">
      <c r="B3" s="724" t="s">
        <v>171</v>
      </c>
      <c r="C3" s="725" t="s">
        <v>172</v>
      </c>
      <c r="D3" s="725"/>
      <c r="E3" s="744"/>
      <c r="F3" s="722"/>
    </row>
    <row r="4" spans="2:8" x14ac:dyDescent="0.25">
      <c r="B4" s="732" t="s">
        <v>173</v>
      </c>
      <c r="C4" s="726" t="s">
        <v>174</v>
      </c>
      <c r="D4" s="726" t="str">
        <f>B4&amp;C4</f>
        <v>tpoYes</v>
      </c>
      <c r="E4" s="727">
        <v>0.45</v>
      </c>
      <c r="F4" s="722"/>
      <c r="G4" s="728" t="s">
        <v>154</v>
      </c>
      <c r="H4" s="729" t="s">
        <v>175</v>
      </c>
    </row>
    <row r="5" spans="2:8" x14ac:dyDescent="0.25">
      <c r="B5" s="732" t="s">
        <v>173</v>
      </c>
      <c r="C5" s="726" t="s">
        <v>176</v>
      </c>
      <c r="D5" s="726" t="str">
        <f t="shared" ref="D5:D16" si="0">B5&amp;C5</f>
        <v>tpoNo</v>
      </c>
      <c r="E5" s="730">
        <v>0.44</v>
      </c>
      <c r="F5" s="722"/>
      <c r="G5" s="731" t="s">
        <v>178</v>
      </c>
      <c r="H5" s="729" t="s">
        <v>179</v>
      </c>
    </row>
    <row r="6" spans="2:8" x14ac:dyDescent="0.25">
      <c r="B6" s="732" t="s">
        <v>177</v>
      </c>
      <c r="C6" s="726" t="s">
        <v>174</v>
      </c>
      <c r="D6" s="726" t="str">
        <f t="shared" si="0"/>
        <v>epdmYes</v>
      </c>
      <c r="E6" s="730">
        <v>0.47</v>
      </c>
      <c r="F6" s="722"/>
    </row>
    <row r="7" spans="2:8" x14ac:dyDescent="0.25">
      <c r="B7" s="732" t="s">
        <v>177</v>
      </c>
      <c r="C7" s="726" t="s">
        <v>176</v>
      </c>
      <c r="D7" s="726" t="str">
        <f t="shared" si="0"/>
        <v>epdmNo</v>
      </c>
      <c r="E7" s="730">
        <v>0.49</v>
      </c>
      <c r="F7" s="722"/>
    </row>
    <row r="8" spans="2:8" x14ac:dyDescent="0.25">
      <c r="B8" s="732" t="s">
        <v>149</v>
      </c>
      <c r="C8" s="726" t="s">
        <v>174</v>
      </c>
      <c r="D8" s="726" t="str">
        <f t="shared" si="0"/>
        <v>PVCYes</v>
      </c>
      <c r="E8" s="730">
        <v>0.67</v>
      </c>
      <c r="F8" s="722"/>
    </row>
    <row r="9" spans="2:8" x14ac:dyDescent="0.25">
      <c r="B9" s="732" t="s">
        <v>149</v>
      </c>
      <c r="C9" s="726" t="s">
        <v>176</v>
      </c>
      <c r="D9" s="726" t="str">
        <f t="shared" si="0"/>
        <v>PVCNo</v>
      </c>
      <c r="E9" s="730">
        <v>0.66</v>
      </c>
      <c r="F9" s="722"/>
    </row>
    <row r="10" spans="2:8" x14ac:dyDescent="0.25">
      <c r="B10" s="732" t="s">
        <v>150</v>
      </c>
      <c r="C10" s="726" t="s">
        <v>174</v>
      </c>
      <c r="D10" s="726" t="str">
        <f t="shared" si="0"/>
        <v>Granule CoatedYes</v>
      </c>
      <c r="E10" s="735">
        <v>0.36</v>
      </c>
      <c r="F10" s="722"/>
      <c r="H10" s="729"/>
    </row>
    <row r="11" spans="2:8" x14ac:dyDescent="0.25">
      <c r="B11" s="732" t="s">
        <v>150</v>
      </c>
      <c r="C11" s="726" t="s">
        <v>176</v>
      </c>
      <c r="D11" s="726" t="str">
        <f t="shared" si="0"/>
        <v>Granule CoatedNo</v>
      </c>
      <c r="E11" s="730">
        <v>0.36</v>
      </c>
      <c r="F11" s="733"/>
      <c r="G11" s="734"/>
      <c r="H11" s="734"/>
    </row>
    <row r="12" spans="2:8" x14ac:dyDescent="0.25">
      <c r="B12" s="732" t="s">
        <v>180</v>
      </c>
      <c r="C12" s="726" t="s">
        <v>174</v>
      </c>
      <c r="D12" s="726" t="str">
        <f t="shared" si="0"/>
        <v>gravelYes</v>
      </c>
      <c r="E12" s="735">
        <v>0.2</v>
      </c>
      <c r="F12" s="733"/>
      <c r="G12" s="734"/>
      <c r="H12" s="734"/>
    </row>
    <row r="13" spans="2:8" x14ac:dyDescent="0.25">
      <c r="B13" s="732" t="s">
        <v>180</v>
      </c>
      <c r="C13" s="726" t="s">
        <v>176</v>
      </c>
      <c r="D13" s="726" t="str">
        <f t="shared" si="0"/>
        <v>gravelNo</v>
      </c>
      <c r="E13" s="736">
        <v>0.2</v>
      </c>
      <c r="F13" s="733"/>
      <c r="G13" s="734"/>
    </row>
    <row r="14" spans="2:8" x14ac:dyDescent="0.25">
      <c r="B14" s="732" t="s">
        <v>181</v>
      </c>
      <c r="C14" s="726" t="s">
        <v>174</v>
      </c>
      <c r="D14" s="726" t="str">
        <f t="shared" si="0"/>
        <v>otherYes</v>
      </c>
      <c r="E14" s="735">
        <v>0.2</v>
      </c>
      <c r="F14" s="722"/>
      <c r="H14" s="737"/>
    </row>
    <row r="15" spans="2:8" x14ac:dyDescent="0.25">
      <c r="B15" s="740" t="s">
        <v>181</v>
      </c>
      <c r="C15" s="741" t="s">
        <v>176</v>
      </c>
      <c r="D15" s="726" t="str">
        <f t="shared" si="0"/>
        <v>otherNo</v>
      </c>
      <c r="E15" s="738">
        <v>0.2</v>
      </c>
      <c r="F15" s="722"/>
      <c r="H15" s="737"/>
    </row>
    <row r="16" spans="2:8" x14ac:dyDescent="0.25">
      <c r="B16" s="742" t="str">
        <f>'1-Eng Inputs'!B10</f>
        <v>TPO</v>
      </c>
      <c r="C16" s="743" t="str">
        <f>'1-Eng Inputs'!B37</f>
        <v>YES</v>
      </c>
      <c r="D16" s="743" t="str">
        <f t="shared" si="0"/>
        <v>TPOYES</v>
      </c>
      <c r="E16" s="745">
        <f>VLOOKUP(D16,D4:E15,2,0)</f>
        <v>0.45</v>
      </c>
      <c r="F16" s="722"/>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tabColor rgb="FF0070C0"/>
    <pageSetUpPr fitToPage="1"/>
  </sheetPr>
  <dimension ref="A1:EF228"/>
  <sheetViews>
    <sheetView showGridLines="0" topLeftCell="AA43" zoomScale="70" zoomScaleNormal="70" zoomScaleSheetLayoutView="80" workbookViewId="0">
      <selection activeCell="CA86" sqref="BZ86:CA86"/>
    </sheetView>
  </sheetViews>
  <sheetFormatPr defaultColWidth="9.125" defaultRowHeight="12.75" x14ac:dyDescent="0.2"/>
  <cols>
    <col min="1" max="1" width="8.75" style="1" customWidth="1"/>
    <col min="2" max="2" width="43.125" style="1" customWidth="1"/>
    <col min="3" max="13" width="20.625" style="1" customWidth="1"/>
    <col min="14" max="25" width="20.625" style="1" hidden="1" customWidth="1"/>
    <col min="26" max="27" width="20.625" style="1" customWidth="1"/>
    <col min="28" max="28" width="2.875" style="1" customWidth="1"/>
    <col min="29" max="29" width="15" style="1" customWidth="1"/>
    <col min="30" max="32" width="2.625" style="1" customWidth="1"/>
    <col min="33" max="77" width="2.875" style="1" customWidth="1"/>
    <col min="78" max="79" width="2.625" style="1" customWidth="1"/>
    <col min="80" max="82" width="7.125" style="1" customWidth="1"/>
    <col min="83" max="83" width="15" style="1" customWidth="1"/>
    <col min="84" max="86" width="2.625" style="1" customWidth="1"/>
    <col min="87" max="131" width="2.875" style="1" customWidth="1"/>
    <col min="132" max="133" width="2.625" style="1" customWidth="1"/>
    <col min="134" max="136" width="7.125" style="1" customWidth="1"/>
    <col min="137" max="16384" width="9.125" style="1"/>
  </cols>
  <sheetData>
    <row r="1" spans="2:135" ht="13.5" thickBot="1" x14ac:dyDescent="0.25"/>
    <row r="2" spans="2:135" ht="18" x14ac:dyDescent="0.25">
      <c r="B2" s="2" t="str">
        <f>'building data'!B2</f>
        <v>Ecolibrium Solar, Inc.</v>
      </c>
      <c r="C2" s="3"/>
      <c r="D2" s="4"/>
      <c r="E2" s="4"/>
      <c r="F2" s="4"/>
      <c r="G2" s="5"/>
      <c r="H2" s="116" t="s">
        <v>315</v>
      </c>
      <c r="I2" s="982"/>
      <c r="J2" s="4"/>
      <c r="K2" s="4"/>
      <c r="L2" s="4"/>
      <c r="M2" s="4"/>
      <c r="N2" s="4"/>
      <c r="O2" s="4"/>
      <c r="P2" s="4"/>
      <c r="Q2" s="4"/>
      <c r="R2" s="4"/>
      <c r="S2" s="4"/>
      <c r="T2" s="4"/>
      <c r="U2" s="4"/>
      <c r="V2" s="4"/>
      <c r="W2" s="4"/>
      <c r="X2" s="4"/>
      <c r="Y2" s="4"/>
      <c r="Z2" s="4"/>
      <c r="AA2" s="4"/>
      <c r="AB2" s="6"/>
      <c r="AC2" s="3"/>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7"/>
    </row>
    <row r="3" spans="2:135" ht="18" x14ac:dyDescent="0.25">
      <c r="B3" s="8" t="str">
        <f>'building data'!B3</f>
        <v>Solar ballasted roof mount system EcoFoot 3</v>
      </c>
      <c r="C3" s="9"/>
      <c r="D3" s="10"/>
      <c r="E3" s="10"/>
      <c r="F3" s="10"/>
      <c r="G3" s="26"/>
      <c r="H3" s="117" t="s">
        <v>317</v>
      </c>
      <c r="J3" s="10"/>
      <c r="K3" s="10"/>
      <c r="L3" s="10"/>
      <c r="M3" s="10"/>
      <c r="N3" s="10"/>
      <c r="O3" s="10"/>
      <c r="P3" s="10"/>
      <c r="Q3" s="10"/>
      <c r="R3" s="10"/>
      <c r="S3" s="10"/>
      <c r="T3" s="10"/>
      <c r="U3" s="10"/>
      <c r="V3" s="10"/>
      <c r="W3" s="10"/>
      <c r="X3" s="10"/>
      <c r="Y3" s="10"/>
      <c r="Z3" s="10"/>
      <c r="AA3" s="10"/>
      <c r="AB3" s="11"/>
      <c r="AC3" s="12"/>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3"/>
    </row>
    <row r="4" spans="2:135" ht="18" customHeight="1" x14ac:dyDescent="0.25">
      <c r="B4" s="8" t="s">
        <v>398</v>
      </c>
      <c r="C4" s="10"/>
      <c r="D4" s="10"/>
      <c r="E4" s="10"/>
      <c r="F4" s="10"/>
      <c r="G4" s="10"/>
      <c r="H4" s="10"/>
      <c r="I4" s="10"/>
      <c r="J4" s="10"/>
      <c r="K4" s="10"/>
      <c r="L4" s="10"/>
      <c r="M4" s="10"/>
      <c r="N4" s="10"/>
      <c r="O4" s="10"/>
      <c r="P4" s="10"/>
      <c r="Q4" s="10"/>
      <c r="R4" s="10"/>
      <c r="S4" s="10"/>
      <c r="T4" s="10"/>
      <c r="U4" s="10"/>
      <c r="V4" s="10"/>
      <c r="W4" s="10"/>
      <c r="X4" s="10"/>
      <c r="Y4" s="10"/>
      <c r="Z4" s="10"/>
      <c r="AA4" s="10"/>
      <c r="AB4" s="12"/>
      <c r="AC4" s="10"/>
      <c r="AD4" s="10"/>
      <c r="AE4" s="10"/>
      <c r="AF4" s="10"/>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3"/>
    </row>
    <row r="5" spans="2:135" ht="16.5" thickBot="1" x14ac:dyDescent="0.3">
      <c r="B5" s="999"/>
      <c r="C5" s="1000"/>
      <c r="D5" s="1000"/>
      <c r="E5" s="1000"/>
      <c r="F5" s="1000"/>
      <c r="G5" s="1000"/>
      <c r="H5" s="1000"/>
      <c r="I5" s="949" t="s">
        <v>308</v>
      </c>
      <c r="J5" s="1000"/>
      <c r="K5" s="1000"/>
      <c r="L5" s="1000"/>
      <c r="M5" s="1000"/>
      <c r="N5" s="1000"/>
      <c r="O5" s="1000"/>
      <c r="P5" s="1000"/>
      <c r="Q5" s="1000"/>
      <c r="R5" s="1000"/>
      <c r="S5" s="1000"/>
      <c r="T5" s="1000"/>
      <c r="U5" s="1000"/>
      <c r="V5" s="1000"/>
      <c r="W5" s="1000"/>
      <c r="X5" s="1000"/>
      <c r="Y5" s="1000"/>
      <c r="Z5" s="1000"/>
      <c r="AA5" s="1000"/>
      <c r="AB5" s="1000"/>
      <c r="AC5" s="1000"/>
      <c r="AD5" s="1000"/>
      <c r="AE5" s="1000"/>
      <c r="AF5" s="1000"/>
      <c r="AG5" s="1000"/>
      <c r="AH5" s="1000"/>
      <c r="AI5" s="1000"/>
      <c r="AJ5" s="1000"/>
      <c r="AK5" s="1000"/>
      <c r="AL5" s="1000"/>
      <c r="AM5" s="1000"/>
      <c r="AN5" s="1000"/>
      <c r="AO5" s="1000"/>
      <c r="AP5" s="1000"/>
      <c r="AQ5" s="1000"/>
      <c r="AR5" s="1000"/>
      <c r="AS5" s="1000"/>
      <c r="AT5" s="1000"/>
      <c r="AU5" s="1000"/>
      <c r="AV5" s="1000"/>
      <c r="AW5" s="1000"/>
      <c r="AX5" s="1000"/>
      <c r="AY5" s="1000"/>
      <c r="AZ5" s="1000"/>
      <c r="BA5" s="1000"/>
      <c r="BB5" s="1000"/>
      <c r="BC5" s="1000"/>
      <c r="BD5" s="1000"/>
      <c r="BE5" s="1000"/>
      <c r="BF5" s="1000"/>
      <c r="BG5" s="1000"/>
      <c r="BH5" s="1000"/>
      <c r="BI5" s="1000"/>
      <c r="BJ5" s="1000"/>
      <c r="BK5" s="1000"/>
      <c r="BL5" s="1000"/>
      <c r="BM5" s="1000"/>
      <c r="BN5" s="1000"/>
      <c r="BO5" s="1000"/>
      <c r="BP5" s="1000"/>
      <c r="BQ5" s="1000"/>
      <c r="BR5" s="1000"/>
      <c r="BS5" s="1000"/>
      <c r="BT5" s="1000"/>
      <c r="BU5" s="1000"/>
      <c r="BV5" s="1000"/>
      <c r="BW5" s="1000"/>
      <c r="BX5" s="1000"/>
      <c r="BY5" s="1000"/>
      <c r="BZ5" s="1000"/>
      <c r="CA5" s="1000"/>
      <c r="CB5" s="1000"/>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7"/>
      <c r="DP5" s="587"/>
      <c r="DQ5" s="587"/>
      <c r="DR5" s="587"/>
      <c r="DS5" s="587"/>
      <c r="DT5" s="587"/>
      <c r="DU5" s="587"/>
      <c r="DV5" s="587"/>
      <c r="DW5" s="587"/>
      <c r="DX5" s="587"/>
      <c r="DY5" s="587"/>
      <c r="DZ5" s="587"/>
      <c r="EA5" s="587"/>
      <c r="EB5" s="587"/>
      <c r="EC5" s="587"/>
      <c r="ED5" s="587"/>
      <c r="EE5" s="588"/>
    </row>
    <row r="6" spans="2:135" ht="13.5" customHeight="1" x14ac:dyDescent="0.2">
      <c r="B6" s="28"/>
      <c r="C6" s="28"/>
      <c r="AG6" s="19"/>
      <c r="AH6" s="19"/>
      <c r="AI6" s="232"/>
      <c r="AJ6" s="232"/>
      <c r="AK6" s="232"/>
      <c r="AL6" s="19"/>
      <c r="AM6" s="19"/>
      <c r="AN6" s="19"/>
    </row>
    <row r="7" spans="2:135" ht="13.5" customHeight="1" x14ac:dyDescent="0.2">
      <c r="B7" s="28"/>
      <c r="C7" s="28"/>
      <c r="AG7" s="19"/>
      <c r="AH7" s="19"/>
      <c r="AI7" s="201"/>
      <c r="AJ7" s="201"/>
      <c r="AK7" s="201"/>
      <c r="AL7" s="19"/>
      <c r="AM7" s="19"/>
      <c r="AN7" s="19"/>
    </row>
    <row r="8" spans="2:135" ht="13.5" customHeight="1" thickBot="1" x14ac:dyDescent="0.25">
      <c r="B8" s="14" t="s">
        <v>314</v>
      </c>
      <c r="AG8" s="19"/>
      <c r="AH8" s="19"/>
      <c r="AI8" s="29"/>
      <c r="AJ8" s="19"/>
      <c r="AK8" s="150"/>
      <c r="AL8" s="19"/>
      <c r="AM8" s="19"/>
      <c r="AN8" s="19"/>
    </row>
    <row r="9" spans="2:135" ht="13.5" customHeight="1" x14ac:dyDescent="0.2">
      <c r="B9" s="15" t="s">
        <v>310</v>
      </c>
      <c r="C9" s="1643" t="str">
        <f>'building data'!C9</f>
        <v>807 E Main</v>
      </c>
      <c r="D9" s="1644"/>
      <c r="E9" s="30" t="s">
        <v>319</v>
      </c>
      <c r="F9" s="1622" t="str">
        <f>'building data'!H9</f>
        <v>English</v>
      </c>
      <c r="G9" s="1623"/>
      <c r="H9" s="21"/>
      <c r="I9" s="21"/>
      <c r="J9" s="37"/>
      <c r="K9" s="230"/>
      <c r="L9" s="230"/>
      <c r="M9" s="230"/>
      <c r="N9" s="230"/>
      <c r="O9" s="230"/>
      <c r="P9" s="230"/>
      <c r="Q9" s="230"/>
      <c r="R9" s="230"/>
      <c r="S9" s="230"/>
      <c r="T9" s="230"/>
      <c r="U9" s="230"/>
      <c r="V9" s="230"/>
      <c r="W9" s="230"/>
      <c r="X9" s="230"/>
      <c r="Y9" s="230"/>
      <c r="Z9" s="230"/>
      <c r="AA9" s="230"/>
      <c r="AF9" s="19"/>
      <c r="AG9" s="19"/>
      <c r="AH9" s="29"/>
      <c r="AI9" s="19"/>
      <c r="AJ9" s="150"/>
      <c r="AK9" s="19"/>
      <c r="AL9" s="19"/>
      <c r="AM9" s="19"/>
    </row>
    <row r="10" spans="2:135" ht="13.5" customHeight="1" x14ac:dyDescent="0.2">
      <c r="B10" s="16" t="s">
        <v>311</v>
      </c>
      <c r="C10" s="31">
        <f>'building data'!C10</f>
        <v>27332</v>
      </c>
      <c r="D10" s="32"/>
      <c r="E10" s="33" t="s">
        <v>320</v>
      </c>
      <c r="F10" s="1624" t="str">
        <f>'building data'!H10</f>
        <v>807 E Main St</v>
      </c>
      <c r="G10" s="1625"/>
      <c r="H10" s="21"/>
      <c r="I10" s="21"/>
      <c r="J10" s="23"/>
      <c r="K10" s="230"/>
      <c r="L10" s="230"/>
      <c r="M10" s="230"/>
      <c r="N10" s="230"/>
      <c r="O10" s="230"/>
      <c r="P10" s="230"/>
      <c r="Q10" s="230"/>
      <c r="R10" s="230"/>
      <c r="S10" s="230"/>
      <c r="T10" s="230"/>
      <c r="U10" s="230"/>
      <c r="V10" s="230"/>
      <c r="W10" s="230"/>
      <c r="X10" s="230"/>
      <c r="Y10" s="230"/>
      <c r="Z10" s="230"/>
      <c r="AA10" s="230"/>
      <c r="AF10" s="19"/>
      <c r="AG10" s="19"/>
      <c r="AH10" s="29"/>
      <c r="AI10" s="19"/>
      <c r="AJ10" s="150"/>
      <c r="AK10" s="19"/>
      <c r="AL10" s="19"/>
      <c r="AM10" s="19"/>
    </row>
    <row r="11" spans="2:135" ht="13.5" customHeight="1" x14ac:dyDescent="0.2">
      <c r="B11" s="16" t="s">
        <v>312</v>
      </c>
      <c r="C11" s="31" t="str">
        <f>'building data'!C11</f>
        <v>Ted Bleecker</v>
      </c>
      <c r="D11" s="32"/>
      <c r="E11" s="33" t="s">
        <v>321</v>
      </c>
      <c r="F11" s="1624" t="str">
        <f>'building data'!H11</f>
        <v>USA</v>
      </c>
      <c r="G11" s="1625"/>
      <c r="H11" s="21"/>
      <c r="I11" s="21"/>
      <c r="J11" s="18"/>
      <c r="K11" s="230"/>
      <c r="L11" s="230"/>
      <c r="M11" s="230"/>
      <c r="N11" s="230"/>
      <c r="O11" s="230"/>
      <c r="P11" s="230"/>
      <c r="Q11" s="230"/>
      <c r="R11" s="230"/>
      <c r="S11" s="230"/>
      <c r="T11" s="230"/>
      <c r="U11" s="230"/>
      <c r="V11" s="230"/>
      <c r="W11" s="230"/>
      <c r="X11" s="230"/>
      <c r="Y11" s="230"/>
      <c r="Z11" s="230"/>
      <c r="AA11" s="230"/>
      <c r="AF11" s="19"/>
      <c r="AG11" s="19"/>
      <c r="AH11" s="29"/>
      <c r="AI11" s="19"/>
      <c r="AJ11" s="19"/>
      <c r="AK11" s="19"/>
      <c r="AL11" s="19"/>
      <c r="AM11" s="19"/>
    </row>
    <row r="12" spans="2:135" ht="13.5" customHeight="1" thickBot="1" x14ac:dyDescent="0.25">
      <c r="B12" s="17" t="s">
        <v>313</v>
      </c>
      <c r="C12" s="34">
        <f ca="1">'building data'!C12</f>
        <v>42649</v>
      </c>
      <c r="D12" s="35"/>
      <c r="E12" s="36" t="s">
        <v>322</v>
      </c>
      <c r="F12" s="1626" t="str">
        <f>'building data'!H12</f>
        <v>ASCE/SEI 7-10</v>
      </c>
      <c r="G12" s="1627"/>
      <c r="H12" s="21"/>
      <c r="I12" s="970"/>
      <c r="J12" s="18"/>
      <c r="K12" s="230"/>
      <c r="L12" s="230"/>
      <c r="M12" s="230"/>
      <c r="N12" s="230"/>
      <c r="O12" s="230"/>
      <c r="P12" s="230"/>
      <c r="Q12" s="230"/>
      <c r="R12" s="230"/>
      <c r="S12" s="230"/>
      <c r="T12" s="230"/>
      <c r="U12" s="230"/>
      <c r="V12" s="230"/>
      <c r="W12" s="230"/>
      <c r="X12" s="230"/>
      <c r="Y12" s="230"/>
      <c r="Z12" s="230"/>
      <c r="AA12" s="230"/>
      <c r="AF12" s="19"/>
      <c r="AG12" s="19"/>
      <c r="AH12" s="29"/>
      <c r="AI12" s="19"/>
      <c r="AJ12" s="19"/>
      <c r="AK12" s="19"/>
      <c r="AL12" s="19"/>
      <c r="AM12" s="19"/>
    </row>
    <row r="13" spans="2:135" ht="13.5" customHeight="1" x14ac:dyDescent="0.2">
      <c r="B13" s="14"/>
      <c r="C13" s="19"/>
      <c r="D13" s="19"/>
      <c r="E13" s="19"/>
      <c r="F13" s="19"/>
      <c r="K13" s="114"/>
      <c r="L13" s="114"/>
      <c r="M13" s="114"/>
      <c r="N13" s="114"/>
      <c r="O13" s="114"/>
      <c r="P13" s="114"/>
      <c r="Q13" s="114"/>
      <c r="R13" s="114"/>
      <c r="S13" s="114"/>
      <c r="T13" s="114"/>
      <c r="U13" s="114"/>
      <c r="V13" s="114"/>
      <c r="W13" s="114"/>
      <c r="X13" s="114"/>
      <c r="Y13" s="114"/>
      <c r="Z13" s="114"/>
      <c r="AA13" s="114"/>
      <c r="AB13" s="37"/>
      <c r="AC13" s="38"/>
      <c r="AD13" s="38"/>
      <c r="AF13" s="19"/>
      <c r="AG13" s="19"/>
      <c r="AH13" s="19"/>
      <c r="AI13" s="29"/>
      <c r="AJ13" s="19"/>
      <c r="AK13" s="150"/>
    </row>
    <row r="14" spans="2:135" ht="13.5" customHeight="1" x14ac:dyDescent="0.2">
      <c r="B14" s="14"/>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37"/>
      <c r="AC14" s="38"/>
      <c r="AD14" s="38"/>
      <c r="AF14" s="19"/>
      <c r="AG14" s="19"/>
      <c r="AH14" s="19"/>
      <c r="AI14" s="29"/>
      <c r="AJ14" s="19"/>
      <c r="AK14" s="150"/>
    </row>
    <row r="15" spans="2:135" ht="18.75" customHeight="1" thickBot="1" x14ac:dyDescent="0.25">
      <c r="B15" s="39" t="s">
        <v>399</v>
      </c>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9"/>
      <c r="AC15" s="19"/>
      <c r="AD15" s="19"/>
      <c r="AL15" s="40" t="s">
        <v>451</v>
      </c>
    </row>
    <row r="16" spans="2:135" ht="13.5" customHeight="1" thickTop="1" thickBot="1" x14ac:dyDescent="0.25">
      <c r="B16" s="1634" t="s">
        <v>400</v>
      </c>
      <c r="C16" s="1635"/>
      <c r="D16" s="1635"/>
      <c r="E16" s="1635"/>
      <c r="F16" s="1635"/>
      <c r="G16" s="1635"/>
      <c r="H16" s="1635"/>
      <c r="I16" s="1635"/>
      <c r="J16" s="1636"/>
      <c r="K16" s="973"/>
      <c r="L16" s="19"/>
      <c r="M16" s="19"/>
      <c r="N16" s="19"/>
      <c r="O16" s="19"/>
      <c r="P16" s="19"/>
      <c r="Q16" s="19"/>
      <c r="R16" s="19"/>
      <c r="S16" s="19"/>
      <c r="T16" s="19"/>
      <c r="U16" s="19"/>
      <c r="V16" s="19"/>
      <c r="W16" s="19"/>
      <c r="X16" s="19"/>
      <c r="Y16" s="19"/>
      <c r="Z16" s="19"/>
      <c r="AA16" s="19"/>
      <c r="AC16" s="19"/>
      <c r="AD16" s="23"/>
      <c r="AE16" s="18"/>
      <c r="AF16" s="18"/>
      <c r="AG16" s="18"/>
      <c r="AH16" s="18"/>
      <c r="AI16" s="18"/>
      <c r="AJ16" s="18"/>
      <c r="AK16" s="18"/>
      <c r="AL16" s="1544" t="s">
        <v>452</v>
      </c>
      <c r="AM16" s="1544"/>
      <c r="AN16" s="1544"/>
      <c r="AO16" s="1544"/>
      <c r="AP16" s="1544"/>
      <c r="AQ16" s="1544"/>
      <c r="AR16" s="1544"/>
      <c r="AS16" s="1544"/>
      <c r="AT16" s="1544"/>
      <c r="AU16" s="1544"/>
      <c r="AV16" s="1544"/>
      <c r="AW16" s="1544"/>
      <c r="AX16" s="1544"/>
      <c r="AY16" s="1544"/>
      <c r="AZ16" s="1544"/>
      <c r="BA16" s="1544"/>
      <c r="BB16" s="1544"/>
      <c r="BC16" s="1544"/>
      <c r="BD16" s="1544"/>
      <c r="BE16" s="1544"/>
      <c r="BF16" s="1544"/>
      <c r="BG16" s="1544"/>
      <c r="BH16" s="1544"/>
      <c r="BI16" s="1544"/>
      <c r="BJ16" s="1544"/>
      <c r="BK16" s="1544"/>
      <c r="BL16" s="1544"/>
      <c r="BM16" s="1544"/>
      <c r="BN16" s="1544"/>
      <c r="BO16" s="1544"/>
      <c r="BP16" s="1544"/>
      <c r="BQ16" s="1544"/>
      <c r="BR16" s="1544"/>
      <c r="BS16" s="1544"/>
      <c r="BT16" s="1544"/>
      <c r="BU16" s="1544"/>
      <c r="BV16" s="18"/>
      <c r="BW16" s="18"/>
      <c r="BX16" s="18"/>
      <c r="BY16" s="18"/>
    </row>
    <row r="17" spans="2:135" ht="13.5" customHeight="1" x14ac:dyDescent="0.2">
      <c r="B17" s="959"/>
      <c r="C17" s="327"/>
      <c r="D17" s="327"/>
      <c r="E17" s="327"/>
      <c r="F17" s="327"/>
      <c r="G17" s="327"/>
      <c r="H17" s="327"/>
      <c r="I17" s="327"/>
      <c r="J17" s="327"/>
      <c r="K17" s="974"/>
      <c r="L17" s="41"/>
      <c r="M17" s="41"/>
      <c r="N17" s="41"/>
      <c r="O17" s="41"/>
      <c r="P17" s="41"/>
      <c r="Q17" s="41"/>
      <c r="R17" s="41"/>
      <c r="S17" s="41"/>
      <c r="T17" s="41"/>
      <c r="U17" s="41"/>
      <c r="V17" s="41"/>
      <c r="W17" s="41"/>
      <c r="X17" s="41"/>
      <c r="Y17" s="41"/>
      <c r="Z17" s="41"/>
      <c r="AA17" s="41"/>
      <c r="AC17" s="19"/>
      <c r="AD17" s="23"/>
      <c r="AE17" s="18"/>
      <c r="AF17" s="18"/>
      <c r="AG17" s="18"/>
      <c r="AH17" s="18"/>
      <c r="AI17" s="18"/>
      <c r="AJ17" s="18"/>
      <c r="AK17" s="18"/>
      <c r="AL17" s="1544"/>
      <c r="AM17" s="1544"/>
      <c r="AN17" s="1544"/>
      <c r="AO17" s="1544"/>
      <c r="AP17" s="1544"/>
      <c r="AQ17" s="1544"/>
      <c r="AR17" s="1544"/>
      <c r="AS17" s="1544"/>
      <c r="AT17" s="1544"/>
      <c r="AU17" s="1544"/>
      <c r="AV17" s="1544"/>
      <c r="AW17" s="1544"/>
      <c r="AX17" s="1544"/>
      <c r="AY17" s="1544"/>
      <c r="AZ17" s="1544"/>
      <c r="BA17" s="1544"/>
      <c r="BB17" s="1544"/>
      <c r="BC17" s="1544"/>
      <c r="BD17" s="1544"/>
      <c r="BE17" s="1544"/>
      <c r="BF17" s="1544"/>
      <c r="BG17" s="1544"/>
      <c r="BH17" s="1544"/>
      <c r="BI17" s="1544"/>
      <c r="BJ17" s="1544"/>
      <c r="BK17" s="1544"/>
      <c r="BL17" s="1544"/>
      <c r="BM17" s="1544"/>
      <c r="BN17" s="1544"/>
      <c r="BO17" s="1544"/>
      <c r="BP17" s="1544"/>
      <c r="BQ17" s="1544"/>
      <c r="BR17" s="1544"/>
      <c r="BS17" s="1544"/>
      <c r="BT17" s="1544"/>
      <c r="BU17" s="1544"/>
      <c r="BV17" s="18"/>
      <c r="BW17" s="18"/>
      <c r="BX17" s="18"/>
      <c r="BY17" s="18"/>
    </row>
    <row r="18" spans="2:135" ht="13.5" customHeight="1" x14ac:dyDescent="0.2">
      <c r="B18" s="961" t="s">
        <v>401</v>
      </c>
      <c r="C18" s="721">
        <f>C21/F21</f>
        <v>10.827189451773217</v>
      </c>
      <c r="D18" s="43" t="s">
        <v>3</v>
      </c>
      <c r="E18" s="541" t="s">
        <v>403</v>
      </c>
      <c r="F18" s="427">
        <v>10</v>
      </c>
      <c r="G18" s="43" t="s">
        <v>407</v>
      </c>
      <c r="H18" s="541" t="s">
        <v>408</v>
      </c>
      <c r="I18" s="427">
        <v>62.4</v>
      </c>
      <c r="J18" s="971" t="s">
        <v>407</v>
      </c>
      <c r="K18" s="974"/>
      <c r="L18" s="41"/>
      <c r="M18" s="41"/>
      <c r="N18" s="41"/>
      <c r="O18" s="41"/>
      <c r="P18" s="41"/>
      <c r="Q18" s="41"/>
      <c r="R18" s="41"/>
      <c r="S18" s="41"/>
      <c r="T18" s="41"/>
      <c r="U18" s="41"/>
      <c r="V18" s="41"/>
      <c r="W18" s="41"/>
      <c r="X18" s="41"/>
      <c r="Y18" s="41"/>
      <c r="Z18" s="41"/>
      <c r="AA18" s="41"/>
      <c r="AC18" s="19"/>
      <c r="AD18" s="23"/>
      <c r="AE18" s="18"/>
      <c r="AF18" s="18"/>
      <c r="AG18" s="18"/>
      <c r="AH18" s="18"/>
      <c r="AI18" s="18"/>
      <c r="AJ18" s="18"/>
      <c r="AK18" s="18"/>
      <c r="AL18" s="1544"/>
      <c r="AM18" s="1544"/>
      <c r="AN18" s="1544"/>
      <c r="AO18" s="1544"/>
      <c r="AP18" s="1544"/>
      <c r="AQ18" s="1544"/>
      <c r="AR18" s="1544"/>
      <c r="AS18" s="1544"/>
      <c r="AT18" s="1544"/>
      <c r="AU18" s="1544"/>
      <c r="AV18" s="1544"/>
      <c r="AW18" s="1544"/>
      <c r="AX18" s="1544"/>
      <c r="AY18" s="1544"/>
      <c r="AZ18" s="1544"/>
      <c r="BA18" s="1544"/>
      <c r="BB18" s="1544"/>
      <c r="BC18" s="1544"/>
      <c r="BD18" s="1544"/>
      <c r="BE18" s="1544"/>
      <c r="BF18" s="1544"/>
      <c r="BG18" s="1544"/>
      <c r="BH18" s="1544"/>
      <c r="BI18" s="1544"/>
      <c r="BJ18" s="1544"/>
      <c r="BK18" s="1544"/>
      <c r="BL18" s="1544"/>
      <c r="BM18" s="1544"/>
      <c r="BN18" s="1544"/>
      <c r="BO18" s="1544"/>
      <c r="BP18" s="1544"/>
      <c r="BQ18" s="1544"/>
      <c r="BR18" s="1544"/>
      <c r="BS18" s="1544"/>
      <c r="BT18" s="1544"/>
      <c r="BU18" s="1544"/>
      <c r="BV18" s="18"/>
      <c r="BW18" s="18"/>
      <c r="BX18" s="18"/>
      <c r="BY18" s="18"/>
    </row>
    <row r="19" spans="2:135" ht="13.5" customHeight="1" x14ac:dyDescent="0.2">
      <c r="B19" s="961" t="s">
        <v>306</v>
      </c>
      <c r="C19" s="721">
        <f>C22/F21</f>
        <v>4.0422265493164256</v>
      </c>
      <c r="D19" s="43" t="s">
        <v>3</v>
      </c>
      <c r="E19" s="44" t="s">
        <v>404</v>
      </c>
      <c r="F19" s="721">
        <f>'1-Eng Inputs'!B16*0.0254</f>
        <v>1.0007599999999999</v>
      </c>
      <c r="G19" s="19" t="s">
        <v>0</v>
      </c>
      <c r="H19" s="44" t="s">
        <v>409</v>
      </c>
      <c r="I19" s="413">
        <v>0.22489999999999999</v>
      </c>
      <c r="J19" s="43" t="s">
        <v>0</v>
      </c>
      <c r="K19" s="974"/>
      <c r="L19" s="41"/>
      <c r="M19" s="41"/>
      <c r="N19" s="41"/>
      <c r="O19" s="41"/>
      <c r="P19" s="41"/>
      <c r="Q19" s="41"/>
      <c r="R19" s="41"/>
      <c r="S19" s="41"/>
      <c r="T19" s="41"/>
      <c r="U19" s="41"/>
      <c r="V19" s="41"/>
      <c r="W19" s="41"/>
      <c r="X19" s="41"/>
      <c r="Y19" s="41"/>
      <c r="Z19" s="41"/>
      <c r="AA19" s="41"/>
      <c r="AC19" s="19"/>
      <c r="AD19" s="23"/>
      <c r="AE19" s="18"/>
      <c r="AF19" s="18"/>
      <c r="AG19" s="18"/>
      <c r="AH19" s="18"/>
      <c r="AI19" s="18"/>
      <c r="AJ19" s="18"/>
      <c r="AK19" s="18"/>
      <c r="AL19" s="1544"/>
      <c r="AM19" s="1544"/>
      <c r="AN19" s="1544"/>
      <c r="AO19" s="1544"/>
      <c r="AP19" s="1544"/>
      <c r="AQ19" s="1544"/>
      <c r="AR19" s="1544"/>
      <c r="AS19" s="1544"/>
      <c r="AT19" s="1544"/>
      <c r="AU19" s="1544"/>
      <c r="AV19" s="1544"/>
      <c r="AW19" s="1544"/>
      <c r="AX19" s="1544"/>
      <c r="AY19" s="1544"/>
      <c r="AZ19" s="1544"/>
      <c r="BA19" s="1544"/>
      <c r="BB19" s="1544"/>
      <c r="BC19" s="1544"/>
      <c r="BD19" s="1544"/>
      <c r="BE19" s="1544"/>
      <c r="BF19" s="1544"/>
      <c r="BG19" s="1544"/>
      <c r="BH19" s="1544"/>
      <c r="BI19" s="1544"/>
      <c r="BJ19" s="1544"/>
      <c r="BK19" s="1544"/>
      <c r="BL19" s="1544"/>
      <c r="BM19" s="1544"/>
      <c r="BN19" s="1544"/>
      <c r="BO19" s="1544"/>
      <c r="BP19" s="1544"/>
      <c r="BQ19" s="1544"/>
      <c r="BR19" s="1544"/>
      <c r="BS19" s="1544"/>
      <c r="BT19" s="1544"/>
      <c r="BU19" s="1544"/>
      <c r="BV19" s="18"/>
      <c r="BW19" s="18"/>
      <c r="BX19" s="18"/>
      <c r="BY19" s="18"/>
    </row>
    <row r="20" spans="2:135" ht="13.5" customHeight="1" x14ac:dyDescent="0.2">
      <c r="B20" s="961" t="s">
        <v>402</v>
      </c>
      <c r="C20" s="414">
        <f>C18+C19</f>
        <v>14.869416001089643</v>
      </c>
      <c r="D20" s="43" t="s">
        <v>3</v>
      </c>
      <c r="E20" s="44" t="s">
        <v>405</v>
      </c>
      <c r="F20" s="721">
        <f>'1-Eng Inputs'!B15*0.0254</f>
        <v>1.9926299999999999</v>
      </c>
      <c r="G20" s="19" t="s">
        <v>0</v>
      </c>
      <c r="H20" s="44" t="s">
        <v>410</v>
      </c>
      <c r="I20" s="721">
        <f>F20</f>
        <v>1.9926299999999999</v>
      </c>
      <c r="J20" s="43" t="s">
        <v>0</v>
      </c>
      <c r="K20" s="975"/>
      <c r="L20" s="47"/>
      <c r="M20" s="47"/>
      <c r="N20" s="47"/>
      <c r="O20" s="47"/>
      <c r="P20" s="47"/>
      <c r="Q20" s="47"/>
      <c r="R20" s="47"/>
      <c r="S20" s="47"/>
      <c r="T20" s="47"/>
      <c r="U20" s="47"/>
      <c r="V20" s="47"/>
      <c r="W20" s="47"/>
      <c r="X20" s="47"/>
      <c r="Y20" s="47"/>
      <c r="Z20" s="47"/>
      <c r="AA20" s="47"/>
      <c r="AC20" s="19"/>
      <c r="AD20" s="23"/>
      <c r="AE20" s="18"/>
      <c r="AF20" s="18"/>
      <c r="AG20" s="18"/>
      <c r="AH20" s="18"/>
      <c r="AI20" s="18"/>
      <c r="AJ20" s="18"/>
      <c r="AK20" s="18"/>
      <c r="AL20" s="1544"/>
      <c r="AM20" s="1544"/>
      <c r="AN20" s="1544"/>
      <c r="AO20" s="1544"/>
      <c r="AP20" s="1544"/>
      <c r="AQ20" s="1544"/>
      <c r="AR20" s="1544"/>
      <c r="AS20" s="1544"/>
      <c r="AT20" s="1544"/>
      <c r="AU20" s="1544"/>
      <c r="AV20" s="1544"/>
      <c r="AW20" s="1544"/>
      <c r="AX20" s="1544"/>
      <c r="AY20" s="1544"/>
      <c r="AZ20" s="1544"/>
      <c r="BA20" s="1544"/>
      <c r="BB20" s="1544"/>
      <c r="BC20" s="1544"/>
      <c r="BD20" s="1544"/>
      <c r="BE20" s="1544"/>
      <c r="BF20" s="1544"/>
      <c r="BG20" s="1544"/>
      <c r="BH20" s="1544"/>
      <c r="BI20" s="1544"/>
      <c r="BJ20" s="1544"/>
      <c r="BK20" s="1544"/>
      <c r="BL20" s="1544"/>
      <c r="BM20" s="1544"/>
      <c r="BN20" s="1544"/>
      <c r="BO20" s="1544"/>
      <c r="BP20" s="1544"/>
      <c r="BQ20" s="1544"/>
      <c r="BR20" s="1544"/>
      <c r="BS20" s="1544"/>
      <c r="BT20" s="1544"/>
      <c r="BU20" s="1544"/>
      <c r="BV20" s="18"/>
      <c r="BW20" s="18"/>
      <c r="BX20" s="18"/>
      <c r="BY20" s="18"/>
    </row>
    <row r="21" spans="2:135" ht="13.5" customHeight="1" x14ac:dyDescent="0.2">
      <c r="B21" s="964" t="s">
        <v>168</v>
      </c>
      <c r="C21" s="721">
        <f>'1-Eng Inputs'!B17*0.453592</f>
        <v>21.5909792</v>
      </c>
      <c r="D21" s="43" t="s">
        <v>169</v>
      </c>
      <c r="E21" s="44" t="s">
        <v>406</v>
      </c>
      <c r="F21" s="414">
        <f>F20*F19</f>
        <v>1.9941443987999996</v>
      </c>
      <c r="G21" s="19" t="s">
        <v>1</v>
      </c>
      <c r="H21" s="44" t="s">
        <v>411</v>
      </c>
      <c r="I21" s="414">
        <f>I20*I19</f>
        <v>0.44814248699999998</v>
      </c>
      <c r="J21" s="43" t="s">
        <v>1</v>
      </c>
      <c r="K21" s="975"/>
      <c r="L21" s="47"/>
      <c r="M21" s="47"/>
      <c r="N21" s="47"/>
      <c r="O21" s="47"/>
      <c r="P21" s="47"/>
      <c r="Q21" s="47"/>
      <c r="R21" s="47"/>
      <c r="S21" s="47"/>
      <c r="T21" s="47"/>
      <c r="U21" s="47"/>
      <c r="V21" s="47"/>
      <c r="W21" s="47"/>
      <c r="X21" s="47"/>
      <c r="Y21" s="47"/>
      <c r="Z21" s="47"/>
      <c r="AA21" s="47"/>
      <c r="AC21" s="19"/>
      <c r="AD21" s="23"/>
      <c r="AE21" s="1441" t="str">
        <f>AC27</f>
        <v>setback a</v>
      </c>
      <c r="AF21" s="1442"/>
      <c r="AG21" s="18"/>
      <c r="AH21" s="18"/>
      <c r="AI21" s="18"/>
      <c r="AJ21" s="18"/>
      <c r="AK21" s="18"/>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8"/>
      <c r="BU21" s="18"/>
      <c r="BV21" s="18"/>
      <c r="BW21" s="18"/>
      <c r="BX21" s="18"/>
      <c r="BY21" s="18"/>
      <c r="BZ21" s="1441" t="str">
        <f>AC27</f>
        <v>setback a</v>
      </c>
      <c r="CA21" s="1442"/>
      <c r="CE21" s="19"/>
      <c r="CF21" s="23"/>
      <c r="CG21" s="1441" t="str">
        <f>CE27</f>
        <v>setback a</v>
      </c>
      <c r="CH21" s="1442"/>
      <c r="CI21" s="18"/>
      <c r="CJ21" s="18"/>
      <c r="CK21" s="18"/>
      <c r="CL21" s="18"/>
      <c r="CM21" s="18"/>
      <c r="CN21" s="151"/>
      <c r="CO21" s="151"/>
      <c r="CP21" s="151"/>
      <c r="CQ21" s="151"/>
      <c r="CR21" s="151"/>
      <c r="CS21" s="151"/>
      <c r="CT21" s="151"/>
      <c r="CU21" s="151"/>
      <c r="CV21" s="151"/>
      <c r="CW21" s="151"/>
      <c r="CX21" s="151"/>
      <c r="CY21" s="151"/>
      <c r="CZ21" s="151"/>
      <c r="DA21" s="151"/>
      <c r="DB21" s="151"/>
      <c r="DC21" s="151"/>
      <c r="DD21" s="151"/>
      <c r="DE21" s="151"/>
      <c r="DF21" s="151"/>
      <c r="DG21" s="151"/>
      <c r="DH21" s="151"/>
      <c r="DI21" s="151"/>
      <c r="DJ21" s="151"/>
      <c r="DK21" s="151"/>
      <c r="DL21" s="151"/>
      <c r="DM21" s="151"/>
      <c r="DN21" s="151"/>
      <c r="DO21" s="151"/>
      <c r="DP21" s="151"/>
      <c r="DQ21" s="151"/>
      <c r="DR21" s="151"/>
      <c r="DS21" s="151"/>
      <c r="DT21" s="151"/>
      <c r="DU21" s="151"/>
      <c r="DV21" s="18"/>
      <c r="DW21" s="18"/>
      <c r="DX21" s="18"/>
      <c r="DY21" s="18"/>
      <c r="DZ21" s="18"/>
      <c r="EA21" s="18"/>
      <c r="EB21" s="1441" t="str">
        <f>CE27</f>
        <v>setback a</v>
      </c>
      <c r="EC21" s="1442"/>
    </row>
    <row r="22" spans="2:135" ht="13.5" customHeight="1" x14ac:dyDescent="0.2">
      <c r="B22" s="964" t="s">
        <v>307</v>
      </c>
      <c r="C22" s="721">
        <f>((SUM('2-Quote Inputs'!K7:K8)*2)+IF('2-Quote Inputs'!G31="YES",'2-Quote Inputs'!K9,0)+IF('1-Eng Inputs'!B32="YES",'2-Quote Inputs'!K15,0))*0.453592</f>
        <v>8.0607834320000009</v>
      </c>
      <c r="D22" s="43" t="s">
        <v>169</v>
      </c>
      <c r="E22" s="19"/>
      <c r="F22" s="19"/>
      <c r="G22" s="19"/>
      <c r="H22" s="19"/>
      <c r="I22" s="19"/>
      <c r="J22" s="19"/>
      <c r="K22" s="976"/>
      <c r="L22" s="152"/>
      <c r="M22" s="152"/>
      <c r="N22" s="152"/>
      <c r="O22" s="152"/>
      <c r="P22" s="152"/>
      <c r="Q22" s="152"/>
      <c r="R22" s="152"/>
      <c r="S22" s="152"/>
      <c r="T22" s="152"/>
      <c r="U22" s="152"/>
      <c r="V22" s="152"/>
      <c r="W22" s="152"/>
      <c r="X22" s="152"/>
      <c r="Y22" s="152"/>
      <c r="Z22" s="152"/>
      <c r="AA22" s="152"/>
      <c r="AC22" s="19"/>
      <c r="AD22" s="23"/>
      <c r="AE22" s="1441"/>
      <c r="AF22" s="1442"/>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441"/>
      <c r="CA22" s="1442"/>
      <c r="CE22" s="19"/>
      <c r="CF22" s="23"/>
      <c r="CG22" s="1441"/>
      <c r="CH22" s="1442"/>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441"/>
      <c r="EC22" s="1442"/>
    </row>
    <row r="23" spans="2:135" ht="13.5" customHeight="1" thickBot="1" x14ac:dyDescent="0.25">
      <c r="B23" s="966"/>
      <c r="C23" s="967"/>
      <c r="D23" s="968"/>
      <c r="E23" s="968"/>
      <c r="F23" s="967"/>
      <c r="G23" s="967"/>
      <c r="H23" s="967"/>
      <c r="I23" s="967"/>
      <c r="J23" s="967"/>
      <c r="K23" s="975"/>
      <c r="L23" s="47"/>
      <c r="M23" s="47"/>
      <c r="N23" s="47"/>
      <c r="O23" s="47"/>
      <c r="P23" s="47"/>
      <c r="Q23" s="47"/>
      <c r="R23" s="47"/>
      <c r="S23" s="47"/>
      <c r="T23" s="47"/>
      <c r="U23" s="47"/>
      <c r="V23" s="47"/>
      <c r="W23" s="47"/>
      <c r="X23" s="47"/>
      <c r="Y23" s="47"/>
      <c r="Z23" s="47"/>
      <c r="AA23" s="47"/>
      <c r="AD23" s="19"/>
      <c r="AE23" s="1441"/>
      <c r="AF23" s="1442"/>
      <c r="AG23" s="333"/>
      <c r="AH23" s="334"/>
      <c r="AI23" s="334"/>
      <c r="AJ23" s="334"/>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5"/>
      <c r="BJ23" s="335"/>
      <c r="BK23" s="335"/>
      <c r="BL23" s="335"/>
      <c r="BM23" s="335"/>
      <c r="BN23" s="335"/>
      <c r="BO23" s="335"/>
      <c r="BP23" s="335"/>
      <c r="BQ23" s="335"/>
      <c r="BR23" s="335"/>
      <c r="BS23" s="335"/>
      <c r="BT23" s="335"/>
      <c r="BU23" s="335"/>
      <c r="BV23" s="335"/>
      <c r="BW23" s="335"/>
      <c r="BX23" s="335"/>
      <c r="BY23" s="336"/>
      <c r="BZ23" s="1441"/>
      <c r="CA23" s="1442"/>
      <c r="CB23" s="180"/>
      <c r="CE23" s="19"/>
      <c r="CF23" s="19"/>
      <c r="CG23" s="1441"/>
      <c r="CH23" s="1442"/>
      <c r="CI23" s="333"/>
      <c r="CJ23" s="334"/>
      <c r="CK23" s="334"/>
      <c r="CL23" s="334"/>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5"/>
      <c r="DL23" s="335"/>
      <c r="DM23" s="335"/>
      <c r="DN23" s="335"/>
      <c r="DO23" s="335"/>
      <c r="DP23" s="335"/>
      <c r="DQ23" s="335"/>
      <c r="DR23" s="335"/>
      <c r="DS23" s="335"/>
      <c r="DT23" s="335"/>
      <c r="DU23" s="335"/>
      <c r="DV23" s="335"/>
      <c r="DW23" s="335"/>
      <c r="DX23" s="335"/>
      <c r="DY23" s="335"/>
      <c r="DZ23" s="335"/>
      <c r="EA23" s="336"/>
      <c r="EB23" s="1441"/>
      <c r="EC23" s="1442"/>
      <c r="ED23" s="180"/>
    </row>
    <row r="24" spans="2:135" ht="13.5" customHeight="1" thickBot="1" x14ac:dyDescent="0.25">
      <c r="B24" s="1637" t="s">
        <v>412</v>
      </c>
      <c r="C24" s="1638"/>
      <c r="D24" s="1638"/>
      <c r="E24" s="1638"/>
      <c r="F24" s="1638"/>
      <c r="G24" s="1638"/>
      <c r="H24" s="1638"/>
      <c r="I24" s="1638"/>
      <c r="J24" s="1639"/>
      <c r="K24" s="975"/>
      <c r="L24" s="47"/>
      <c r="M24" s="47"/>
      <c r="N24" s="47"/>
      <c r="O24" s="47"/>
      <c r="P24" s="47"/>
      <c r="Q24" s="47"/>
      <c r="R24" s="47"/>
      <c r="S24" s="47"/>
      <c r="T24" s="47"/>
      <c r="U24" s="47"/>
      <c r="V24" s="47"/>
      <c r="W24" s="47"/>
      <c r="X24" s="47"/>
      <c r="Y24" s="47"/>
      <c r="Z24" s="47"/>
      <c r="AA24" s="47"/>
      <c r="AC24" s="19"/>
      <c r="AD24" s="21"/>
      <c r="AE24" s="1441"/>
      <c r="AF24" s="1442"/>
      <c r="AG24" s="333"/>
      <c r="AH24" s="334"/>
      <c r="AI24" s="334"/>
      <c r="AJ24" s="334"/>
      <c r="AK24" s="335"/>
      <c r="AL24" s="1443" t="s">
        <v>346</v>
      </c>
      <c r="AM24" s="1443"/>
      <c r="AN24" s="1443"/>
      <c r="AO24" s="1443"/>
      <c r="AP24" s="1443"/>
      <c r="AQ24" s="1443"/>
      <c r="AR24" s="1443"/>
      <c r="AS24" s="1443"/>
      <c r="AT24" s="1443"/>
      <c r="AU24" s="1443"/>
      <c r="AV24" s="1443"/>
      <c r="AW24" s="1443"/>
      <c r="AX24" s="1443"/>
      <c r="AY24" s="1443"/>
      <c r="AZ24" s="1443"/>
      <c r="BA24" s="1443"/>
      <c r="BB24" s="1443"/>
      <c r="BC24" s="1443"/>
      <c r="BD24" s="1443"/>
      <c r="BE24" s="1443"/>
      <c r="BF24" s="1443"/>
      <c r="BG24" s="1443"/>
      <c r="BH24" s="1443"/>
      <c r="BI24" s="1443"/>
      <c r="BJ24" s="1443"/>
      <c r="BK24" s="1443"/>
      <c r="BL24" s="1443"/>
      <c r="BM24" s="1443"/>
      <c r="BN24" s="1443"/>
      <c r="BO24" s="1443"/>
      <c r="BP24" s="1443"/>
      <c r="BQ24" s="1443"/>
      <c r="BR24" s="1443"/>
      <c r="BS24" s="1443"/>
      <c r="BT24" s="1443"/>
      <c r="BU24" s="1443"/>
      <c r="BV24" s="335"/>
      <c r="BW24" s="335"/>
      <c r="BX24" s="335"/>
      <c r="BY24" s="336"/>
      <c r="BZ24" s="1441"/>
      <c r="CA24" s="1442"/>
      <c r="CB24" s="180"/>
      <c r="CE24" s="21"/>
      <c r="CF24" s="21"/>
      <c r="CG24" s="1441"/>
      <c r="CH24" s="1442"/>
      <c r="CI24" s="333"/>
      <c r="CJ24" s="334"/>
      <c r="CK24" s="334"/>
      <c r="CL24" s="334"/>
      <c r="CM24" s="335"/>
      <c r="CN24" s="1443" t="s">
        <v>349</v>
      </c>
      <c r="CO24" s="1443"/>
      <c r="CP24" s="1443"/>
      <c r="CQ24" s="1443"/>
      <c r="CR24" s="1443"/>
      <c r="CS24" s="1443"/>
      <c r="CT24" s="1443"/>
      <c r="CU24" s="1443"/>
      <c r="CV24" s="1443"/>
      <c r="CW24" s="1443"/>
      <c r="CX24" s="1443"/>
      <c r="CY24" s="1443"/>
      <c r="CZ24" s="1443"/>
      <c r="DA24" s="1443"/>
      <c r="DB24" s="1443"/>
      <c r="DC24" s="1443"/>
      <c r="DD24" s="1443"/>
      <c r="DE24" s="1443"/>
      <c r="DF24" s="1443"/>
      <c r="DG24" s="1443"/>
      <c r="DH24" s="1443"/>
      <c r="DI24" s="1443"/>
      <c r="DJ24" s="1443"/>
      <c r="DK24" s="1443"/>
      <c r="DL24" s="1443"/>
      <c r="DM24" s="1443"/>
      <c r="DN24" s="1443"/>
      <c r="DO24" s="1443"/>
      <c r="DP24" s="1443"/>
      <c r="DQ24" s="1443"/>
      <c r="DR24" s="1443"/>
      <c r="DS24" s="1443"/>
      <c r="DT24" s="1443"/>
      <c r="DU24" s="1443"/>
      <c r="DV24" s="1443"/>
      <c r="DW24" s="1443"/>
      <c r="DX24" s="335"/>
      <c r="DY24" s="335"/>
      <c r="DZ24" s="335"/>
      <c r="EA24" s="336"/>
      <c r="EB24" s="1441"/>
      <c r="EC24" s="1442"/>
      <c r="ED24" s="180"/>
    </row>
    <row r="25" spans="2:135" ht="13.5" customHeight="1" x14ac:dyDescent="0.2">
      <c r="B25" s="49" t="s">
        <v>413</v>
      </c>
      <c r="C25" s="415">
        <f>VLOOKUP($F$11,$C$196:$F$211,3,FALSE)</f>
        <v>1.0384922145487721</v>
      </c>
      <c r="D25" s="50" t="s">
        <v>2</v>
      </c>
      <c r="E25" s="50"/>
      <c r="F25" s="50"/>
      <c r="G25" s="50"/>
      <c r="H25" s="50"/>
      <c r="I25" s="50"/>
      <c r="J25" s="50"/>
      <c r="K25" s="975"/>
      <c r="L25" s="47"/>
      <c r="M25" s="47"/>
      <c r="N25" s="47"/>
      <c r="O25" s="47"/>
      <c r="P25" s="47"/>
      <c r="Q25" s="47"/>
      <c r="R25" s="47"/>
      <c r="S25" s="47"/>
      <c r="T25" s="47"/>
      <c r="U25" s="47"/>
      <c r="V25" s="47"/>
      <c r="W25" s="47"/>
      <c r="X25" s="47"/>
      <c r="Y25" s="47"/>
      <c r="Z25" s="47"/>
      <c r="AA25" s="47"/>
      <c r="AC25" s="19"/>
      <c r="AD25" s="19"/>
      <c r="AE25" s="1441"/>
      <c r="AF25" s="1442"/>
      <c r="AG25" s="333"/>
      <c r="AH25" s="334"/>
      <c r="AI25" s="334"/>
      <c r="AJ25" s="334"/>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5"/>
      <c r="BJ25" s="335"/>
      <c r="BK25" s="335"/>
      <c r="BL25" s="335"/>
      <c r="BM25" s="335"/>
      <c r="BN25" s="335"/>
      <c r="BO25" s="335"/>
      <c r="BP25" s="335"/>
      <c r="BQ25" s="335"/>
      <c r="BR25" s="335"/>
      <c r="BS25" s="335"/>
      <c r="BT25" s="335"/>
      <c r="BU25" s="335"/>
      <c r="BV25" s="335"/>
      <c r="BW25" s="335"/>
      <c r="BX25" s="335"/>
      <c r="BY25" s="336"/>
      <c r="BZ25" s="1441"/>
      <c r="CA25" s="1442"/>
      <c r="CB25" s="180"/>
      <c r="CE25" s="19"/>
      <c r="CF25" s="19"/>
      <c r="CG25" s="1441"/>
      <c r="CH25" s="1442"/>
      <c r="CI25" s="333"/>
      <c r="CJ25" s="334"/>
      <c r="CK25" s="334"/>
      <c r="CL25" s="334"/>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5"/>
      <c r="DL25" s="335"/>
      <c r="DM25" s="335"/>
      <c r="DN25" s="335"/>
      <c r="DO25" s="335"/>
      <c r="DP25" s="335"/>
      <c r="DQ25" s="335"/>
      <c r="DR25" s="335"/>
      <c r="DS25" s="335"/>
      <c r="DT25" s="335"/>
      <c r="DU25" s="335"/>
      <c r="DV25" s="335"/>
      <c r="DW25" s="335"/>
      <c r="DX25" s="335"/>
      <c r="DY25" s="335"/>
      <c r="DZ25" s="335"/>
      <c r="EA25" s="336"/>
      <c r="EB25" s="1441"/>
      <c r="EC25" s="1442"/>
      <c r="ED25" s="180"/>
    </row>
    <row r="26" spans="2:135" ht="13.5" customHeight="1" thickBot="1" x14ac:dyDescent="0.25">
      <c r="B26" s="42" t="s">
        <v>379</v>
      </c>
      <c r="C26" s="504" t="str">
        <f>VLOOKUP($F$11,$C$196:$F$211,4,FALSE)</f>
        <v>Exp. B</v>
      </c>
      <c r="D26" s="94" t="s">
        <v>4</v>
      </c>
      <c r="E26" s="94"/>
      <c r="F26" s="43"/>
      <c r="G26" s="43"/>
      <c r="H26" s="43"/>
      <c r="I26" s="43"/>
      <c r="J26" s="43"/>
      <c r="K26" s="975"/>
      <c r="L26" s="47"/>
      <c r="M26" s="47"/>
      <c r="N26" s="47"/>
      <c r="O26" s="47"/>
      <c r="P26" s="47"/>
      <c r="Q26" s="47"/>
      <c r="R26" s="47"/>
      <c r="S26" s="47"/>
      <c r="T26" s="47"/>
      <c r="U26" s="47"/>
      <c r="V26" s="47"/>
      <c r="W26" s="47"/>
      <c r="X26" s="47"/>
      <c r="Y26" s="47"/>
      <c r="Z26" s="47"/>
      <c r="AA26" s="47"/>
      <c r="AC26" s="52"/>
      <c r="AD26" s="52"/>
      <c r="AG26" s="118"/>
      <c r="AH26" s="118"/>
      <c r="AI26" s="118"/>
      <c r="AJ26" s="118"/>
      <c r="AK26" s="153"/>
      <c r="AL26" s="153"/>
      <c r="AM26" s="153"/>
      <c r="AN26" s="153"/>
      <c r="AO26" s="118"/>
      <c r="AP26" s="118"/>
      <c r="AQ26" s="118"/>
      <c r="AR26" s="118"/>
      <c r="AS26" s="118"/>
      <c r="AT26" s="118"/>
      <c r="AU26" s="118"/>
      <c r="AV26" s="118"/>
      <c r="AW26" s="118"/>
      <c r="AX26" s="118"/>
      <c r="AY26" s="118"/>
      <c r="AZ26" s="118"/>
      <c r="BA26" s="118"/>
      <c r="BB26" s="153"/>
      <c r="BC26" s="153"/>
      <c r="BD26" s="153"/>
      <c r="BE26" s="118"/>
      <c r="BF26" s="118"/>
      <c r="BG26" s="118"/>
      <c r="BH26" s="118"/>
      <c r="BI26" s="118"/>
      <c r="BJ26" s="118"/>
      <c r="BK26" s="118"/>
      <c r="BL26" s="118"/>
      <c r="BM26" s="118"/>
      <c r="BN26" s="118"/>
      <c r="BO26" s="118"/>
      <c r="BP26" s="118"/>
      <c r="BQ26" s="118"/>
      <c r="BR26" s="118"/>
      <c r="BS26" s="118"/>
      <c r="BT26" s="118"/>
      <c r="BU26" s="118"/>
      <c r="BV26" s="153"/>
      <c r="BW26" s="153"/>
      <c r="BX26" s="153"/>
      <c r="BY26" s="153"/>
      <c r="CB26" s="180"/>
      <c r="CE26" s="52"/>
      <c r="CF26" s="52"/>
      <c r="CI26" s="118"/>
      <c r="CJ26" s="118"/>
      <c r="CK26" s="118"/>
      <c r="CL26" s="118"/>
      <c r="CM26" s="153"/>
      <c r="CN26" s="153"/>
      <c r="CO26" s="153"/>
      <c r="CP26" s="153"/>
      <c r="CQ26" s="118"/>
      <c r="CR26" s="118"/>
      <c r="CS26" s="118"/>
      <c r="CT26" s="118"/>
      <c r="CU26" s="118"/>
      <c r="CV26" s="118"/>
      <c r="CW26" s="118"/>
      <c r="CX26" s="118"/>
      <c r="CY26" s="118"/>
      <c r="CZ26" s="118"/>
      <c r="DA26" s="118"/>
      <c r="DB26" s="118"/>
      <c r="DC26" s="118"/>
      <c r="DD26" s="153"/>
      <c r="DE26" s="153"/>
      <c r="DF26" s="153"/>
      <c r="DG26" s="118"/>
      <c r="DH26" s="118"/>
      <c r="DI26" s="118"/>
      <c r="DJ26" s="118"/>
      <c r="DK26" s="118"/>
      <c r="DL26" s="118"/>
      <c r="DM26" s="118"/>
      <c r="DN26" s="118"/>
      <c r="DO26" s="118"/>
      <c r="DP26" s="118"/>
      <c r="DQ26" s="118"/>
      <c r="DR26" s="118"/>
      <c r="DS26" s="118"/>
      <c r="DT26" s="118"/>
      <c r="DU26" s="118"/>
      <c r="DV26" s="118"/>
      <c r="DW26" s="118"/>
      <c r="DX26" s="153"/>
      <c r="DY26" s="153"/>
      <c r="DZ26" s="153"/>
      <c r="EA26" s="153"/>
      <c r="ED26" s="180"/>
    </row>
    <row r="27" spans="2:135" ht="13.5" customHeight="1" thickTop="1" thickBot="1" x14ac:dyDescent="0.25">
      <c r="B27" s="274"/>
      <c r="C27" s="416"/>
      <c r="D27" s="46"/>
      <c r="E27" s="46"/>
      <c r="F27" s="46"/>
      <c r="G27" s="46"/>
      <c r="H27" s="46"/>
      <c r="I27" s="46"/>
      <c r="J27" s="46"/>
      <c r="K27" s="973"/>
      <c r="L27" s="19"/>
      <c r="M27" s="19"/>
      <c r="N27" s="19"/>
      <c r="O27" s="19"/>
      <c r="P27" s="19"/>
      <c r="Q27" s="19"/>
      <c r="R27" s="19"/>
      <c r="S27" s="19"/>
      <c r="T27" s="19"/>
      <c r="U27" s="19"/>
      <c r="V27" s="19"/>
      <c r="W27" s="19"/>
      <c r="X27" s="19"/>
      <c r="Y27" s="19"/>
      <c r="Z27" s="19"/>
      <c r="AA27" s="19"/>
      <c r="AC27" s="1444" t="s">
        <v>445</v>
      </c>
      <c r="AD27" s="52"/>
      <c r="AE27" s="363"/>
      <c r="AF27" s="364"/>
      <c r="AG27" s="1446" t="s">
        <v>447</v>
      </c>
      <c r="AH27" s="1447"/>
      <c r="AI27" s="1447"/>
      <c r="AJ27" s="1447"/>
      <c r="AK27" s="1447"/>
      <c r="AL27" s="1447"/>
      <c r="AM27" s="1447"/>
      <c r="AN27" s="1447"/>
      <c r="AO27" s="1447"/>
      <c r="AP27" s="1447"/>
      <c r="AQ27" s="1447"/>
      <c r="AR27" s="1447"/>
      <c r="AS27" s="1447"/>
      <c r="AT27" s="1447"/>
      <c r="AU27" s="1447"/>
      <c r="AV27" s="1447"/>
      <c r="AW27" s="1447"/>
      <c r="AX27" s="1447"/>
      <c r="AY27" s="1447"/>
      <c r="AZ27" s="1447"/>
      <c r="BA27" s="1447"/>
      <c r="BB27" s="1447"/>
      <c r="BC27" s="1447"/>
      <c r="BD27" s="1447"/>
      <c r="BE27" s="1447"/>
      <c r="BF27" s="1447"/>
      <c r="BG27" s="1447"/>
      <c r="BH27" s="1447"/>
      <c r="BI27" s="1447"/>
      <c r="BJ27" s="1447"/>
      <c r="BK27" s="1447"/>
      <c r="BL27" s="1447"/>
      <c r="BM27" s="1447"/>
      <c r="BN27" s="1447"/>
      <c r="BO27" s="1447"/>
      <c r="BP27" s="1447"/>
      <c r="BQ27" s="1447"/>
      <c r="BR27" s="1447"/>
      <c r="BS27" s="1447"/>
      <c r="BT27" s="1447"/>
      <c r="BU27" s="1447"/>
      <c r="BV27" s="1447"/>
      <c r="BW27" s="1447"/>
      <c r="BX27" s="1447"/>
      <c r="BY27" s="1448"/>
      <c r="BZ27" s="365"/>
      <c r="CA27" s="366"/>
      <c r="CB27" s="359"/>
      <c r="CC27" s="484"/>
      <c r="CE27" s="1444" t="s">
        <v>445</v>
      </c>
      <c r="CF27" s="52"/>
      <c r="CG27" s="363"/>
      <c r="CH27" s="364"/>
      <c r="CI27" s="1446" t="s">
        <v>447</v>
      </c>
      <c r="CJ27" s="1447"/>
      <c r="CK27" s="1447"/>
      <c r="CL27" s="1447"/>
      <c r="CM27" s="1447"/>
      <c r="CN27" s="1447"/>
      <c r="CO27" s="1447"/>
      <c r="CP27" s="1447"/>
      <c r="CQ27" s="1447"/>
      <c r="CR27" s="1447"/>
      <c r="CS27" s="1447"/>
      <c r="CT27" s="1447"/>
      <c r="CU27" s="1447"/>
      <c r="CV27" s="1447"/>
      <c r="CW27" s="1447"/>
      <c r="CX27" s="1447"/>
      <c r="CY27" s="1447"/>
      <c r="CZ27" s="1447"/>
      <c r="DA27" s="1447"/>
      <c r="DB27" s="1447"/>
      <c r="DC27" s="1447"/>
      <c r="DD27" s="1447"/>
      <c r="DE27" s="1447"/>
      <c r="DF27" s="1447"/>
      <c r="DG27" s="1447"/>
      <c r="DH27" s="1447"/>
      <c r="DI27" s="1447"/>
      <c r="DJ27" s="1447"/>
      <c r="DK27" s="1447"/>
      <c r="DL27" s="1447"/>
      <c r="DM27" s="1447"/>
      <c r="DN27" s="1447"/>
      <c r="DO27" s="1447"/>
      <c r="DP27" s="1447"/>
      <c r="DQ27" s="1447"/>
      <c r="DR27" s="1447"/>
      <c r="DS27" s="1447"/>
      <c r="DT27" s="1447"/>
      <c r="DU27" s="1447"/>
      <c r="DV27" s="1447"/>
      <c r="DW27" s="1447"/>
      <c r="DX27" s="1447"/>
      <c r="DY27" s="1447"/>
      <c r="DZ27" s="1447"/>
      <c r="EA27" s="1448"/>
      <c r="EB27" s="365"/>
      <c r="EC27" s="366"/>
      <c r="ED27" s="359"/>
      <c r="EE27" s="484"/>
    </row>
    <row r="28" spans="2:135" ht="13.5" customHeight="1" thickBot="1" x14ac:dyDescent="0.25">
      <c r="B28" s="1637" t="s">
        <v>414</v>
      </c>
      <c r="C28" s="1638"/>
      <c r="D28" s="1638"/>
      <c r="E28" s="1638"/>
      <c r="F28" s="1638"/>
      <c r="G28" s="1638"/>
      <c r="H28" s="1638"/>
      <c r="I28" s="1638"/>
      <c r="J28" s="1639"/>
      <c r="K28" s="973"/>
      <c r="L28" s="19"/>
      <c r="M28" s="19"/>
      <c r="N28" s="19"/>
      <c r="O28" s="19"/>
      <c r="P28" s="19"/>
      <c r="Q28" s="19"/>
      <c r="R28" s="19"/>
      <c r="S28" s="19"/>
      <c r="T28" s="19"/>
      <c r="U28" s="19"/>
      <c r="V28" s="19"/>
      <c r="W28" s="19"/>
      <c r="X28" s="19"/>
      <c r="Y28" s="19"/>
      <c r="Z28" s="19"/>
      <c r="AA28" s="19"/>
      <c r="AC28" s="1445"/>
      <c r="AD28" s="52"/>
      <c r="AE28" s="367"/>
      <c r="AF28" s="154"/>
      <c r="AG28" s="1449"/>
      <c r="AH28" s="1450"/>
      <c r="AI28" s="1450"/>
      <c r="AJ28" s="1450"/>
      <c r="AK28" s="1450"/>
      <c r="AL28" s="1450"/>
      <c r="AM28" s="1450"/>
      <c r="AN28" s="1450"/>
      <c r="AO28" s="1450"/>
      <c r="AP28" s="1450"/>
      <c r="AQ28" s="1450"/>
      <c r="AR28" s="1450"/>
      <c r="AS28" s="1450"/>
      <c r="AT28" s="1450"/>
      <c r="AU28" s="1450"/>
      <c r="AV28" s="1450"/>
      <c r="AW28" s="1450"/>
      <c r="AX28" s="1450"/>
      <c r="AY28" s="1450"/>
      <c r="AZ28" s="1450"/>
      <c r="BA28" s="1450"/>
      <c r="BB28" s="1450"/>
      <c r="BC28" s="1450"/>
      <c r="BD28" s="1450"/>
      <c r="BE28" s="1450"/>
      <c r="BF28" s="1450"/>
      <c r="BG28" s="1450"/>
      <c r="BH28" s="1450"/>
      <c r="BI28" s="1450"/>
      <c r="BJ28" s="1450"/>
      <c r="BK28" s="1450"/>
      <c r="BL28" s="1450"/>
      <c r="BM28" s="1450"/>
      <c r="BN28" s="1450"/>
      <c r="BO28" s="1450"/>
      <c r="BP28" s="1450"/>
      <c r="BQ28" s="1450"/>
      <c r="BR28" s="1450"/>
      <c r="BS28" s="1450"/>
      <c r="BT28" s="1450"/>
      <c r="BU28" s="1450"/>
      <c r="BV28" s="1450"/>
      <c r="BW28" s="1450"/>
      <c r="BX28" s="1450"/>
      <c r="BY28" s="1451"/>
      <c r="BZ28" s="48"/>
      <c r="CA28" s="368"/>
      <c r="CB28" s="360"/>
      <c r="CC28" s="485"/>
      <c r="CE28" s="1445"/>
      <c r="CF28" s="52"/>
      <c r="CG28" s="367"/>
      <c r="CH28" s="154"/>
      <c r="CI28" s="1449"/>
      <c r="CJ28" s="1450"/>
      <c r="CK28" s="1450"/>
      <c r="CL28" s="1450"/>
      <c r="CM28" s="1450"/>
      <c r="CN28" s="1450"/>
      <c r="CO28" s="1450"/>
      <c r="CP28" s="1450"/>
      <c r="CQ28" s="1450"/>
      <c r="CR28" s="1450"/>
      <c r="CS28" s="1450"/>
      <c r="CT28" s="1450"/>
      <c r="CU28" s="1450"/>
      <c r="CV28" s="1450"/>
      <c r="CW28" s="1450"/>
      <c r="CX28" s="1450"/>
      <c r="CY28" s="1450"/>
      <c r="CZ28" s="1450"/>
      <c r="DA28" s="1450"/>
      <c r="DB28" s="1450"/>
      <c r="DC28" s="1450"/>
      <c r="DD28" s="1450"/>
      <c r="DE28" s="1450"/>
      <c r="DF28" s="1450"/>
      <c r="DG28" s="1450"/>
      <c r="DH28" s="1450"/>
      <c r="DI28" s="1450"/>
      <c r="DJ28" s="1450"/>
      <c r="DK28" s="1450"/>
      <c r="DL28" s="1450"/>
      <c r="DM28" s="1450"/>
      <c r="DN28" s="1450"/>
      <c r="DO28" s="1450"/>
      <c r="DP28" s="1450"/>
      <c r="DQ28" s="1450"/>
      <c r="DR28" s="1450"/>
      <c r="DS28" s="1450"/>
      <c r="DT28" s="1450"/>
      <c r="DU28" s="1450"/>
      <c r="DV28" s="1450"/>
      <c r="DW28" s="1450"/>
      <c r="DX28" s="1450"/>
      <c r="DY28" s="1450"/>
      <c r="DZ28" s="1450"/>
      <c r="EA28" s="1451"/>
      <c r="EB28" s="48"/>
      <c r="EC28" s="368"/>
      <c r="ED28" s="360"/>
      <c r="EE28" s="485"/>
    </row>
    <row r="29" spans="2:135" ht="13.5" customHeight="1" thickTop="1" x14ac:dyDescent="0.2">
      <c r="B29" s="326"/>
      <c r="C29" s="340"/>
      <c r="D29" s="327"/>
      <c r="E29" s="327"/>
      <c r="F29" s="327"/>
      <c r="G29" s="327"/>
      <c r="H29" s="327"/>
      <c r="I29" s="327"/>
      <c r="J29" s="327"/>
      <c r="K29" s="973"/>
      <c r="L29" s="19"/>
      <c r="M29" s="19"/>
      <c r="N29" s="19"/>
      <c r="O29" s="19"/>
      <c r="P29" s="19"/>
      <c r="Q29" s="19"/>
      <c r="R29" s="19"/>
      <c r="S29" s="19"/>
      <c r="T29" s="19"/>
      <c r="U29" s="19"/>
      <c r="V29" s="19"/>
      <c r="W29" s="19"/>
      <c r="X29" s="19"/>
      <c r="Y29" s="19"/>
      <c r="Z29" s="19"/>
      <c r="AA29" s="19"/>
      <c r="AC29" s="490"/>
      <c r="AD29" s="52"/>
      <c r="AE29" s="1480" t="s">
        <v>446</v>
      </c>
      <c r="AF29" s="1481"/>
      <c r="AG29" s="1566" t="str">
        <f>AL29</f>
        <v>North row
Interior modules</v>
      </c>
      <c r="AH29" s="1477"/>
      <c r="AI29" s="1477"/>
      <c r="AJ29" s="1477"/>
      <c r="AK29" s="1478"/>
      <c r="AL29" s="1476" t="str">
        <f>CONCATENATE(B139,CHAR(10),E140)</f>
        <v>North row
Interior modules</v>
      </c>
      <c r="AM29" s="1477"/>
      <c r="AN29" s="1477"/>
      <c r="AO29" s="1477"/>
      <c r="AP29" s="1478"/>
      <c r="AQ29" s="1473" t="str">
        <f>CONCATENATE(B139,CHAR(10),E139)</f>
        <v>North row
1st-4th module</v>
      </c>
      <c r="AR29" s="1474"/>
      <c r="AS29" s="1474"/>
      <c r="AT29" s="1474"/>
      <c r="AU29" s="1475"/>
      <c r="AV29" s="1470" t="str">
        <f>CONCATENATE(B130,CHAR(10),E131)</f>
        <v>North row
Interior modules</v>
      </c>
      <c r="AW29" s="1471"/>
      <c r="AX29" s="1471"/>
      <c r="AY29" s="1471"/>
      <c r="AZ29" s="1472"/>
      <c r="BA29" s="1467" t="str">
        <f>CONCATENATE(B130,CHAR(10),E130)</f>
        <v>North row
1st-4th module</v>
      </c>
      <c r="BB29" s="1468"/>
      <c r="BC29" s="1468"/>
      <c r="BD29" s="1468"/>
      <c r="BE29" s="1469"/>
      <c r="BF29" s="1464" t="str">
        <f>CONCATENATE(B121,CHAR(10),E122)</f>
        <v>North row
Interior modules</v>
      </c>
      <c r="BG29" s="1465"/>
      <c r="BH29" s="1465"/>
      <c r="BI29" s="1465"/>
      <c r="BJ29" s="1466"/>
      <c r="BK29" s="1563" t="str">
        <f>CONCATENATE(B121,CHAR(10),E121)</f>
        <v>North row
1st-4th module</v>
      </c>
      <c r="BL29" s="1564"/>
      <c r="BM29" s="1564"/>
      <c r="BN29" s="1564"/>
      <c r="BO29" s="1565"/>
      <c r="BP29" s="1554" t="str">
        <f>CONCATENATE(B103,CHAR(10),E104)</f>
        <v>North row
Interior modules</v>
      </c>
      <c r="BQ29" s="1555"/>
      <c r="BR29" s="1555"/>
      <c r="BS29" s="1555"/>
      <c r="BT29" s="1556"/>
      <c r="BU29" s="1545" t="str">
        <f>CONCATENATE(B103,CHAR(10),E103)</f>
        <v>North row
1st-4th module</v>
      </c>
      <c r="BV29" s="1546"/>
      <c r="BW29" s="1546"/>
      <c r="BX29" s="1546"/>
      <c r="BY29" s="1547"/>
      <c r="BZ29" s="1480" t="s">
        <v>448</v>
      </c>
      <c r="CA29" s="1481"/>
      <c r="CB29" s="360"/>
      <c r="CC29" s="485"/>
      <c r="CE29" s="490"/>
      <c r="CF29" s="52"/>
      <c r="CG29" s="1480" t="s">
        <v>446</v>
      </c>
      <c r="CH29" s="1481"/>
      <c r="CI29" s="1452" t="str">
        <f>BU29</f>
        <v>North row
1st-4th module</v>
      </c>
      <c r="CJ29" s="1453"/>
      <c r="CK29" s="1453"/>
      <c r="CL29" s="1453"/>
      <c r="CM29" s="1454"/>
      <c r="CN29" s="1455" t="str">
        <f>BP29</f>
        <v>North row
Interior modules</v>
      </c>
      <c r="CO29" s="1456"/>
      <c r="CP29" s="1456"/>
      <c r="CQ29" s="1456"/>
      <c r="CR29" s="1457"/>
      <c r="CS29" s="1461" t="str">
        <f>BK29</f>
        <v>North row
1st-4th module</v>
      </c>
      <c r="CT29" s="1462"/>
      <c r="CU29" s="1462"/>
      <c r="CV29" s="1462"/>
      <c r="CW29" s="1463"/>
      <c r="CX29" s="1464" t="str">
        <f>BF29</f>
        <v>North row
Interior modules</v>
      </c>
      <c r="CY29" s="1465"/>
      <c r="CZ29" s="1465"/>
      <c r="DA29" s="1465"/>
      <c r="DB29" s="1466"/>
      <c r="DC29" s="1467" t="str">
        <f>BA29</f>
        <v>North row
1st-4th module</v>
      </c>
      <c r="DD29" s="1468"/>
      <c r="DE29" s="1468"/>
      <c r="DF29" s="1468"/>
      <c r="DG29" s="1469"/>
      <c r="DH29" s="1470" t="str">
        <f>AV29</f>
        <v>North row
Interior modules</v>
      </c>
      <c r="DI29" s="1471"/>
      <c r="DJ29" s="1471"/>
      <c r="DK29" s="1471"/>
      <c r="DL29" s="1472"/>
      <c r="DM29" s="1473" t="str">
        <f>AQ29</f>
        <v>North row
1st-4th module</v>
      </c>
      <c r="DN29" s="1474"/>
      <c r="DO29" s="1474"/>
      <c r="DP29" s="1474"/>
      <c r="DQ29" s="1475"/>
      <c r="DR29" s="1476" t="str">
        <f>AL29</f>
        <v>North row
Interior modules</v>
      </c>
      <c r="DS29" s="1477"/>
      <c r="DT29" s="1477"/>
      <c r="DU29" s="1477"/>
      <c r="DV29" s="1478"/>
      <c r="DW29" s="1476" t="str">
        <f>AG29</f>
        <v>North row
Interior modules</v>
      </c>
      <c r="DX29" s="1477"/>
      <c r="DY29" s="1477"/>
      <c r="DZ29" s="1477"/>
      <c r="EA29" s="1479"/>
      <c r="EB29" s="1480" t="s">
        <v>448</v>
      </c>
      <c r="EC29" s="1481"/>
      <c r="ED29" s="360"/>
      <c r="EE29" s="485"/>
    </row>
    <row r="30" spans="2:135" ht="13.5" customHeight="1" x14ac:dyDescent="0.2">
      <c r="B30" s="274" t="s">
        <v>415</v>
      </c>
      <c r="C30" s="746">
        <f>'Friction Data'!E16</f>
        <v>0.45</v>
      </c>
      <c r="D30" s="46" t="s">
        <v>4</v>
      </c>
      <c r="E30" s="46"/>
      <c r="F30" s="46"/>
      <c r="G30" s="43"/>
      <c r="H30" s="43"/>
      <c r="I30" s="43"/>
      <c r="J30" s="43"/>
      <c r="K30" s="973"/>
      <c r="L30" s="19"/>
      <c r="M30" s="19"/>
      <c r="N30" s="19"/>
      <c r="O30" s="19"/>
      <c r="P30" s="19"/>
      <c r="Q30" s="19"/>
      <c r="R30" s="19"/>
      <c r="S30" s="19"/>
      <c r="T30" s="19"/>
      <c r="U30" s="19"/>
      <c r="V30" s="19"/>
      <c r="W30" s="19"/>
      <c r="X30" s="19"/>
      <c r="Y30" s="19"/>
      <c r="Z30" s="19"/>
      <c r="AA30" s="19"/>
      <c r="AC30" s="491"/>
      <c r="AD30" s="54"/>
      <c r="AE30" s="1482"/>
      <c r="AF30" s="1483"/>
      <c r="AG30" s="1567"/>
      <c r="AH30" s="1281"/>
      <c r="AI30" s="1281"/>
      <c r="AJ30" s="1281"/>
      <c r="AK30" s="1282"/>
      <c r="AL30" s="1280"/>
      <c r="AM30" s="1281"/>
      <c r="AN30" s="1281"/>
      <c r="AO30" s="1281"/>
      <c r="AP30" s="1282"/>
      <c r="AQ30" s="1334"/>
      <c r="AR30" s="1335"/>
      <c r="AS30" s="1335"/>
      <c r="AT30" s="1335"/>
      <c r="AU30" s="1336"/>
      <c r="AV30" s="1343"/>
      <c r="AW30" s="1344"/>
      <c r="AX30" s="1344"/>
      <c r="AY30" s="1344"/>
      <c r="AZ30" s="1345"/>
      <c r="BA30" s="1352"/>
      <c r="BB30" s="1353"/>
      <c r="BC30" s="1353"/>
      <c r="BD30" s="1353"/>
      <c r="BE30" s="1354"/>
      <c r="BF30" s="1361"/>
      <c r="BG30" s="1362"/>
      <c r="BH30" s="1362"/>
      <c r="BI30" s="1362"/>
      <c r="BJ30" s="1363"/>
      <c r="BK30" s="1503"/>
      <c r="BL30" s="1504"/>
      <c r="BM30" s="1504"/>
      <c r="BN30" s="1504"/>
      <c r="BO30" s="1505"/>
      <c r="BP30" s="1557"/>
      <c r="BQ30" s="1558"/>
      <c r="BR30" s="1558"/>
      <c r="BS30" s="1558"/>
      <c r="BT30" s="1559"/>
      <c r="BU30" s="1548"/>
      <c r="BV30" s="1549"/>
      <c r="BW30" s="1549"/>
      <c r="BX30" s="1549"/>
      <c r="BY30" s="1550"/>
      <c r="BZ30" s="1482"/>
      <c r="CA30" s="1483"/>
      <c r="CB30" s="360"/>
      <c r="CC30" s="485"/>
      <c r="CE30" s="491"/>
      <c r="CF30" s="54"/>
      <c r="CG30" s="1482"/>
      <c r="CH30" s="1483"/>
      <c r="CI30" s="1385"/>
      <c r="CJ30" s="1386"/>
      <c r="CK30" s="1386"/>
      <c r="CL30" s="1386"/>
      <c r="CM30" s="1387"/>
      <c r="CN30" s="1458"/>
      <c r="CO30" s="1459"/>
      <c r="CP30" s="1459"/>
      <c r="CQ30" s="1459"/>
      <c r="CR30" s="1460"/>
      <c r="CS30" s="1298"/>
      <c r="CT30" s="1299"/>
      <c r="CU30" s="1299"/>
      <c r="CV30" s="1299"/>
      <c r="CW30" s="1300"/>
      <c r="CX30" s="1361"/>
      <c r="CY30" s="1362"/>
      <c r="CZ30" s="1362"/>
      <c r="DA30" s="1362"/>
      <c r="DB30" s="1363"/>
      <c r="DC30" s="1352"/>
      <c r="DD30" s="1353"/>
      <c r="DE30" s="1353"/>
      <c r="DF30" s="1353"/>
      <c r="DG30" s="1354"/>
      <c r="DH30" s="1343"/>
      <c r="DI30" s="1344"/>
      <c r="DJ30" s="1344"/>
      <c r="DK30" s="1344"/>
      <c r="DL30" s="1345"/>
      <c r="DM30" s="1334"/>
      <c r="DN30" s="1335"/>
      <c r="DO30" s="1335"/>
      <c r="DP30" s="1335"/>
      <c r="DQ30" s="1336"/>
      <c r="DR30" s="1280"/>
      <c r="DS30" s="1281"/>
      <c r="DT30" s="1281"/>
      <c r="DU30" s="1281"/>
      <c r="DV30" s="1282"/>
      <c r="DW30" s="1280"/>
      <c r="DX30" s="1281"/>
      <c r="DY30" s="1281"/>
      <c r="DZ30" s="1281"/>
      <c r="EA30" s="1287"/>
      <c r="EB30" s="1482"/>
      <c r="EC30" s="1483"/>
      <c r="ED30" s="360"/>
      <c r="EE30" s="485"/>
    </row>
    <row r="31" spans="2:135" ht="13.5" customHeight="1" x14ac:dyDescent="0.2">
      <c r="B31" s="274" t="s">
        <v>416</v>
      </c>
      <c r="C31" s="414">
        <f>'building data'!C23</f>
        <v>1.1934894239820351</v>
      </c>
      <c r="D31" s="43" t="s">
        <v>5</v>
      </c>
      <c r="E31" s="43"/>
      <c r="F31" s="43"/>
      <c r="G31" s="43"/>
      <c r="H31" s="43"/>
      <c r="I31" s="43"/>
      <c r="J31" s="43"/>
      <c r="K31" s="977"/>
      <c r="L31" s="156"/>
      <c r="M31" s="156"/>
      <c r="N31" s="156"/>
      <c r="O31" s="156"/>
      <c r="P31" s="156"/>
      <c r="Q31" s="156"/>
      <c r="R31" s="156"/>
      <c r="S31" s="156"/>
      <c r="T31" s="156"/>
      <c r="U31" s="156"/>
      <c r="V31" s="156"/>
      <c r="W31" s="156"/>
      <c r="X31" s="156"/>
      <c r="Y31" s="156"/>
      <c r="Z31" s="156"/>
      <c r="AA31" s="156"/>
      <c r="AC31" s="491"/>
      <c r="AD31" s="54"/>
      <c r="AE31" s="1482"/>
      <c r="AF31" s="1483"/>
      <c r="AG31" s="1568"/>
      <c r="AH31" s="1284"/>
      <c r="AI31" s="1284"/>
      <c r="AJ31" s="1284"/>
      <c r="AK31" s="1285"/>
      <c r="AL31" s="1283"/>
      <c r="AM31" s="1284"/>
      <c r="AN31" s="1284"/>
      <c r="AO31" s="1284"/>
      <c r="AP31" s="1285"/>
      <c r="AQ31" s="1337"/>
      <c r="AR31" s="1338"/>
      <c r="AS31" s="1338"/>
      <c r="AT31" s="1338"/>
      <c r="AU31" s="1339"/>
      <c r="AV31" s="1346"/>
      <c r="AW31" s="1347"/>
      <c r="AX31" s="1347"/>
      <c r="AY31" s="1347"/>
      <c r="AZ31" s="1348"/>
      <c r="BA31" s="1355"/>
      <c r="BB31" s="1356"/>
      <c r="BC31" s="1356"/>
      <c r="BD31" s="1356"/>
      <c r="BE31" s="1357"/>
      <c r="BF31" s="1364"/>
      <c r="BG31" s="1365"/>
      <c r="BH31" s="1365"/>
      <c r="BI31" s="1365"/>
      <c r="BJ31" s="1366"/>
      <c r="BK31" s="1506"/>
      <c r="BL31" s="1507"/>
      <c r="BM31" s="1507"/>
      <c r="BN31" s="1507"/>
      <c r="BO31" s="1508"/>
      <c r="BP31" s="1560"/>
      <c r="BQ31" s="1561"/>
      <c r="BR31" s="1561"/>
      <c r="BS31" s="1561"/>
      <c r="BT31" s="1562"/>
      <c r="BU31" s="1551"/>
      <c r="BV31" s="1552"/>
      <c r="BW31" s="1552"/>
      <c r="BX31" s="1552"/>
      <c r="BY31" s="1553"/>
      <c r="BZ31" s="1482"/>
      <c r="CA31" s="1483"/>
      <c r="CB31" s="360"/>
      <c r="CC31" s="485"/>
      <c r="CE31" s="491"/>
      <c r="CF31" s="54"/>
      <c r="CG31" s="1482"/>
      <c r="CH31" s="1483"/>
      <c r="CI31" s="1388"/>
      <c r="CJ31" s="1389"/>
      <c r="CK31" s="1389"/>
      <c r="CL31" s="1389"/>
      <c r="CM31" s="1390"/>
      <c r="CN31" s="1434"/>
      <c r="CO31" s="1435"/>
      <c r="CP31" s="1435"/>
      <c r="CQ31" s="1435"/>
      <c r="CR31" s="1436"/>
      <c r="CS31" s="1301"/>
      <c r="CT31" s="1302"/>
      <c r="CU31" s="1302"/>
      <c r="CV31" s="1302"/>
      <c r="CW31" s="1303"/>
      <c r="CX31" s="1364"/>
      <c r="CY31" s="1365"/>
      <c r="CZ31" s="1365"/>
      <c r="DA31" s="1365"/>
      <c r="DB31" s="1366"/>
      <c r="DC31" s="1355"/>
      <c r="DD31" s="1356"/>
      <c r="DE31" s="1356"/>
      <c r="DF31" s="1356"/>
      <c r="DG31" s="1357"/>
      <c r="DH31" s="1346"/>
      <c r="DI31" s="1347"/>
      <c r="DJ31" s="1347"/>
      <c r="DK31" s="1347"/>
      <c r="DL31" s="1348"/>
      <c r="DM31" s="1337"/>
      <c r="DN31" s="1338"/>
      <c r="DO31" s="1338"/>
      <c r="DP31" s="1338"/>
      <c r="DQ31" s="1339"/>
      <c r="DR31" s="1283"/>
      <c r="DS31" s="1284"/>
      <c r="DT31" s="1284"/>
      <c r="DU31" s="1284"/>
      <c r="DV31" s="1285"/>
      <c r="DW31" s="1283"/>
      <c r="DX31" s="1284"/>
      <c r="DY31" s="1284"/>
      <c r="DZ31" s="1284"/>
      <c r="EA31" s="1288"/>
      <c r="EB31" s="1482"/>
      <c r="EC31" s="1483"/>
      <c r="ED31" s="360"/>
      <c r="EE31" s="485"/>
    </row>
    <row r="32" spans="2:135" ht="20.25" customHeight="1" x14ac:dyDescent="0.2">
      <c r="B32" s="1628" t="s">
        <v>417</v>
      </c>
      <c r="C32" s="1629"/>
      <c r="D32" s="1629"/>
      <c r="E32" s="1629"/>
      <c r="F32" s="1629"/>
      <c r="G32" s="1629"/>
      <c r="H32" s="1629"/>
      <c r="I32" s="1630"/>
      <c r="J32" s="1640" t="s">
        <v>19</v>
      </c>
      <c r="K32" s="978"/>
      <c r="L32" s="150"/>
      <c r="M32" s="150"/>
      <c r="N32" s="150"/>
      <c r="O32" s="150"/>
      <c r="P32" s="150"/>
      <c r="Q32" s="150"/>
      <c r="R32" s="150"/>
      <c r="S32" s="150"/>
      <c r="T32" s="150"/>
      <c r="U32" s="150"/>
      <c r="V32" s="150"/>
      <c r="W32" s="150"/>
      <c r="X32" s="150"/>
      <c r="Y32" s="150"/>
      <c r="Z32" s="150"/>
      <c r="AA32" s="150"/>
      <c r="AD32" s="54"/>
      <c r="AE32" s="1482"/>
      <c r="AF32" s="1483"/>
      <c r="AG32" s="1569" t="str">
        <f>AL32</f>
        <v>Inner row
Interior modules</v>
      </c>
      <c r="AH32" s="1278"/>
      <c r="AI32" s="1278"/>
      <c r="AJ32" s="1278"/>
      <c r="AK32" s="1279"/>
      <c r="AL32" s="1277" t="str">
        <f>CONCATENATE(B200,CHAR(10),E142)</f>
        <v>Inner row
Interior modules</v>
      </c>
      <c r="AM32" s="1278"/>
      <c r="AN32" s="1278"/>
      <c r="AO32" s="1278"/>
      <c r="AP32" s="1279"/>
      <c r="AQ32" s="1331" t="str">
        <f>CONCATENATE(B200,CHAR(10),E141)</f>
        <v>Inner row
1st-4th module</v>
      </c>
      <c r="AR32" s="1332"/>
      <c r="AS32" s="1332"/>
      <c r="AT32" s="1332"/>
      <c r="AU32" s="1333"/>
      <c r="AV32" s="1340" t="str">
        <f>CONCATENATE(B200,CHAR(10),E133)</f>
        <v>Inner row
Interior modules</v>
      </c>
      <c r="AW32" s="1341"/>
      <c r="AX32" s="1341"/>
      <c r="AY32" s="1341"/>
      <c r="AZ32" s="1342"/>
      <c r="BA32" s="1349" t="str">
        <f>CONCATENATE(B200,CHAR(10),E132)</f>
        <v>Inner row
1st-4th module</v>
      </c>
      <c r="BB32" s="1350"/>
      <c r="BC32" s="1350"/>
      <c r="BD32" s="1350"/>
      <c r="BE32" s="1351"/>
      <c r="BF32" s="1358" t="str">
        <f>CONCATENATE(B200,CHAR(10),E124)</f>
        <v>Inner row
Interior modules</v>
      </c>
      <c r="BG32" s="1359"/>
      <c r="BH32" s="1359"/>
      <c r="BI32" s="1359"/>
      <c r="BJ32" s="1360"/>
      <c r="BK32" s="1500" t="str">
        <f>CONCATENATE(B200,CHAR(10),E123)</f>
        <v>Inner row
1st-4th module</v>
      </c>
      <c r="BL32" s="1501"/>
      <c r="BM32" s="1501"/>
      <c r="BN32" s="1501"/>
      <c r="BO32" s="1502"/>
      <c r="BP32" s="1592" t="str">
        <f>CONCATENATE(B200,CHAR(10),E106)</f>
        <v>Inner row
Interior modules</v>
      </c>
      <c r="BQ32" s="1593"/>
      <c r="BR32" s="1593"/>
      <c r="BS32" s="1593"/>
      <c r="BT32" s="1594"/>
      <c r="BU32" s="1589" t="str">
        <f>CONCATENATE(B200,CHAR(10),E105)</f>
        <v>Inner row
1st-4th module</v>
      </c>
      <c r="BV32" s="1590"/>
      <c r="BW32" s="1590"/>
      <c r="BX32" s="1590"/>
      <c r="BY32" s="1591"/>
      <c r="BZ32" s="1482"/>
      <c r="CA32" s="1483"/>
      <c r="CB32" s="360"/>
      <c r="CC32" s="603">
        <f>IF(20&lt;'building data'!$C$21,20,'building data'!$C$21)</f>
        <v>20</v>
      </c>
      <c r="CE32" s="491"/>
      <c r="CF32" s="54"/>
      <c r="CG32" s="1482"/>
      <c r="CH32" s="1483"/>
      <c r="CI32" s="1382" t="str">
        <f>BU32</f>
        <v>Inner row
1st-4th module</v>
      </c>
      <c r="CJ32" s="1383"/>
      <c r="CK32" s="1383"/>
      <c r="CL32" s="1383"/>
      <c r="CM32" s="1384"/>
      <c r="CN32" s="1431" t="str">
        <f>BP32</f>
        <v>Inner row
Interior modules</v>
      </c>
      <c r="CO32" s="1432"/>
      <c r="CP32" s="1432"/>
      <c r="CQ32" s="1432"/>
      <c r="CR32" s="1433"/>
      <c r="CS32" s="1295" t="str">
        <f>BK32</f>
        <v>Inner row
1st-4th module</v>
      </c>
      <c r="CT32" s="1296"/>
      <c r="CU32" s="1296"/>
      <c r="CV32" s="1296"/>
      <c r="CW32" s="1297"/>
      <c r="CX32" s="1358" t="str">
        <f>BF32</f>
        <v>Inner row
Interior modules</v>
      </c>
      <c r="CY32" s="1359"/>
      <c r="CZ32" s="1359"/>
      <c r="DA32" s="1359"/>
      <c r="DB32" s="1360"/>
      <c r="DC32" s="1349" t="str">
        <f>BA32</f>
        <v>Inner row
1st-4th module</v>
      </c>
      <c r="DD32" s="1350"/>
      <c r="DE32" s="1350"/>
      <c r="DF32" s="1350"/>
      <c r="DG32" s="1351"/>
      <c r="DH32" s="1340" t="str">
        <f>AV32</f>
        <v>Inner row
Interior modules</v>
      </c>
      <c r="DI32" s="1341"/>
      <c r="DJ32" s="1341"/>
      <c r="DK32" s="1341"/>
      <c r="DL32" s="1342"/>
      <c r="DM32" s="1331" t="str">
        <f>AQ32</f>
        <v>Inner row
1st-4th module</v>
      </c>
      <c r="DN32" s="1332"/>
      <c r="DO32" s="1332"/>
      <c r="DP32" s="1332"/>
      <c r="DQ32" s="1333"/>
      <c r="DR32" s="1277" t="str">
        <f>AL32</f>
        <v>Inner row
Interior modules</v>
      </c>
      <c r="DS32" s="1278"/>
      <c r="DT32" s="1278"/>
      <c r="DU32" s="1278"/>
      <c r="DV32" s="1279"/>
      <c r="DW32" s="1277" t="str">
        <f>AG32</f>
        <v>Inner row
Interior modules</v>
      </c>
      <c r="DX32" s="1278"/>
      <c r="DY32" s="1278"/>
      <c r="DZ32" s="1278"/>
      <c r="EA32" s="1286"/>
      <c r="EB32" s="1482"/>
      <c r="EC32" s="1483"/>
      <c r="ED32" s="360"/>
      <c r="EE32" s="603">
        <f>IF(20&lt;'building data'!$C$21,20,'building data'!$C$21)</f>
        <v>20</v>
      </c>
    </row>
    <row r="33" spans="1:135" ht="20.25" customHeight="1" x14ac:dyDescent="0.2">
      <c r="B33" s="1628"/>
      <c r="C33" s="1629"/>
      <c r="D33" s="1629"/>
      <c r="E33" s="1629"/>
      <c r="F33" s="1629"/>
      <c r="G33" s="1629"/>
      <c r="H33" s="1629"/>
      <c r="I33" s="1630"/>
      <c r="J33" s="1641"/>
      <c r="K33" s="979"/>
      <c r="L33" s="946"/>
      <c r="M33" s="1045"/>
      <c r="N33" s="946"/>
      <c r="O33" s="946"/>
      <c r="P33" s="946"/>
      <c r="Q33" s="946"/>
      <c r="R33" s="946"/>
      <c r="S33" s="946"/>
      <c r="T33" s="946"/>
      <c r="U33" s="946"/>
      <c r="V33" s="946"/>
      <c r="W33" s="946"/>
      <c r="X33" s="946"/>
      <c r="Y33" s="946"/>
      <c r="Z33" s="946"/>
      <c r="AA33" s="946"/>
      <c r="AD33" s="54"/>
      <c r="AE33" s="1482"/>
      <c r="AF33" s="1483"/>
      <c r="AG33" s="1568"/>
      <c r="AH33" s="1284"/>
      <c r="AI33" s="1284"/>
      <c r="AJ33" s="1284"/>
      <c r="AK33" s="1285"/>
      <c r="AL33" s="1283"/>
      <c r="AM33" s="1284"/>
      <c r="AN33" s="1284"/>
      <c r="AO33" s="1284"/>
      <c r="AP33" s="1285"/>
      <c r="AQ33" s="1337"/>
      <c r="AR33" s="1338"/>
      <c r="AS33" s="1338"/>
      <c r="AT33" s="1338"/>
      <c r="AU33" s="1339"/>
      <c r="AV33" s="1346"/>
      <c r="AW33" s="1347"/>
      <c r="AX33" s="1347"/>
      <c r="AY33" s="1347"/>
      <c r="AZ33" s="1348"/>
      <c r="BA33" s="1355"/>
      <c r="BB33" s="1356"/>
      <c r="BC33" s="1356"/>
      <c r="BD33" s="1356"/>
      <c r="BE33" s="1357"/>
      <c r="BF33" s="1364"/>
      <c r="BG33" s="1365"/>
      <c r="BH33" s="1365"/>
      <c r="BI33" s="1365"/>
      <c r="BJ33" s="1366"/>
      <c r="BK33" s="1506"/>
      <c r="BL33" s="1507"/>
      <c r="BM33" s="1507"/>
      <c r="BN33" s="1507"/>
      <c r="BO33" s="1508"/>
      <c r="BP33" s="1560"/>
      <c r="BQ33" s="1561"/>
      <c r="BR33" s="1561"/>
      <c r="BS33" s="1561"/>
      <c r="BT33" s="1562"/>
      <c r="BU33" s="1551"/>
      <c r="BV33" s="1552"/>
      <c r="BW33" s="1552"/>
      <c r="BX33" s="1552"/>
      <c r="BY33" s="1553"/>
      <c r="BZ33" s="1482"/>
      <c r="CA33" s="1483"/>
      <c r="CB33" s="360"/>
      <c r="CC33" s="602" t="s">
        <v>0</v>
      </c>
      <c r="CE33" s="491"/>
      <c r="CF33" s="54"/>
      <c r="CG33" s="1482"/>
      <c r="CH33" s="1483"/>
      <c r="CI33" s="1388"/>
      <c r="CJ33" s="1389"/>
      <c r="CK33" s="1389"/>
      <c r="CL33" s="1389"/>
      <c r="CM33" s="1390"/>
      <c r="CN33" s="1434"/>
      <c r="CO33" s="1435"/>
      <c r="CP33" s="1435"/>
      <c r="CQ33" s="1435"/>
      <c r="CR33" s="1436"/>
      <c r="CS33" s="1301"/>
      <c r="CT33" s="1302"/>
      <c r="CU33" s="1302"/>
      <c r="CV33" s="1302"/>
      <c r="CW33" s="1303"/>
      <c r="CX33" s="1364"/>
      <c r="CY33" s="1365"/>
      <c r="CZ33" s="1365"/>
      <c r="DA33" s="1365"/>
      <c r="DB33" s="1366"/>
      <c r="DC33" s="1355"/>
      <c r="DD33" s="1356"/>
      <c r="DE33" s="1356"/>
      <c r="DF33" s="1356"/>
      <c r="DG33" s="1357"/>
      <c r="DH33" s="1346"/>
      <c r="DI33" s="1347"/>
      <c r="DJ33" s="1347"/>
      <c r="DK33" s="1347"/>
      <c r="DL33" s="1348"/>
      <c r="DM33" s="1337"/>
      <c r="DN33" s="1338"/>
      <c r="DO33" s="1338"/>
      <c r="DP33" s="1338"/>
      <c r="DQ33" s="1339"/>
      <c r="DR33" s="1283"/>
      <c r="DS33" s="1284"/>
      <c r="DT33" s="1284"/>
      <c r="DU33" s="1284"/>
      <c r="DV33" s="1285"/>
      <c r="DW33" s="1283"/>
      <c r="DX33" s="1284"/>
      <c r="DY33" s="1284"/>
      <c r="DZ33" s="1284"/>
      <c r="EA33" s="1288"/>
      <c r="EB33" s="1482"/>
      <c r="EC33" s="1483"/>
      <c r="ED33" s="360"/>
      <c r="EE33" s="602" t="s">
        <v>0</v>
      </c>
    </row>
    <row r="34" spans="1:135" ht="13.5" customHeight="1" thickBot="1" x14ac:dyDescent="0.25">
      <c r="B34" s="1631"/>
      <c r="C34" s="1632"/>
      <c r="D34" s="1632"/>
      <c r="E34" s="1632"/>
      <c r="F34" s="1632"/>
      <c r="G34" s="1632"/>
      <c r="H34" s="1632"/>
      <c r="I34" s="1633"/>
      <c r="J34" s="1642"/>
      <c r="K34" s="980"/>
      <c r="L34" s="316"/>
      <c r="M34" s="316"/>
      <c r="N34" s="316"/>
      <c r="O34" s="316"/>
      <c r="P34" s="316"/>
      <c r="Q34" s="316"/>
      <c r="R34" s="316"/>
      <c r="S34" s="316"/>
      <c r="T34" s="316"/>
      <c r="U34" s="316"/>
      <c r="V34" s="316"/>
      <c r="W34" s="316"/>
      <c r="X34" s="316"/>
      <c r="Y34" s="316"/>
      <c r="Z34" s="316"/>
      <c r="AA34" s="316"/>
      <c r="AD34" s="54"/>
      <c r="AE34" s="1482"/>
      <c r="AF34" s="1483"/>
      <c r="AG34" s="1569" t="str">
        <f>AL34</f>
        <v>Inner row
Interior modules</v>
      </c>
      <c r="AH34" s="1278"/>
      <c r="AI34" s="1278"/>
      <c r="AJ34" s="1278"/>
      <c r="AK34" s="1279"/>
      <c r="AL34" s="1277" t="str">
        <f>AL32</f>
        <v>Inner row
Interior modules</v>
      </c>
      <c r="AM34" s="1278"/>
      <c r="AN34" s="1278"/>
      <c r="AO34" s="1278"/>
      <c r="AP34" s="1279"/>
      <c r="AQ34" s="1331" t="str">
        <f>AQ32</f>
        <v>Inner row
1st-4th module</v>
      </c>
      <c r="AR34" s="1332"/>
      <c r="AS34" s="1332"/>
      <c r="AT34" s="1332"/>
      <c r="AU34" s="1333"/>
      <c r="AV34" s="1340" t="str">
        <f>AV32</f>
        <v>Inner row
Interior modules</v>
      </c>
      <c r="AW34" s="1341"/>
      <c r="AX34" s="1341"/>
      <c r="AY34" s="1341"/>
      <c r="AZ34" s="1342"/>
      <c r="BA34" s="1349" t="str">
        <f>BA32</f>
        <v>Inner row
1st-4th module</v>
      </c>
      <c r="BB34" s="1350"/>
      <c r="BC34" s="1350"/>
      <c r="BD34" s="1350"/>
      <c r="BE34" s="1351"/>
      <c r="BF34" s="1358" t="str">
        <f>BF32</f>
        <v>Inner row
Interior modules</v>
      </c>
      <c r="BG34" s="1359"/>
      <c r="BH34" s="1359"/>
      <c r="BI34" s="1359"/>
      <c r="BJ34" s="1360"/>
      <c r="BK34" s="1500" t="str">
        <f>BK32</f>
        <v>Inner row
1st-4th module</v>
      </c>
      <c r="BL34" s="1501"/>
      <c r="BM34" s="1501"/>
      <c r="BN34" s="1501"/>
      <c r="BO34" s="1502"/>
      <c r="BP34" s="1592" t="str">
        <f>BP32</f>
        <v>Inner row
Interior modules</v>
      </c>
      <c r="BQ34" s="1593"/>
      <c r="BR34" s="1593"/>
      <c r="BS34" s="1593"/>
      <c r="BT34" s="1594"/>
      <c r="BU34" s="1589" t="str">
        <f>BU32</f>
        <v>Inner row
1st-4th module</v>
      </c>
      <c r="BV34" s="1590"/>
      <c r="BW34" s="1590"/>
      <c r="BX34" s="1590"/>
      <c r="BY34" s="1591"/>
      <c r="BZ34" s="1482"/>
      <c r="CA34" s="1483"/>
      <c r="CB34" s="360"/>
      <c r="CC34" s="1276" t="s">
        <v>78</v>
      </c>
      <c r="CE34" s="491"/>
      <c r="CF34" s="54"/>
      <c r="CG34" s="1482"/>
      <c r="CH34" s="1483"/>
      <c r="CI34" s="1382" t="str">
        <f>BU34</f>
        <v>Inner row
1st-4th module</v>
      </c>
      <c r="CJ34" s="1383"/>
      <c r="CK34" s="1383"/>
      <c r="CL34" s="1383"/>
      <c r="CM34" s="1384"/>
      <c r="CN34" s="1431" t="str">
        <f>BP34</f>
        <v>Inner row
Interior modules</v>
      </c>
      <c r="CO34" s="1432"/>
      <c r="CP34" s="1432"/>
      <c r="CQ34" s="1432"/>
      <c r="CR34" s="1433"/>
      <c r="CS34" s="1295" t="str">
        <f>BF34</f>
        <v>Inner row
Interior modules</v>
      </c>
      <c r="CT34" s="1296"/>
      <c r="CU34" s="1296"/>
      <c r="CV34" s="1296"/>
      <c r="CW34" s="1297"/>
      <c r="CX34" s="1358" t="str">
        <f>BF34</f>
        <v>Inner row
Interior modules</v>
      </c>
      <c r="CY34" s="1359"/>
      <c r="CZ34" s="1359"/>
      <c r="DA34" s="1359"/>
      <c r="DB34" s="1360"/>
      <c r="DC34" s="1349" t="str">
        <f>BA34</f>
        <v>Inner row
1st-4th module</v>
      </c>
      <c r="DD34" s="1350"/>
      <c r="DE34" s="1350"/>
      <c r="DF34" s="1350"/>
      <c r="DG34" s="1351"/>
      <c r="DH34" s="1340" t="str">
        <f>AV34</f>
        <v>Inner row
Interior modules</v>
      </c>
      <c r="DI34" s="1341"/>
      <c r="DJ34" s="1341"/>
      <c r="DK34" s="1341"/>
      <c r="DL34" s="1342"/>
      <c r="DM34" s="1331" t="str">
        <f>AQ34</f>
        <v>Inner row
1st-4th module</v>
      </c>
      <c r="DN34" s="1332"/>
      <c r="DO34" s="1332"/>
      <c r="DP34" s="1332"/>
      <c r="DQ34" s="1333"/>
      <c r="DR34" s="1277" t="str">
        <f>AL34</f>
        <v>Inner row
Interior modules</v>
      </c>
      <c r="DS34" s="1278"/>
      <c r="DT34" s="1278"/>
      <c r="DU34" s="1278"/>
      <c r="DV34" s="1279"/>
      <c r="DW34" s="1277" t="str">
        <f>AG34</f>
        <v>Inner row
Interior modules</v>
      </c>
      <c r="DX34" s="1278"/>
      <c r="DY34" s="1278"/>
      <c r="DZ34" s="1278"/>
      <c r="EA34" s="1286"/>
      <c r="EB34" s="1482"/>
      <c r="EC34" s="1483"/>
      <c r="ED34" s="360"/>
      <c r="EE34" s="1276" t="s">
        <v>78</v>
      </c>
    </row>
    <row r="35" spans="1:135" ht="13.5" customHeight="1" thickBot="1" x14ac:dyDescent="0.25">
      <c r="B35" s="417"/>
      <c r="C35" s="43"/>
      <c r="D35" s="46"/>
      <c r="E35" s="46"/>
      <c r="F35" s="120"/>
      <c r="G35" s="46"/>
      <c r="H35" s="46"/>
      <c r="I35" s="46"/>
      <c r="J35" s="46"/>
      <c r="K35" s="980"/>
      <c r="L35" s="316"/>
      <c r="M35" s="316"/>
      <c r="N35" s="316"/>
      <c r="O35" s="316"/>
      <c r="P35" s="316"/>
      <c r="Q35" s="316"/>
      <c r="R35" s="316"/>
      <c r="S35" s="316"/>
      <c r="T35" s="316"/>
      <c r="U35" s="316"/>
      <c r="V35" s="316"/>
      <c r="W35" s="316"/>
      <c r="X35" s="316"/>
      <c r="Y35" s="316"/>
      <c r="Z35" s="316"/>
      <c r="AA35" s="316"/>
      <c r="AC35" s="491"/>
      <c r="AD35" s="54"/>
      <c r="AE35" s="1482"/>
      <c r="AF35" s="1483"/>
      <c r="AG35" s="1567"/>
      <c r="AH35" s="1281"/>
      <c r="AI35" s="1281"/>
      <c r="AJ35" s="1281"/>
      <c r="AK35" s="1282"/>
      <c r="AL35" s="1280"/>
      <c r="AM35" s="1281"/>
      <c r="AN35" s="1281"/>
      <c r="AO35" s="1281"/>
      <c r="AP35" s="1282"/>
      <c r="AQ35" s="1334"/>
      <c r="AR35" s="1335"/>
      <c r="AS35" s="1335"/>
      <c r="AT35" s="1335"/>
      <c r="AU35" s="1336"/>
      <c r="AV35" s="1343"/>
      <c r="AW35" s="1344"/>
      <c r="AX35" s="1344"/>
      <c r="AY35" s="1344"/>
      <c r="AZ35" s="1345"/>
      <c r="BA35" s="1352"/>
      <c r="BB35" s="1353"/>
      <c r="BC35" s="1353"/>
      <c r="BD35" s="1353"/>
      <c r="BE35" s="1354"/>
      <c r="BF35" s="1361"/>
      <c r="BG35" s="1362"/>
      <c r="BH35" s="1362"/>
      <c r="BI35" s="1362"/>
      <c r="BJ35" s="1363"/>
      <c r="BK35" s="1503"/>
      <c r="BL35" s="1504"/>
      <c r="BM35" s="1504"/>
      <c r="BN35" s="1504"/>
      <c r="BO35" s="1505"/>
      <c r="BP35" s="1557"/>
      <c r="BQ35" s="1558"/>
      <c r="BR35" s="1558"/>
      <c r="BS35" s="1558"/>
      <c r="BT35" s="1559"/>
      <c r="BU35" s="1548"/>
      <c r="BV35" s="1549"/>
      <c r="BW35" s="1549"/>
      <c r="BX35" s="1549"/>
      <c r="BY35" s="1550"/>
      <c r="BZ35" s="1482"/>
      <c r="CA35" s="1483"/>
      <c r="CB35" s="360"/>
      <c r="CC35" s="1276"/>
      <c r="CE35" s="491"/>
      <c r="CF35" s="54"/>
      <c r="CG35" s="1482"/>
      <c r="CH35" s="1483"/>
      <c r="CI35" s="1385"/>
      <c r="CJ35" s="1386"/>
      <c r="CK35" s="1386"/>
      <c r="CL35" s="1386"/>
      <c r="CM35" s="1387"/>
      <c r="CN35" s="1458"/>
      <c r="CO35" s="1459"/>
      <c r="CP35" s="1459"/>
      <c r="CQ35" s="1459"/>
      <c r="CR35" s="1460"/>
      <c r="CS35" s="1298"/>
      <c r="CT35" s="1299"/>
      <c r="CU35" s="1299"/>
      <c r="CV35" s="1299"/>
      <c r="CW35" s="1300"/>
      <c r="CX35" s="1361"/>
      <c r="CY35" s="1362"/>
      <c r="CZ35" s="1362"/>
      <c r="DA35" s="1362"/>
      <c r="DB35" s="1363"/>
      <c r="DC35" s="1352"/>
      <c r="DD35" s="1353"/>
      <c r="DE35" s="1353"/>
      <c r="DF35" s="1353"/>
      <c r="DG35" s="1354"/>
      <c r="DH35" s="1343"/>
      <c r="DI35" s="1344"/>
      <c r="DJ35" s="1344"/>
      <c r="DK35" s="1344"/>
      <c r="DL35" s="1345"/>
      <c r="DM35" s="1334"/>
      <c r="DN35" s="1335"/>
      <c r="DO35" s="1335"/>
      <c r="DP35" s="1335"/>
      <c r="DQ35" s="1336"/>
      <c r="DR35" s="1280"/>
      <c r="DS35" s="1281"/>
      <c r="DT35" s="1281"/>
      <c r="DU35" s="1281"/>
      <c r="DV35" s="1282"/>
      <c r="DW35" s="1280"/>
      <c r="DX35" s="1281"/>
      <c r="DY35" s="1281"/>
      <c r="DZ35" s="1281"/>
      <c r="EA35" s="1287"/>
      <c r="EB35" s="1482"/>
      <c r="EC35" s="1483"/>
      <c r="ED35" s="360"/>
      <c r="EE35" s="1276"/>
    </row>
    <row r="36" spans="1:135" ht="13.5" customHeight="1" thickBot="1" x14ac:dyDescent="0.25">
      <c r="B36" s="1637" t="s">
        <v>418</v>
      </c>
      <c r="C36" s="1638"/>
      <c r="D36" s="1638"/>
      <c r="E36" s="1638"/>
      <c r="F36" s="1638"/>
      <c r="G36" s="1638"/>
      <c r="H36" s="1638"/>
      <c r="I36" s="1638"/>
      <c r="J36" s="1639"/>
      <c r="K36" s="980"/>
      <c r="L36" s="316"/>
      <c r="M36" s="316"/>
      <c r="N36" s="316"/>
      <c r="O36" s="316"/>
      <c r="P36" s="316"/>
      <c r="Q36" s="316"/>
      <c r="R36" s="316"/>
      <c r="S36" s="316"/>
      <c r="T36" s="316"/>
      <c r="U36" s="316"/>
      <c r="V36" s="316"/>
      <c r="W36" s="316"/>
      <c r="X36" s="316"/>
      <c r="Y36" s="316"/>
      <c r="Z36" s="316"/>
      <c r="AA36" s="316"/>
      <c r="AC36" s="491"/>
      <c r="AD36" s="54"/>
      <c r="AE36" s="1482"/>
      <c r="AF36" s="1483"/>
      <c r="AG36" s="1568"/>
      <c r="AH36" s="1284"/>
      <c r="AI36" s="1284"/>
      <c r="AJ36" s="1284"/>
      <c r="AK36" s="1285"/>
      <c r="AL36" s="1283"/>
      <c r="AM36" s="1284"/>
      <c r="AN36" s="1284"/>
      <c r="AO36" s="1284"/>
      <c r="AP36" s="1285"/>
      <c r="AQ36" s="1337"/>
      <c r="AR36" s="1338"/>
      <c r="AS36" s="1338"/>
      <c r="AT36" s="1338"/>
      <c r="AU36" s="1339"/>
      <c r="AV36" s="1346"/>
      <c r="AW36" s="1347"/>
      <c r="AX36" s="1347"/>
      <c r="AY36" s="1347"/>
      <c r="AZ36" s="1348"/>
      <c r="BA36" s="1355"/>
      <c r="BB36" s="1356"/>
      <c r="BC36" s="1356"/>
      <c r="BD36" s="1356"/>
      <c r="BE36" s="1357"/>
      <c r="BF36" s="1364"/>
      <c r="BG36" s="1365"/>
      <c r="BH36" s="1365"/>
      <c r="BI36" s="1365"/>
      <c r="BJ36" s="1366"/>
      <c r="BK36" s="1506"/>
      <c r="BL36" s="1507"/>
      <c r="BM36" s="1507"/>
      <c r="BN36" s="1507"/>
      <c r="BO36" s="1508"/>
      <c r="BP36" s="1560"/>
      <c r="BQ36" s="1561"/>
      <c r="BR36" s="1561"/>
      <c r="BS36" s="1561"/>
      <c r="BT36" s="1562"/>
      <c r="BU36" s="1551"/>
      <c r="BV36" s="1552"/>
      <c r="BW36" s="1552"/>
      <c r="BX36" s="1552"/>
      <c r="BY36" s="1553"/>
      <c r="BZ36" s="1482"/>
      <c r="CA36" s="1483"/>
      <c r="CB36" s="360"/>
      <c r="CC36" s="485"/>
      <c r="CE36" s="491"/>
      <c r="CF36" s="54"/>
      <c r="CG36" s="1482"/>
      <c r="CH36" s="1483"/>
      <c r="CI36" s="1388"/>
      <c r="CJ36" s="1389"/>
      <c r="CK36" s="1389"/>
      <c r="CL36" s="1389"/>
      <c r="CM36" s="1390"/>
      <c r="CN36" s="1434"/>
      <c r="CO36" s="1435"/>
      <c r="CP36" s="1435"/>
      <c r="CQ36" s="1435"/>
      <c r="CR36" s="1436"/>
      <c r="CS36" s="1301"/>
      <c r="CT36" s="1302"/>
      <c r="CU36" s="1302"/>
      <c r="CV36" s="1302"/>
      <c r="CW36" s="1303"/>
      <c r="CX36" s="1364"/>
      <c r="CY36" s="1365"/>
      <c r="CZ36" s="1365"/>
      <c r="DA36" s="1365"/>
      <c r="DB36" s="1366"/>
      <c r="DC36" s="1355"/>
      <c r="DD36" s="1356"/>
      <c r="DE36" s="1356"/>
      <c r="DF36" s="1356"/>
      <c r="DG36" s="1357"/>
      <c r="DH36" s="1346"/>
      <c r="DI36" s="1347"/>
      <c r="DJ36" s="1347"/>
      <c r="DK36" s="1347"/>
      <c r="DL36" s="1348"/>
      <c r="DM36" s="1337"/>
      <c r="DN36" s="1338"/>
      <c r="DO36" s="1338"/>
      <c r="DP36" s="1338"/>
      <c r="DQ36" s="1339"/>
      <c r="DR36" s="1283"/>
      <c r="DS36" s="1284"/>
      <c r="DT36" s="1284"/>
      <c r="DU36" s="1284"/>
      <c r="DV36" s="1285"/>
      <c r="DW36" s="1283"/>
      <c r="DX36" s="1284"/>
      <c r="DY36" s="1284"/>
      <c r="DZ36" s="1284"/>
      <c r="EA36" s="1288"/>
      <c r="EB36" s="1482"/>
      <c r="EC36" s="1483"/>
      <c r="ED36" s="360"/>
      <c r="EE36" s="485"/>
    </row>
    <row r="37" spans="1:135" ht="13.5" customHeight="1" x14ac:dyDescent="0.2">
      <c r="B37" s="1645" t="s">
        <v>419</v>
      </c>
      <c r="C37" s="1646"/>
      <c r="D37" s="1646"/>
      <c r="E37" s="1646"/>
      <c r="F37" s="1646"/>
      <c r="G37" s="1646"/>
      <c r="H37" s="1646"/>
      <c r="I37" s="1646"/>
      <c r="J37" s="1647"/>
      <c r="K37" s="972"/>
      <c r="L37" s="1008"/>
      <c r="M37" s="1008"/>
      <c r="N37" s="1008"/>
      <c r="O37" s="1008"/>
      <c r="P37" s="1008"/>
      <c r="Q37" s="1008"/>
      <c r="R37" s="1008"/>
      <c r="S37" s="1008"/>
      <c r="T37" s="1008"/>
      <c r="U37" s="1008"/>
      <c r="V37" s="1008"/>
      <c r="W37" s="1008"/>
      <c r="X37" s="1008"/>
      <c r="Y37" s="1008"/>
      <c r="Z37" s="1008"/>
      <c r="AA37" s="1008"/>
      <c r="AC37" s="493"/>
      <c r="AD37" s="54"/>
      <c r="AE37" s="1482"/>
      <c r="AF37" s="1483"/>
      <c r="AG37" s="1569" t="str">
        <f>AL37</f>
        <v>Inner row
Interior modules</v>
      </c>
      <c r="AH37" s="1278"/>
      <c r="AI37" s="1278"/>
      <c r="AJ37" s="1278"/>
      <c r="AK37" s="1279"/>
      <c r="AL37" s="1277" t="str">
        <f>AL32</f>
        <v>Inner row
Interior modules</v>
      </c>
      <c r="AM37" s="1278"/>
      <c r="AN37" s="1278"/>
      <c r="AO37" s="1278"/>
      <c r="AP37" s="1279"/>
      <c r="AQ37" s="1331" t="str">
        <f>AQ32</f>
        <v>Inner row
1st-4th module</v>
      </c>
      <c r="AR37" s="1332"/>
      <c r="AS37" s="1332"/>
      <c r="AT37" s="1332"/>
      <c r="AU37" s="1333"/>
      <c r="AV37" s="1340" t="str">
        <f>AV32</f>
        <v>Inner row
Interior modules</v>
      </c>
      <c r="AW37" s="1341"/>
      <c r="AX37" s="1341"/>
      <c r="AY37" s="1341"/>
      <c r="AZ37" s="1342"/>
      <c r="BA37" s="1349" t="str">
        <f>BA32</f>
        <v>Inner row
1st-4th module</v>
      </c>
      <c r="BB37" s="1350"/>
      <c r="BC37" s="1350"/>
      <c r="BD37" s="1350"/>
      <c r="BE37" s="1351"/>
      <c r="BF37" s="1358" t="str">
        <f>BF32</f>
        <v>Inner row
Interior modules</v>
      </c>
      <c r="BG37" s="1359"/>
      <c r="BH37" s="1359"/>
      <c r="BI37" s="1359"/>
      <c r="BJ37" s="1360"/>
      <c r="BK37" s="1500" t="str">
        <f>BK32</f>
        <v>Inner row
1st-4th module</v>
      </c>
      <c r="BL37" s="1501"/>
      <c r="BM37" s="1501"/>
      <c r="BN37" s="1501"/>
      <c r="BO37" s="1502"/>
      <c r="BP37" s="1595" t="s">
        <v>454</v>
      </c>
      <c r="BQ37" s="1596"/>
      <c r="BR37" s="1596"/>
      <c r="BS37" s="1596"/>
      <c r="BT37" s="1597"/>
      <c r="BU37" s="1613" t="s">
        <v>455</v>
      </c>
      <c r="BV37" s="1614"/>
      <c r="BW37" s="1614"/>
      <c r="BX37" s="1614"/>
      <c r="BY37" s="1615"/>
      <c r="BZ37" s="1482"/>
      <c r="CA37" s="1483"/>
      <c r="CB37" s="360"/>
      <c r="CC37" s="485"/>
      <c r="CE37" s="493"/>
      <c r="CF37" s="54"/>
      <c r="CG37" s="1482"/>
      <c r="CH37" s="1483"/>
      <c r="CI37" s="1523" t="str">
        <f>BU37</f>
        <v>South row (only if array interrupted)
1st-4th module</v>
      </c>
      <c r="CJ37" s="1524"/>
      <c r="CK37" s="1524"/>
      <c r="CL37" s="1524"/>
      <c r="CM37" s="1525"/>
      <c r="CN37" s="1532" t="str">
        <f>BP37</f>
        <v>South row (only if array interrupted)
Interior modules</v>
      </c>
      <c r="CO37" s="1533"/>
      <c r="CP37" s="1533"/>
      <c r="CQ37" s="1533"/>
      <c r="CR37" s="1534"/>
      <c r="CS37" s="1295" t="str">
        <f>BF37</f>
        <v>Inner row
Interior modules</v>
      </c>
      <c r="CT37" s="1296"/>
      <c r="CU37" s="1296"/>
      <c r="CV37" s="1296"/>
      <c r="CW37" s="1297"/>
      <c r="CX37" s="1358" t="str">
        <f>BF37</f>
        <v>Inner row
Interior modules</v>
      </c>
      <c r="CY37" s="1359"/>
      <c r="CZ37" s="1359"/>
      <c r="DA37" s="1359"/>
      <c r="DB37" s="1360"/>
      <c r="DC37" s="1349" t="str">
        <f>BA37</f>
        <v>Inner row
1st-4th module</v>
      </c>
      <c r="DD37" s="1350"/>
      <c r="DE37" s="1350"/>
      <c r="DF37" s="1350"/>
      <c r="DG37" s="1351"/>
      <c r="DH37" s="1340" t="str">
        <f>AV37</f>
        <v>Inner row
Interior modules</v>
      </c>
      <c r="DI37" s="1341"/>
      <c r="DJ37" s="1341"/>
      <c r="DK37" s="1341"/>
      <c r="DL37" s="1342"/>
      <c r="DM37" s="1331" t="str">
        <f>AQ37</f>
        <v>Inner row
1st-4th module</v>
      </c>
      <c r="DN37" s="1332"/>
      <c r="DO37" s="1332"/>
      <c r="DP37" s="1332"/>
      <c r="DQ37" s="1333"/>
      <c r="DR37" s="1277" t="str">
        <f>AL37</f>
        <v>Inner row
Interior modules</v>
      </c>
      <c r="DS37" s="1278"/>
      <c r="DT37" s="1278"/>
      <c r="DU37" s="1278"/>
      <c r="DV37" s="1279"/>
      <c r="DW37" s="1277" t="str">
        <f>AG37</f>
        <v>Inner row
Interior modules</v>
      </c>
      <c r="DX37" s="1278"/>
      <c r="DY37" s="1278"/>
      <c r="DZ37" s="1278"/>
      <c r="EA37" s="1286"/>
      <c r="EB37" s="1482"/>
      <c r="EC37" s="1483"/>
      <c r="ED37" s="360"/>
      <c r="EE37" s="485"/>
    </row>
    <row r="38" spans="1:135" ht="13.5" customHeight="1" x14ac:dyDescent="0.2">
      <c r="B38" s="412" t="s">
        <v>420</v>
      </c>
      <c r="C38" s="43"/>
      <c r="D38" s="43"/>
      <c r="E38" s="43"/>
      <c r="F38" s="57" t="s">
        <v>421</v>
      </c>
      <c r="G38" s="43"/>
      <c r="H38" s="43"/>
      <c r="I38" s="43"/>
      <c r="J38" s="43"/>
      <c r="K38" s="972"/>
      <c r="L38" s="1008"/>
      <c r="M38" s="1075" t="s">
        <v>521</v>
      </c>
      <c r="N38" s="1008"/>
      <c r="O38" s="1008"/>
      <c r="P38" s="1008"/>
      <c r="Q38" s="1008"/>
      <c r="R38" s="1008"/>
      <c r="S38" s="1008"/>
      <c r="T38" s="1008"/>
      <c r="U38" s="1008"/>
      <c r="V38" s="1008"/>
      <c r="W38" s="1008"/>
      <c r="X38" s="1008"/>
      <c r="Y38" s="1008"/>
      <c r="Z38" s="1008"/>
      <c r="AA38" s="1008"/>
      <c r="AC38" s="153"/>
      <c r="AD38" s="54"/>
      <c r="AE38" s="1482"/>
      <c r="AF38" s="1483"/>
      <c r="AG38" s="1567"/>
      <c r="AH38" s="1281"/>
      <c r="AI38" s="1281"/>
      <c r="AJ38" s="1281"/>
      <c r="AK38" s="1282"/>
      <c r="AL38" s="1280"/>
      <c r="AM38" s="1281"/>
      <c r="AN38" s="1281"/>
      <c r="AO38" s="1281"/>
      <c r="AP38" s="1282"/>
      <c r="AQ38" s="1334"/>
      <c r="AR38" s="1335"/>
      <c r="AS38" s="1335"/>
      <c r="AT38" s="1335"/>
      <c r="AU38" s="1336"/>
      <c r="AV38" s="1343"/>
      <c r="AW38" s="1344"/>
      <c r="AX38" s="1344"/>
      <c r="AY38" s="1344"/>
      <c r="AZ38" s="1345"/>
      <c r="BA38" s="1352"/>
      <c r="BB38" s="1353"/>
      <c r="BC38" s="1353"/>
      <c r="BD38" s="1353"/>
      <c r="BE38" s="1354"/>
      <c r="BF38" s="1361"/>
      <c r="BG38" s="1362"/>
      <c r="BH38" s="1362"/>
      <c r="BI38" s="1362"/>
      <c r="BJ38" s="1363"/>
      <c r="BK38" s="1503"/>
      <c r="BL38" s="1504"/>
      <c r="BM38" s="1504"/>
      <c r="BN38" s="1504"/>
      <c r="BO38" s="1505"/>
      <c r="BP38" s="1598"/>
      <c r="BQ38" s="1599"/>
      <c r="BR38" s="1599"/>
      <c r="BS38" s="1599"/>
      <c r="BT38" s="1600"/>
      <c r="BU38" s="1616"/>
      <c r="BV38" s="1617"/>
      <c r="BW38" s="1617"/>
      <c r="BX38" s="1617"/>
      <c r="BY38" s="1618"/>
      <c r="BZ38" s="1482"/>
      <c r="CA38" s="1483"/>
      <c r="CB38" s="360"/>
      <c r="CC38" s="485"/>
      <c r="CE38" s="153"/>
      <c r="CF38" s="54"/>
      <c r="CG38" s="1482"/>
      <c r="CH38" s="1483"/>
      <c r="CI38" s="1526"/>
      <c r="CJ38" s="1527"/>
      <c r="CK38" s="1527"/>
      <c r="CL38" s="1527"/>
      <c r="CM38" s="1528"/>
      <c r="CN38" s="1535"/>
      <c r="CO38" s="1536"/>
      <c r="CP38" s="1536"/>
      <c r="CQ38" s="1536"/>
      <c r="CR38" s="1537"/>
      <c r="CS38" s="1298"/>
      <c r="CT38" s="1299"/>
      <c r="CU38" s="1299"/>
      <c r="CV38" s="1299"/>
      <c r="CW38" s="1300"/>
      <c r="CX38" s="1361"/>
      <c r="CY38" s="1362"/>
      <c r="CZ38" s="1362"/>
      <c r="DA38" s="1362"/>
      <c r="DB38" s="1363"/>
      <c r="DC38" s="1352"/>
      <c r="DD38" s="1353"/>
      <c r="DE38" s="1353"/>
      <c r="DF38" s="1353"/>
      <c r="DG38" s="1354"/>
      <c r="DH38" s="1343"/>
      <c r="DI38" s="1344"/>
      <c r="DJ38" s="1344"/>
      <c r="DK38" s="1344"/>
      <c r="DL38" s="1345"/>
      <c r="DM38" s="1334"/>
      <c r="DN38" s="1335"/>
      <c r="DO38" s="1335"/>
      <c r="DP38" s="1335"/>
      <c r="DQ38" s="1336"/>
      <c r="DR38" s="1280"/>
      <c r="DS38" s="1281"/>
      <c r="DT38" s="1281"/>
      <c r="DU38" s="1281"/>
      <c r="DV38" s="1282"/>
      <c r="DW38" s="1280"/>
      <c r="DX38" s="1281"/>
      <c r="DY38" s="1281"/>
      <c r="DZ38" s="1281"/>
      <c r="EA38" s="1287"/>
      <c r="EB38" s="1482"/>
      <c r="EC38" s="1483"/>
      <c r="ED38" s="360"/>
      <c r="EE38" s="485"/>
    </row>
    <row r="39" spans="1:135" ht="13.5" customHeight="1" x14ac:dyDescent="0.2">
      <c r="B39" s="42" t="s">
        <v>422</v>
      </c>
      <c r="C39" s="200">
        <v>25</v>
      </c>
      <c r="D39" s="43"/>
      <c r="E39" s="43"/>
      <c r="F39" s="42" t="s">
        <v>422</v>
      </c>
      <c r="G39" s="200">
        <v>81</v>
      </c>
      <c r="H39" s="338"/>
      <c r="I39" s="338"/>
      <c r="J39" s="338"/>
      <c r="K39" s="972"/>
      <c r="L39" s="1008"/>
      <c r="M39" s="1074" t="s">
        <v>522</v>
      </c>
      <c r="N39" s="1008"/>
      <c r="O39" s="1008"/>
      <c r="P39" s="1008"/>
      <c r="Q39" s="1008"/>
      <c r="R39" s="1008"/>
      <c r="S39" s="1008"/>
      <c r="T39" s="1008"/>
      <c r="U39" s="1008"/>
      <c r="V39" s="1008"/>
      <c r="W39" s="1008"/>
      <c r="X39" s="1008"/>
      <c r="Y39" s="1008"/>
      <c r="Z39" s="1008"/>
      <c r="AA39" s="1008"/>
      <c r="AC39" s="153"/>
      <c r="AD39" s="54"/>
      <c r="AE39" s="1482"/>
      <c r="AF39" s="1483"/>
      <c r="AG39" s="1568"/>
      <c r="AH39" s="1284"/>
      <c r="AI39" s="1284"/>
      <c r="AJ39" s="1284"/>
      <c r="AK39" s="1285"/>
      <c r="AL39" s="1283"/>
      <c r="AM39" s="1284"/>
      <c r="AN39" s="1284"/>
      <c r="AO39" s="1284"/>
      <c r="AP39" s="1285"/>
      <c r="AQ39" s="1337"/>
      <c r="AR39" s="1338"/>
      <c r="AS39" s="1338"/>
      <c r="AT39" s="1338"/>
      <c r="AU39" s="1339"/>
      <c r="AV39" s="1346"/>
      <c r="AW39" s="1347"/>
      <c r="AX39" s="1347"/>
      <c r="AY39" s="1347"/>
      <c r="AZ39" s="1348"/>
      <c r="BA39" s="1355"/>
      <c r="BB39" s="1356"/>
      <c r="BC39" s="1356"/>
      <c r="BD39" s="1356"/>
      <c r="BE39" s="1357"/>
      <c r="BF39" s="1364"/>
      <c r="BG39" s="1365"/>
      <c r="BH39" s="1365"/>
      <c r="BI39" s="1365"/>
      <c r="BJ39" s="1366"/>
      <c r="BK39" s="1506"/>
      <c r="BL39" s="1507"/>
      <c r="BM39" s="1507"/>
      <c r="BN39" s="1507"/>
      <c r="BO39" s="1508"/>
      <c r="BP39" s="1601"/>
      <c r="BQ39" s="1602"/>
      <c r="BR39" s="1602"/>
      <c r="BS39" s="1602"/>
      <c r="BT39" s="1603"/>
      <c r="BU39" s="1619"/>
      <c r="BV39" s="1620"/>
      <c r="BW39" s="1620"/>
      <c r="BX39" s="1620"/>
      <c r="BY39" s="1621"/>
      <c r="BZ39" s="1482"/>
      <c r="CA39" s="1483"/>
      <c r="CB39" s="488"/>
      <c r="CC39" s="555"/>
      <c r="CE39" s="153"/>
      <c r="CF39" s="54"/>
      <c r="CG39" s="1482"/>
      <c r="CH39" s="1483"/>
      <c r="CI39" s="1529"/>
      <c r="CJ39" s="1530"/>
      <c r="CK39" s="1530"/>
      <c r="CL39" s="1530"/>
      <c r="CM39" s="1531"/>
      <c r="CN39" s="1538"/>
      <c r="CO39" s="1539"/>
      <c r="CP39" s="1539"/>
      <c r="CQ39" s="1539"/>
      <c r="CR39" s="1540"/>
      <c r="CS39" s="1301"/>
      <c r="CT39" s="1302"/>
      <c r="CU39" s="1302"/>
      <c r="CV39" s="1302"/>
      <c r="CW39" s="1303"/>
      <c r="CX39" s="1364"/>
      <c r="CY39" s="1365"/>
      <c r="CZ39" s="1365"/>
      <c r="DA39" s="1365"/>
      <c r="DB39" s="1366"/>
      <c r="DC39" s="1355"/>
      <c r="DD39" s="1356"/>
      <c r="DE39" s="1356"/>
      <c r="DF39" s="1356"/>
      <c r="DG39" s="1357"/>
      <c r="DH39" s="1346"/>
      <c r="DI39" s="1347"/>
      <c r="DJ39" s="1347"/>
      <c r="DK39" s="1347"/>
      <c r="DL39" s="1348"/>
      <c r="DM39" s="1337"/>
      <c r="DN39" s="1338"/>
      <c r="DO39" s="1338"/>
      <c r="DP39" s="1338"/>
      <c r="DQ39" s="1339"/>
      <c r="DR39" s="1283"/>
      <c r="DS39" s="1284"/>
      <c r="DT39" s="1284"/>
      <c r="DU39" s="1284"/>
      <c r="DV39" s="1285"/>
      <c r="DW39" s="1283"/>
      <c r="DX39" s="1284"/>
      <c r="DY39" s="1284"/>
      <c r="DZ39" s="1284"/>
      <c r="EA39" s="1288"/>
      <c r="EB39" s="1482"/>
      <c r="EC39" s="1483"/>
      <c r="ED39" s="488"/>
      <c r="EE39" s="555"/>
    </row>
    <row r="40" spans="1:135" ht="13.5" customHeight="1" x14ac:dyDescent="0.2">
      <c r="B40" s="42" t="s">
        <v>423</v>
      </c>
      <c r="C40" s="411">
        <f>C39</f>
        <v>25</v>
      </c>
      <c r="D40" s="46"/>
      <c r="E40" s="43"/>
      <c r="F40" s="42" t="s">
        <v>423</v>
      </c>
      <c r="G40" s="411">
        <f>G39</f>
        <v>81</v>
      </c>
      <c r="H40" s="338"/>
      <c r="I40" s="338"/>
      <c r="J40" s="338"/>
      <c r="K40" s="981"/>
      <c r="L40" s="299"/>
      <c r="M40" s="1076" t="s">
        <v>522</v>
      </c>
      <c r="N40" s="299"/>
      <c r="O40" s="299"/>
      <c r="P40" s="299"/>
      <c r="Q40" s="299"/>
      <c r="R40" s="299"/>
      <c r="S40" s="299"/>
      <c r="T40" s="299"/>
      <c r="U40" s="299"/>
      <c r="V40" s="299"/>
      <c r="W40" s="299"/>
      <c r="X40" s="299"/>
      <c r="Y40" s="299"/>
      <c r="Z40" s="299"/>
      <c r="AA40" s="299"/>
      <c r="AD40" s="54"/>
      <c r="AE40" s="1482"/>
      <c r="AF40" s="1483"/>
      <c r="AG40" s="1569" t="str">
        <f>AL40</f>
        <v>Inner row
Interior modules</v>
      </c>
      <c r="AH40" s="1278"/>
      <c r="AI40" s="1278"/>
      <c r="AJ40" s="1278"/>
      <c r="AK40" s="1279"/>
      <c r="AL40" s="1277" t="str">
        <f>AL32</f>
        <v>Inner row
Interior modules</v>
      </c>
      <c r="AM40" s="1278"/>
      <c r="AN40" s="1278"/>
      <c r="AO40" s="1278"/>
      <c r="AP40" s="1279"/>
      <c r="AQ40" s="1331" t="str">
        <f>AQ32</f>
        <v>Inner row
1st-4th module</v>
      </c>
      <c r="AR40" s="1332"/>
      <c r="AS40" s="1332"/>
      <c r="AT40" s="1332"/>
      <c r="AU40" s="1333"/>
      <c r="AV40" s="1340" t="str">
        <f>AV32</f>
        <v>Inner row
Interior modules</v>
      </c>
      <c r="AW40" s="1341"/>
      <c r="AX40" s="1341"/>
      <c r="AY40" s="1341"/>
      <c r="AZ40" s="1342"/>
      <c r="BA40" s="1349" t="str">
        <f>BA32</f>
        <v>Inner row
1st-4th module</v>
      </c>
      <c r="BB40" s="1350"/>
      <c r="BC40" s="1350"/>
      <c r="BD40" s="1350"/>
      <c r="BE40" s="1351"/>
      <c r="BF40" s="1358" t="str">
        <f>BF32</f>
        <v>Inner row
Interior modules</v>
      </c>
      <c r="BG40" s="1359"/>
      <c r="BH40" s="1359"/>
      <c r="BI40" s="1359"/>
      <c r="BJ40" s="1360"/>
      <c r="BK40" s="1500" t="str">
        <f>BK32</f>
        <v>Inner row
1st-4th module</v>
      </c>
      <c r="BL40" s="1501"/>
      <c r="BM40" s="1501"/>
      <c r="BN40" s="1501"/>
      <c r="BO40" s="1502"/>
      <c r="BP40" s="1604" t="s">
        <v>456</v>
      </c>
      <c r="BQ40" s="1605"/>
      <c r="BR40" s="1605"/>
      <c r="BS40" s="1605"/>
      <c r="BT40" s="1606"/>
      <c r="BU40" s="1486" t="s">
        <v>457</v>
      </c>
      <c r="BV40" s="1487"/>
      <c r="BW40" s="1487"/>
      <c r="BX40" s="1487"/>
      <c r="BY40" s="1488"/>
      <c r="BZ40" s="1482"/>
      <c r="CA40" s="1483"/>
      <c r="CB40" s="360"/>
      <c r="CC40" s="484"/>
      <c r="CE40" s="491"/>
      <c r="CF40" s="54"/>
      <c r="CG40" s="1482"/>
      <c r="CH40" s="1483"/>
      <c r="CI40" s="1391" t="str">
        <f>BU40</f>
        <v>North row (only if array interrupted)
1st-4th module</v>
      </c>
      <c r="CJ40" s="1392"/>
      <c r="CK40" s="1392"/>
      <c r="CL40" s="1392"/>
      <c r="CM40" s="1393"/>
      <c r="CN40" s="1400" t="str">
        <f t="shared" ref="CN40" si="0">BP40</f>
        <v>North row (only if array interrupted)
Interior modules</v>
      </c>
      <c r="CO40" s="1401"/>
      <c r="CP40" s="1401"/>
      <c r="CQ40" s="1401"/>
      <c r="CR40" s="1402"/>
      <c r="CS40" s="1295" t="str">
        <f t="shared" ref="CS40" si="1">BK40</f>
        <v>Inner row
1st-4th module</v>
      </c>
      <c r="CT40" s="1296"/>
      <c r="CU40" s="1296"/>
      <c r="CV40" s="1296"/>
      <c r="CW40" s="1297"/>
      <c r="CX40" s="1358" t="str">
        <f t="shared" ref="CX40" si="2">BF40</f>
        <v>Inner row
Interior modules</v>
      </c>
      <c r="CY40" s="1359"/>
      <c r="CZ40" s="1359"/>
      <c r="DA40" s="1359"/>
      <c r="DB40" s="1360"/>
      <c r="DC40" s="1349" t="str">
        <f t="shared" ref="DC40" si="3">BA40</f>
        <v>Inner row
1st-4th module</v>
      </c>
      <c r="DD40" s="1350"/>
      <c r="DE40" s="1350"/>
      <c r="DF40" s="1350"/>
      <c r="DG40" s="1351"/>
      <c r="DH40" s="1340" t="str">
        <f t="shared" ref="DH40" si="4">AV40</f>
        <v>Inner row
Interior modules</v>
      </c>
      <c r="DI40" s="1341"/>
      <c r="DJ40" s="1341"/>
      <c r="DK40" s="1341"/>
      <c r="DL40" s="1342"/>
      <c r="DM40" s="1331" t="str">
        <f t="shared" ref="DM40" si="5">AQ40</f>
        <v>Inner row
1st-4th module</v>
      </c>
      <c r="DN40" s="1332"/>
      <c r="DO40" s="1332"/>
      <c r="DP40" s="1332"/>
      <c r="DQ40" s="1333"/>
      <c r="DR40" s="1277" t="str">
        <f t="shared" ref="DR40" si="6">AL40</f>
        <v>Inner row
Interior modules</v>
      </c>
      <c r="DS40" s="1278"/>
      <c r="DT40" s="1278"/>
      <c r="DU40" s="1278"/>
      <c r="DV40" s="1279"/>
      <c r="DW40" s="1277" t="str">
        <f t="shared" ref="DW40" si="7">AG40</f>
        <v>Inner row
Interior modules</v>
      </c>
      <c r="DX40" s="1278"/>
      <c r="DY40" s="1278"/>
      <c r="DZ40" s="1278"/>
      <c r="EA40" s="1286"/>
      <c r="EB40" s="1482"/>
      <c r="EC40" s="1483"/>
      <c r="ED40" s="360"/>
      <c r="EE40" s="484"/>
    </row>
    <row r="41" spans="1:135" ht="13.5" customHeight="1" thickBot="1" x14ac:dyDescent="0.25">
      <c r="B41" s="419"/>
      <c r="C41" s="356"/>
      <c r="D41" s="420"/>
      <c r="E41" s="421"/>
      <c r="F41" s="422"/>
      <c r="G41" s="422"/>
      <c r="H41" s="615"/>
      <c r="I41" s="422"/>
      <c r="J41" s="615"/>
      <c r="K41" s="981"/>
      <c r="L41" s="299"/>
      <c r="M41" s="1076" t="s">
        <v>522</v>
      </c>
      <c r="N41" s="299"/>
      <c r="O41" s="299"/>
      <c r="P41" s="299"/>
      <c r="Q41" s="299"/>
      <c r="R41" s="299"/>
      <c r="S41" s="299"/>
      <c r="T41" s="299"/>
      <c r="U41" s="299"/>
      <c r="V41" s="299"/>
      <c r="W41" s="299"/>
      <c r="X41" s="299"/>
      <c r="Y41" s="299"/>
      <c r="Z41" s="299"/>
      <c r="AA41" s="299"/>
      <c r="AC41" s="491"/>
      <c r="AD41" s="54"/>
      <c r="AE41" s="1482"/>
      <c r="AF41" s="1483"/>
      <c r="AG41" s="1567"/>
      <c r="AH41" s="1281"/>
      <c r="AI41" s="1281"/>
      <c r="AJ41" s="1281"/>
      <c r="AK41" s="1282"/>
      <c r="AL41" s="1280"/>
      <c r="AM41" s="1281"/>
      <c r="AN41" s="1281"/>
      <c r="AO41" s="1281"/>
      <c r="AP41" s="1282"/>
      <c r="AQ41" s="1334"/>
      <c r="AR41" s="1335"/>
      <c r="AS41" s="1335"/>
      <c r="AT41" s="1335"/>
      <c r="AU41" s="1336"/>
      <c r="AV41" s="1343"/>
      <c r="AW41" s="1344"/>
      <c r="AX41" s="1344"/>
      <c r="AY41" s="1344"/>
      <c r="AZ41" s="1345"/>
      <c r="BA41" s="1352"/>
      <c r="BB41" s="1353"/>
      <c r="BC41" s="1353"/>
      <c r="BD41" s="1353"/>
      <c r="BE41" s="1354"/>
      <c r="BF41" s="1361"/>
      <c r="BG41" s="1362"/>
      <c r="BH41" s="1362"/>
      <c r="BI41" s="1362"/>
      <c r="BJ41" s="1363"/>
      <c r="BK41" s="1503"/>
      <c r="BL41" s="1504"/>
      <c r="BM41" s="1504"/>
      <c r="BN41" s="1504"/>
      <c r="BO41" s="1505"/>
      <c r="BP41" s="1607"/>
      <c r="BQ41" s="1608"/>
      <c r="BR41" s="1608"/>
      <c r="BS41" s="1608"/>
      <c r="BT41" s="1609"/>
      <c r="BU41" s="1489"/>
      <c r="BV41" s="1490"/>
      <c r="BW41" s="1490"/>
      <c r="BX41" s="1490"/>
      <c r="BY41" s="1491"/>
      <c r="BZ41" s="1482"/>
      <c r="CA41" s="1483"/>
      <c r="CB41" s="360"/>
      <c r="CC41" s="485"/>
      <c r="CE41" s="491"/>
      <c r="CF41" s="54"/>
      <c r="CG41" s="1482"/>
      <c r="CH41" s="1483"/>
      <c r="CI41" s="1394"/>
      <c r="CJ41" s="1395"/>
      <c r="CK41" s="1395"/>
      <c r="CL41" s="1395"/>
      <c r="CM41" s="1396"/>
      <c r="CN41" s="1403"/>
      <c r="CO41" s="1404"/>
      <c r="CP41" s="1404"/>
      <c r="CQ41" s="1404"/>
      <c r="CR41" s="1405"/>
      <c r="CS41" s="1298"/>
      <c r="CT41" s="1299"/>
      <c r="CU41" s="1299"/>
      <c r="CV41" s="1299"/>
      <c r="CW41" s="1300"/>
      <c r="CX41" s="1361"/>
      <c r="CY41" s="1362"/>
      <c r="CZ41" s="1362"/>
      <c r="DA41" s="1362"/>
      <c r="DB41" s="1363"/>
      <c r="DC41" s="1352"/>
      <c r="DD41" s="1353"/>
      <c r="DE41" s="1353"/>
      <c r="DF41" s="1353"/>
      <c r="DG41" s="1354"/>
      <c r="DH41" s="1343"/>
      <c r="DI41" s="1344"/>
      <c r="DJ41" s="1344"/>
      <c r="DK41" s="1344"/>
      <c r="DL41" s="1345"/>
      <c r="DM41" s="1334"/>
      <c r="DN41" s="1335"/>
      <c r="DO41" s="1335"/>
      <c r="DP41" s="1335"/>
      <c r="DQ41" s="1336"/>
      <c r="DR41" s="1280"/>
      <c r="DS41" s="1281"/>
      <c r="DT41" s="1281"/>
      <c r="DU41" s="1281"/>
      <c r="DV41" s="1282"/>
      <c r="DW41" s="1280"/>
      <c r="DX41" s="1281"/>
      <c r="DY41" s="1281"/>
      <c r="DZ41" s="1281"/>
      <c r="EA41" s="1287"/>
      <c r="EB41" s="1482"/>
      <c r="EC41" s="1483"/>
      <c r="ED41" s="360"/>
      <c r="EE41" s="485"/>
    </row>
    <row r="42" spans="1:135" ht="13.5" customHeight="1" thickTop="1" x14ac:dyDescent="0.2">
      <c r="D42" s="18"/>
      <c r="E42" s="18"/>
      <c r="F42" s="159"/>
      <c r="G42" s="22"/>
      <c r="H42" s="22"/>
      <c r="I42" s="22"/>
      <c r="J42" s="22"/>
      <c r="K42" s="22"/>
      <c r="L42" s="22"/>
      <c r="M42" s="20" t="s">
        <v>523</v>
      </c>
      <c r="N42" s="22"/>
      <c r="O42" s="22"/>
      <c r="P42" s="22"/>
      <c r="Q42" s="22"/>
      <c r="R42" s="22"/>
      <c r="S42" s="22"/>
      <c r="T42" s="22"/>
      <c r="U42" s="22"/>
      <c r="V42" s="22"/>
      <c r="W42" s="22"/>
      <c r="X42" s="22"/>
      <c r="Y42" s="22"/>
      <c r="Z42" s="22"/>
      <c r="AA42" s="22"/>
      <c r="AB42" s="299"/>
      <c r="AC42" s="491"/>
      <c r="AD42" s="54"/>
      <c r="AE42" s="1482"/>
      <c r="AF42" s="1483"/>
      <c r="AG42" s="1568"/>
      <c r="AH42" s="1284"/>
      <c r="AI42" s="1284"/>
      <c r="AJ42" s="1284"/>
      <c r="AK42" s="1285"/>
      <c r="AL42" s="1283"/>
      <c r="AM42" s="1284"/>
      <c r="AN42" s="1284"/>
      <c r="AO42" s="1284"/>
      <c r="AP42" s="1285"/>
      <c r="AQ42" s="1337"/>
      <c r="AR42" s="1338"/>
      <c r="AS42" s="1338"/>
      <c r="AT42" s="1338"/>
      <c r="AU42" s="1339"/>
      <c r="AV42" s="1346"/>
      <c r="AW42" s="1347"/>
      <c r="AX42" s="1347"/>
      <c r="AY42" s="1347"/>
      <c r="AZ42" s="1348"/>
      <c r="BA42" s="1355"/>
      <c r="BB42" s="1356"/>
      <c r="BC42" s="1356"/>
      <c r="BD42" s="1356"/>
      <c r="BE42" s="1357"/>
      <c r="BF42" s="1364"/>
      <c r="BG42" s="1365"/>
      <c r="BH42" s="1365"/>
      <c r="BI42" s="1365"/>
      <c r="BJ42" s="1366"/>
      <c r="BK42" s="1506"/>
      <c r="BL42" s="1507"/>
      <c r="BM42" s="1507"/>
      <c r="BN42" s="1507"/>
      <c r="BO42" s="1508"/>
      <c r="BP42" s="1610"/>
      <c r="BQ42" s="1611"/>
      <c r="BR42" s="1611"/>
      <c r="BS42" s="1611"/>
      <c r="BT42" s="1612"/>
      <c r="BU42" s="1492"/>
      <c r="BV42" s="1493"/>
      <c r="BW42" s="1493"/>
      <c r="BX42" s="1493"/>
      <c r="BY42" s="1494"/>
      <c r="BZ42" s="1482"/>
      <c r="CA42" s="1483"/>
      <c r="CB42" s="360"/>
      <c r="CC42" s="485"/>
      <c r="CE42" s="491"/>
      <c r="CF42" s="54"/>
      <c r="CG42" s="1482"/>
      <c r="CH42" s="1483"/>
      <c r="CI42" s="1397"/>
      <c r="CJ42" s="1398"/>
      <c r="CK42" s="1398"/>
      <c r="CL42" s="1398"/>
      <c r="CM42" s="1399"/>
      <c r="CN42" s="1406"/>
      <c r="CO42" s="1407"/>
      <c r="CP42" s="1407"/>
      <c r="CQ42" s="1407"/>
      <c r="CR42" s="1408"/>
      <c r="CS42" s="1301"/>
      <c r="CT42" s="1302"/>
      <c r="CU42" s="1302"/>
      <c r="CV42" s="1302"/>
      <c r="CW42" s="1303"/>
      <c r="CX42" s="1364"/>
      <c r="CY42" s="1365"/>
      <c r="CZ42" s="1365"/>
      <c r="DA42" s="1365"/>
      <c r="DB42" s="1366"/>
      <c r="DC42" s="1355"/>
      <c r="DD42" s="1356"/>
      <c r="DE42" s="1356"/>
      <c r="DF42" s="1356"/>
      <c r="DG42" s="1357"/>
      <c r="DH42" s="1346"/>
      <c r="DI42" s="1347"/>
      <c r="DJ42" s="1347"/>
      <c r="DK42" s="1347"/>
      <c r="DL42" s="1348"/>
      <c r="DM42" s="1337"/>
      <c r="DN42" s="1338"/>
      <c r="DO42" s="1338"/>
      <c r="DP42" s="1338"/>
      <c r="DQ42" s="1339"/>
      <c r="DR42" s="1283"/>
      <c r="DS42" s="1284"/>
      <c r="DT42" s="1284"/>
      <c r="DU42" s="1284"/>
      <c r="DV42" s="1285"/>
      <c r="DW42" s="1283"/>
      <c r="DX42" s="1284"/>
      <c r="DY42" s="1284"/>
      <c r="DZ42" s="1284"/>
      <c r="EA42" s="1288"/>
      <c r="EB42" s="1482"/>
      <c r="EC42" s="1483"/>
      <c r="ED42" s="360"/>
      <c r="EE42" s="485"/>
    </row>
    <row r="43" spans="1:135" ht="13.5" customHeight="1" thickBot="1" x14ac:dyDescent="0.25">
      <c r="D43" s="18"/>
      <c r="E43" s="18"/>
      <c r="F43" s="159"/>
      <c r="G43" s="22"/>
      <c r="H43" s="22"/>
      <c r="I43" s="22"/>
      <c r="J43" s="22"/>
      <c r="K43" s="22"/>
      <c r="L43" s="22"/>
      <c r="M43" s="20"/>
      <c r="N43" s="22"/>
      <c r="O43" s="22"/>
      <c r="P43" s="22"/>
      <c r="Q43" s="22"/>
      <c r="R43" s="22"/>
      <c r="S43" s="22"/>
      <c r="T43" s="22"/>
      <c r="U43" s="22"/>
      <c r="V43" s="22"/>
      <c r="W43" s="22"/>
      <c r="X43" s="22"/>
      <c r="Y43" s="22"/>
      <c r="Z43" s="22"/>
      <c r="AA43" s="22"/>
      <c r="AB43" s="299"/>
      <c r="AC43" s="491"/>
      <c r="AD43" s="54"/>
      <c r="AE43" s="1482"/>
      <c r="AF43" s="1483"/>
      <c r="AG43" s="1569" t="str">
        <f>AL43</f>
        <v>Inner row
Interior modules</v>
      </c>
      <c r="AH43" s="1278"/>
      <c r="AI43" s="1278"/>
      <c r="AJ43" s="1278"/>
      <c r="AK43" s="1279"/>
      <c r="AL43" s="1277" t="str">
        <f>AL32</f>
        <v>Inner row
Interior modules</v>
      </c>
      <c r="AM43" s="1278"/>
      <c r="AN43" s="1278"/>
      <c r="AO43" s="1278"/>
      <c r="AP43" s="1279"/>
      <c r="AQ43" s="1331" t="str">
        <f>AQ32</f>
        <v>Inner row
1st-4th module</v>
      </c>
      <c r="AR43" s="1332"/>
      <c r="AS43" s="1332"/>
      <c r="AT43" s="1332"/>
      <c r="AU43" s="1333"/>
      <c r="AV43" s="1340" t="str">
        <f>AV32</f>
        <v>Inner row
Interior modules</v>
      </c>
      <c r="AW43" s="1341"/>
      <c r="AX43" s="1341"/>
      <c r="AY43" s="1341"/>
      <c r="AZ43" s="1342"/>
      <c r="BA43" s="1349" t="str">
        <f>BA32</f>
        <v>Inner row
1st-4th module</v>
      </c>
      <c r="BB43" s="1350"/>
      <c r="BC43" s="1350"/>
      <c r="BD43" s="1350"/>
      <c r="BE43" s="1351"/>
      <c r="BF43" s="1358" t="str">
        <f>BF32</f>
        <v>Inner row
Interior modules</v>
      </c>
      <c r="BG43" s="1359"/>
      <c r="BH43" s="1359"/>
      <c r="BI43" s="1359"/>
      <c r="BJ43" s="1360"/>
      <c r="BK43" s="1367" t="str">
        <f>BK32</f>
        <v>Inner row
1st-4th module</v>
      </c>
      <c r="BL43" s="1368"/>
      <c r="BM43" s="1368"/>
      <c r="BN43" s="1368"/>
      <c r="BO43" s="1369"/>
      <c r="BP43" s="1409" t="str">
        <f>CONCATENATE(B200,CHAR(10),E115)</f>
        <v>Inner row
Interior modules</v>
      </c>
      <c r="BQ43" s="1410"/>
      <c r="BR43" s="1410"/>
      <c r="BS43" s="1410"/>
      <c r="BT43" s="1411"/>
      <c r="BU43" s="1418" t="str">
        <f>CONCATENATE(B200,CHAR(10),E114)</f>
        <v>Inner row
1st-4th module</v>
      </c>
      <c r="BV43" s="1419"/>
      <c r="BW43" s="1419"/>
      <c r="BX43" s="1419"/>
      <c r="BY43" s="1420"/>
      <c r="BZ43" s="1482"/>
      <c r="CA43" s="1483"/>
      <c r="CB43" s="360"/>
      <c r="CC43" s="556"/>
      <c r="CE43" s="491"/>
      <c r="CF43" s="54"/>
      <c r="CG43" s="1482"/>
      <c r="CH43" s="1483"/>
      <c r="CI43" s="1304" t="str">
        <f>BU43</f>
        <v>Inner row
1st-4th module</v>
      </c>
      <c r="CJ43" s="1305"/>
      <c r="CK43" s="1305"/>
      <c r="CL43" s="1305"/>
      <c r="CM43" s="1306"/>
      <c r="CN43" s="1313" t="str">
        <f>BP43</f>
        <v>Inner row
Interior modules</v>
      </c>
      <c r="CO43" s="1314"/>
      <c r="CP43" s="1314"/>
      <c r="CQ43" s="1314"/>
      <c r="CR43" s="1315"/>
      <c r="CS43" s="1367" t="str">
        <f t="shared" ref="CS43" si="8">BK43</f>
        <v>Inner row
1st-4th module</v>
      </c>
      <c r="CT43" s="1368"/>
      <c r="CU43" s="1368"/>
      <c r="CV43" s="1368"/>
      <c r="CW43" s="1369"/>
      <c r="CX43" s="1358" t="str">
        <f t="shared" ref="CX43" si="9">BF43</f>
        <v>Inner row
Interior modules</v>
      </c>
      <c r="CY43" s="1359"/>
      <c r="CZ43" s="1359"/>
      <c r="DA43" s="1359"/>
      <c r="DB43" s="1360"/>
      <c r="DC43" s="1349" t="str">
        <f t="shared" ref="DC43" si="10">BA43</f>
        <v>Inner row
1st-4th module</v>
      </c>
      <c r="DD43" s="1350"/>
      <c r="DE43" s="1350"/>
      <c r="DF43" s="1350"/>
      <c r="DG43" s="1351"/>
      <c r="DH43" s="1340" t="str">
        <f t="shared" ref="DH43" si="11">AV43</f>
        <v>Inner row
Interior modules</v>
      </c>
      <c r="DI43" s="1341"/>
      <c r="DJ43" s="1341"/>
      <c r="DK43" s="1341"/>
      <c r="DL43" s="1342"/>
      <c r="DM43" s="1331" t="str">
        <f t="shared" ref="DM43" si="12">AQ43</f>
        <v>Inner row
1st-4th module</v>
      </c>
      <c r="DN43" s="1332"/>
      <c r="DO43" s="1332"/>
      <c r="DP43" s="1332"/>
      <c r="DQ43" s="1333"/>
      <c r="DR43" s="1277" t="str">
        <f t="shared" ref="DR43" si="13">AL43</f>
        <v>Inner row
Interior modules</v>
      </c>
      <c r="DS43" s="1278"/>
      <c r="DT43" s="1278"/>
      <c r="DU43" s="1278"/>
      <c r="DV43" s="1279"/>
      <c r="DW43" s="1277" t="str">
        <f t="shared" ref="DW43" si="14">AG43</f>
        <v>Inner row
Interior modules</v>
      </c>
      <c r="DX43" s="1278"/>
      <c r="DY43" s="1278"/>
      <c r="DZ43" s="1278"/>
      <c r="EA43" s="1286"/>
      <c r="EB43" s="1482"/>
      <c r="EC43" s="1483"/>
      <c r="ED43" s="360"/>
      <c r="EE43" s="556"/>
    </row>
    <row r="44" spans="1:135" ht="13.5" customHeight="1" thickTop="1" thickBot="1" x14ac:dyDescent="0.3">
      <c r="A44" s="24"/>
      <c r="B44" s="1671" t="s">
        <v>425</v>
      </c>
      <c r="C44" s="1672"/>
      <c r="D44" s="1673"/>
      <c r="E44" s="1655" t="s">
        <v>354</v>
      </c>
      <c r="F44" s="1656"/>
      <c r="G44" s="1656"/>
      <c r="H44" s="1656"/>
      <c r="I44" s="1656"/>
      <c r="J44" s="1656"/>
      <c r="K44" s="1656"/>
      <c r="L44" s="1657"/>
      <c r="M44" s="1051"/>
      <c r="N44" s="1702" t="s">
        <v>488</v>
      </c>
      <c r="O44" s="1687"/>
      <c r="P44" s="1702" t="s">
        <v>489</v>
      </c>
      <c r="Q44" s="1687"/>
      <c r="R44" s="1686" t="s">
        <v>490</v>
      </c>
      <c r="S44" s="1687"/>
      <c r="T44" s="1686" t="s">
        <v>491</v>
      </c>
      <c r="U44" s="1687"/>
      <c r="V44" s="1686" t="s">
        <v>492</v>
      </c>
      <c r="W44" s="1687"/>
      <c r="X44" s="1686" t="s">
        <v>493</v>
      </c>
      <c r="Y44" s="1687"/>
      <c r="Z44" s="1686" t="str">
        <f>C39&amp;"-Module Load-Sharing Area"</f>
        <v>25-Module Load-Sharing Area</v>
      </c>
      <c r="AA44" s="1688"/>
      <c r="AB44" s="299"/>
      <c r="AC44" s="491"/>
      <c r="AD44" s="54"/>
      <c r="AE44" s="1482"/>
      <c r="AF44" s="1483"/>
      <c r="AG44" s="1567"/>
      <c r="AH44" s="1281"/>
      <c r="AI44" s="1281"/>
      <c r="AJ44" s="1281"/>
      <c r="AK44" s="1282"/>
      <c r="AL44" s="1280"/>
      <c r="AM44" s="1281"/>
      <c r="AN44" s="1281"/>
      <c r="AO44" s="1281"/>
      <c r="AP44" s="1282"/>
      <c r="AQ44" s="1334"/>
      <c r="AR44" s="1335"/>
      <c r="AS44" s="1335"/>
      <c r="AT44" s="1335"/>
      <c r="AU44" s="1336"/>
      <c r="AV44" s="1343"/>
      <c r="AW44" s="1344"/>
      <c r="AX44" s="1344"/>
      <c r="AY44" s="1344"/>
      <c r="AZ44" s="1345"/>
      <c r="BA44" s="1352"/>
      <c r="BB44" s="1353"/>
      <c r="BC44" s="1353"/>
      <c r="BD44" s="1353"/>
      <c r="BE44" s="1354"/>
      <c r="BF44" s="1361"/>
      <c r="BG44" s="1362"/>
      <c r="BH44" s="1362"/>
      <c r="BI44" s="1362"/>
      <c r="BJ44" s="1363"/>
      <c r="BK44" s="1370"/>
      <c r="BL44" s="1371"/>
      <c r="BM44" s="1371"/>
      <c r="BN44" s="1371"/>
      <c r="BO44" s="1372"/>
      <c r="BP44" s="1412"/>
      <c r="BQ44" s="1413"/>
      <c r="BR44" s="1413"/>
      <c r="BS44" s="1413"/>
      <c r="BT44" s="1414"/>
      <c r="BU44" s="1421"/>
      <c r="BV44" s="1422"/>
      <c r="BW44" s="1422"/>
      <c r="BX44" s="1422"/>
      <c r="BY44" s="1423"/>
      <c r="BZ44" s="1482"/>
      <c r="CA44" s="1483"/>
      <c r="CB44" s="360"/>
      <c r="CC44" s="375"/>
      <c r="CE44" s="491"/>
      <c r="CF44" s="54"/>
      <c r="CG44" s="1482"/>
      <c r="CH44" s="1483"/>
      <c r="CI44" s="1307"/>
      <c r="CJ44" s="1308"/>
      <c r="CK44" s="1308"/>
      <c r="CL44" s="1308"/>
      <c r="CM44" s="1309"/>
      <c r="CN44" s="1316"/>
      <c r="CO44" s="1317"/>
      <c r="CP44" s="1317"/>
      <c r="CQ44" s="1317"/>
      <c r="CR44" s="1318"/>
      <c r="CS44" s="1370"/>
      <c r="CT44" s="1371"/>
      <c r="CU44" s="1371"/>
      <c r="CV44" s="1371"/>
      <c r="CW44" s="1372"/>
      <c r="CX44" s="1361"/>
      <c r="CY44" s="1362"/>
      <c r="CZ44" s="1362"/>
      <c r="DA44" s="1362"/>
      <c r="DB44" s="1363"/>
      <c r="DC44" s="1352"/>
      <c r="DD44" s="1353"/>
      <c r="DE44" s="1353"/>
      <c r="DF44" s="1353"/>
      <c r="DG44" s="1354"/>
      <c r="DH44" s="1343"/>
      <c r="DI44" s="1344"/>
      <c r="DJ44" s="1344"/>
      <c r="DK44" s="1344"/>
      <c r="DL44" s="1345"/>
      <c r="DM44" s="1334"/>
      <c r="DN44" s="1335"/>
      <c r="DO44" s="1335"/>
      <c r="DP44" s="1335"/>
      <c r="DQ44" s="1336"/>
      <c r="DR44" s="1280"/>
      <c r="DS44" s="1281"/>
      <c r="DT44" s="1281"/>
      <c r="DU44" s="1281"/>
      <c r="DV44" s="1282"/>
      <c r="DW44" s="1280"/>
      <c r="DX44" s="1281"/>
      <c r="DY44" s="1281"/>
      <c r="DZ44" s="1281"/>
      <c r="EA44" s="1287"/>
      <c r="EB44" s="1482"/>
      <c r="EC44" s="1483"/>
      <c r="ED44" s="360"/>
      <c r="EE44" s="375"/>
    </row>
    <row r="45" spans="1:135" ht="13.5" customHeight="1" x14ac:dyDescent="0.2">
      <c r="A45" s="24"/>
      <c r="B45" s="1674"/>
      <c r="C45" s="1675"/>
      <c r="D45" s="1676"/>
      <c r="E45" s="1181" t="s">
        <v>424</v>
      </c>
      <c r="F45" s="1196" t="s">
        <v>482</v>
      </c>
      <c r="G45" s="1196" t="s">
        <v>483</v>
      </c>
      <c r="H45" s="1196" t="s">
        <v>484</v>
      </c>
      <c r="I45" s="1196" t="s">
        <v>485</v>
      </c>
      <c r="J45" s="1196" t="s">
        <v>487</v>
      </c>
      <c r="K45" s="1196" t="s">
        <v>486</v>
      </c>
      <c r="L45" s="1668" t="str">
        <f>C39&amp;"-Module
Load-Sharing Area"</f>
        <v>25-Module
Load-Sharing Area</v>
      </c>
      <c r="M45" s="1065" t="s">
        <v>518</v>
      </c>
      <c r="N45" s="1696" t="s">
        <v>357</v>
      </c>
      <c r="O45" s="1700" t="s">
        <v>358</v>
      </c>
      <c r="P45" s="1696" t="s">
        <v>357</v>
      </c>
      <c r="Q45" s="1700" t="s">
        <v>358</v>
      </c>
      <c r="R45" s="1696" t="s">
        <v>357</v>
      </c>
      <c r="S45" s="1700" t="s">
        <v>358</v>
      </c>
      <c r="T45" s="1696" t="s">
        <v>357</v>
      </c>
      <c r="U45" s="1700" t="s">
        <v>358</v>
      </c>
      <c r="V45" s="1696" t="s">
        <v>357</v>
      </c>
      <c r="W45" s="1700" t="s">
        <v>358</v>
      </c>
      <c r="X45" s="1696" t="s">
        <v>357</v>
      </c>
      <c r="Y45" s="1700" t="s">
        <v>358</v>
      </c>
      <c r="Z45" s="1696" t="s">
        <v>357</v>
      </c>
      <c r="AA45" s="1700" t="s">
        <v>358</v>
      </c>
      <c r="AB45" s="299"/>
      <c r="AC45" s="491"/>
      <c r="AD45" s="54"/>
      <c r="AE45" s="1482"/>
      <c r="AF45" s="1483"/>
      <c r="AG45" s="1568"/>
      <c r="AH45" s="1284"/>
      <c r="AI45" s="1284"/>
      <c r="AJ45" s="1284"/>
      <c r="AK45" s="1285"/>
      <c r="AL45" s="1283"/>
      <c r="AM45" s="1284"/>
      <c r="AN45" s="1284"/>
      <c r="AO45" s="1284"/>
      <c r="AP45" s="1285"/>
      <c r="AQ45" s="1337"/>
      <c r="AR45" s="1338"/>
      <c r="AS45" s="1338"/>
      <c r="AT45" s="1338"/>
      <c r="AU45" s="1339"/>
      <c r="AV45" s="1346"/>
      <c r="AW45" s="1347"/>
      <c r="AX45" s="1347"/>
      <c r="AY45" s="1347"/>
      <c r="AZ45" s="1348"/>
      <c r="BA45" s="1355"/>
      <c r="BB45" s="1356"/>
      <c r="BC45" s="1356"/>
      <c r="BD45" s="1356"/>
      <c r="BE45" s="1357"/>
      <c r="BF45" s="1364"/>
      <c r="BG45" s="1365"/>
      <c r="BH45" s="1365"/>
      <c r="BI45" s="1365"/>
      <c r="BJ45" s="1366"/>
      <c r="BK45" s="1373"/>
      <c r="BL45" s="1374"/>
      <c r="BM45" s="1374"/>
      <c r="BN45" s="1374"/>
      <c r="BO45" s="1375"/>
      <c r="BP45" s="1415"/>
      <c r="BQ45" s="1416"/>
      <c r="BR45" s="1416"/>
      <c r="BS45" s="1416"/>
      <c r="BT45" s="1417"/>
      <c r="BU45" s="1424"/>
      <c r="BV45" s="1425"/>
      <c r="BW45" s="1425"/>
      <c r="BX45" s="1425"/>
      <c r="BY45" s="1426"/>
      <c r="BZ45" s="1482"/>
      <c r="CA45" s="1483"/>
      <c r="CB45" s="360"/>
      <c r="CC45" s="1276"/>
      <c r="CE45" s="491"/>
      <c r="CF45" s="54"/>
      <c r="CG45" s="1482"/>
      <c r="CH45" s="1483"/>
      <c r="CI45" s="1310"/>
      <c r="CJ45" s="1311"/>
      <c r="CK45" s="1311"/>
      <c r="CL45" s="1311"/>
      <c r="CM45" s="1312"/>
      <c r="CN45" s="1319"/>
      <c r="CO45" s="1320"/>
      <c r="CP45" s="1320"/>
      <c r="CQ45" s="1320"/>
      <c r="CR45" s="1321"/>
      <c r="CS45" s="1373"/>
      <c r="CT45" s="1374"/>
      <c r="CU45" s="1374"/>
      <c r="CV45" s="1374"/>
      <c r="CW45" s="1375"/>
      <c r="CX45" s="1364"/>
      <c r="CY45" s="1365"/>
      <c r="CZ45" s="1365"/>
      <c r="DA45" s="1365"/>
      <c r="DB45" s="1366"/>
      <c r="DC45" s="1355"/>
      <c r="DD45" s="1356"/>
      <c r="DE45" s="1356"/>
      <c r="DF45" s="1356"/>
      <c r="DG45" s="1357"/>
      <c r="DH45" s="1346"/>
      <c r="DI45" s="1347"/>
      <c r="DJ45" s="1347"/>
      <c r="DK45" s="1347"/>
      <c r="DL45" s="1348"/>
      <c r="DM45" s="1337"/>
      <c r="DN45" s="1338"/>
      <c r="DO45" s="1338"/>
      <c r="DP45" s="1338"/>
      <c r="DQ45" s="1339"/>
      <c r="DR45" s="1283"/>
      <c r="DS45" s="1284"/>
      <c r="DT45" s="1284"/>
      <c r="DU45" s="1284"/>
      <c r="DV45" s="1285"/>
      <c r="DW45" s="1283"/>
      <c r="DX45" s="1284"/>
      <c r="DY45" s="1284"/>
      <c r="DZ45" s="1284"/>
      <c r="EA45" s="1288"/>
      <c r="EB45" s="1482"/>
      <c r="EC45" s="1483"/>
      <c r="ED45" s="360"/>
      <c r="EE45" s="1276"/>
    </row>
    <row r="46" spans="1:135" ht="13.5" customHeight="1" thickBot="1" x14ac:dyDescent="0.25">
      <c r="A46" s="24"/>
      <c r="B46" s="1674"/>
      <c r="C46" s="1675"/>
      <c r="D46" s="1676"/>
      <c r="E46" s="1182"/>
      <c r="F46" s="1666"/>
      <c r="G46" s="1666"/>
      <c r="H46" s="1666"/>
      <c r="I46" s="1666"/>
      <c r="J46" s="1666"/>
      <c r="K46" s="1666"/>
      <c r="L46" s="1669"/>
      <c r="M46" s="1066" t="s">
        <v>520</v>
      </c>
      <c r="N46" s="1697"/>
      <c r="O46" s="1701"/>
      <c r="P46" s="1697"/>
      <c r="Q46" s="1701"/>
      <c r="R46" s="1697"/>
      <c r="S46" s="1701"/>
      <c r="T46" s="1697"/>
      <c r="U46" s="1701"/>
      <c r="V46" s="1697"/>
      <c r="W46" s="1701"/>
      <c r="X46" s="1697"/>
      <c r="Y46" s="1701"/>
      <c r="Z46" s="1697"/>
      <c r="AA46" s="1701"/>
      <c r="AB46" s="192"/>
      <c r="AC46" s="491"/>
      <c r="AD46" s="54"/>
      <c r="AE46" s="1482"/>
      <c r="AF46" s="1483"/>
      <c r="AG46" s="1569" t="str">
        <f>AL46</f>
        <v>Inner row
Interior modules</v>
      </c>
      <c r="AH46" s="1278"/>
      <c r="AI46" s="1278"/>
      <c r="AJ46" s="1278"/>
      <c r="AK46" s="1279"/>
      <c r="AL46" s="1277" t="str">
        <f>AL32</f>
        <v>Inner row
Interior modules</v>
      </c>
      <c r="AM46" s="1278"/>
      <c r="AN46" s="1278"/>
      <c r="AO46" s="1278"/>
      <c r="AP46" s="1279"/>
      <c r="AQ46" s="1331" t="str">
        <f>AQ32</f>
        <v>Inner row
1st-4th module</v>
      </c>
      <c r="AR46" s="1332"/>
      <c r="AS46" s="1332"/>
      <c r="AT46" s="1332"/>
      <c r="AU46" s="1333"/>
      <c r="AV46" s="1340" t="str">
        <f>AV32</f>
        <v>Inner row
Interior modules</v>
      </c>
      <c r="AW46" s="1341"/>
      <c r="AX46" s="1341"/>
      <c r="AY46" s="1341"/>
      <c r="AZ46" s="1342"/>
      <c r="BA46" s="1349" t="str">
        <f>BA32</f>
        <v>Inner row
1st-4th module</v>
      </c>
      <c r="BB46" s="1350"/>
      <c r="BC46" s="1350"/>
      <c r="BD46" s="1350"/>
      <c r="BE46" s="1351"/>
      <c r="BF46" s="1358" t="str">
        <f>BF32</f>
        <v>Inner row
Interior modules</v>
      </c>
      <c r="BG46" s="1359"/>
      <c r="BH46" s="1359"/>
      <c r="BI46" s="1359"/>
      <c r="BJ46" s="1360"/>
      <c r="BK46" s="1367" t="str">
        <f>BK32</f>
        <v>Inner row
1st-4th module</v>
      </c>
      <c r="BL46" s="1368"/>
      <c r="BM46" s="1368"/>
      <c r="BN46" s="1368"/>
      <c r="BO46" s="1369"/>
      <c r="BP46" s="1409" t="str">
        <f>BP43</f>
        <v>Inner row
Interior modules</v>
      </c>
      <c r="BQ46" s="1410"/>
      <c r="BR46" s="1410"/>
      <c r="BS46" s="1410"/>
      <c r="BT46" s="1411"/>
      <c r="BU46" s="1418" t="str">
        <f>BU43</f>
        <v>Inner row
1st-4th module</v>
      </c>
      <c r="BV46" s="1419"/>
      <c r="BW46" s="1419"/>
      <c r="BX46" s="1419"/>
      <c r="BY46" s="1420"/>
      <c r="BZ46" s="1482"/>
      <c r="CA46" s="1483"/>
      <c r="CB46" s="360"/>
      <c r="CC46" s="1276"/>
      <c r="CE46" s="491"/>
      <c r="CF46" s="54"/>
      <c r="CG46" s="1482"/>
      <c r="CH46" s="1483"/>
      <c r="CI46" s="1304" t="str">
        <f>BU46</f>
        <v>Inner row
1st-4th module</v>
      </c>
      <c r="CJ46" s="1305"/>
      <c r="CK46" s="1305"/>
      <c r="CL46" s="1305"/>
      <c r="CM46" s="1306"/>
      <c r="CN46" s="1313" t="str">
        <f>BP46</f>
        <v>Inner row
Interior modules</v>
      </c>
      <c r="CO46" s="1314"/>
      <c r="CP46" s="1314"/>
      <c r="CQ46" s="1314"/>
      <c r="CR46" s="1315"/>
      <c r="CS46" s="1367" t="str">
        <f>BF46</f>
        <v>Inner row
Interior modules</v>
      </c>
      <c r="CT46" s="1368"/>
      <c r="CU46" s="1368"/>
      <c r="CV46" s="1368"/>
      <c r="CW46" s="1369"/>
      <c r="CX46" s="1358" t="str">
        <f>BF46</f>
        <v>Inner row
Interior modules</v>
      </c>
      <c r="CY46" s="1359"/>
      <c r="CZ46" s="1359"/>
      <c r="DA46" s="1359"/>
      <c r="DB46" s="1360"/>
      <c r="DC46" s="1349" t="str">
        <f>BA46</f>
        <v>Inner row
1st-4th module</v>
      </c>
      <c r="DD46" s="1350"/>
      <c r="DE46" s="1350"/>
      <c r="DF46" s="1350"/>
      <c r="DG46" s="1351"/>
      <c r="DH46" s="1340" t="str">
        <f>AV46</f>
        <v>Inner row
Interior modules</v>
      </c>
      <c r="DI46" s="1341"/>
      <c r="DJ46" s="1341"/>
      <c r="DK46" s="1341"/>
      <c r="DL46" s="1342"/>
      <c r="DM46" s="1331" t="str">
        <f>AQ46</f>
        <v>Inner row
1st-4th module</v>
      </c>
      <c r="DN46" s="1332"/>
      <c r="DO46" s="1332"/>
      <c r="DP46" s="1332"/>
      <c r="DQ46" s="1333"/>
      <c r="DR46" s="1277" t="str">
        <f>AL46</f>
        <v>Inner row
Interior modules</v>
      </c>
      <c r="DS46" s="1278"/>
      <c r="DT46" s="1278"/>
      <c r="DU46" s="1278"/>
      <c r="DV46" s="1279"/>
      <c r="DW46" s="1277" t="str">
        <f>AG46</f>
        <v>Inner row
Interior modules</v>
      </c>
      <c r="DX46" s="1278"/>
      <c r="DY46" s="1278"/>
      <c r="DZ46" s="1278"/>
      <c r="EA46" s="1286"/>
      <c r="EB46" s="1482"/>
      <c r="EC46" s="1483"/>
      <c r="ED46" s="360"/>
      <c r="EE46" s="1276"/>
    </row>
    <row r="47" spans="1:135" ht="13.5" customHeight="1" thickBot="1" x14ac:dyDescent="0.25">
      <c r="A47" s="24"/>
      <c r="B47" s="1677"/>
      <c r="C47" s="1678"/>
      <c r="D47" s="1679"/>
      <c r="E47" s="1698"/>
      <c r="F47" s="1667"/>
      <c r="G47" s="1667"/>
      <c r="H47" s="1667"/>
      <c r="I47" s="1667"/>
      <c r="J47" s="1667"/>
      <c r="K47" s="1667"/>
      <c r="L47" s="1670"/>
      <c r="M47" s="1066" t="s">
        <v>519</v>
      </c>
      <c r="N47" s="1033">
        <f>VLOOKUP(F11,C196:J211,7,FALSE)</f>
        <v>0.9</v>
      </c>
      <c r="O47" s="404">
        <f>VLOOKUP(F11,C196:J211,8,FALSE)</f>
        <v>0.9</v>
      </c>
      <c r="P47" s="1033">
        <f>VLOOKUP(F11,C196:J211,7,FALSE)</f>
        <v>0.9</v>
      </c>
      <c r="Q47" s="404">
        <f>VLOOKUP(F11,C196:J211,8,FALSE)</f>
        <v>0.9</v>
      </c>
      <c r="R47" s="1033">
        <f>VLOOKUP(F11,C196:J211,7,FALSE)</f>
        <v>0.9</v>
      </c>
      <c r="S47" s="404">
        <f>VLOOKUP(F11,C196:J211,8,FALSE)</f>
        <v>0.9</v>
      </c>
      <c r="T47" s="1033">
        <f>VLOOKUP(F11,C196:J211,7,FALSE)</f>
        <v>0.9</v>
      </c>
      <c r="U47" s="404">
        <f>VLOOKUP(F11,C196:J211,8,FALSE)</f>
        <v>0.9</v>
      </c>
      <c r="V47" s="1033">
        <f>VLOOKUP(F11,C196:J211,7,FALSE)</f>
        <v>0.9</v>
      </c>
      <c r="W47" s="404">
        <f>VLOOKUP(F11,C196:J211,8,FALSE)</f>
        <v>0.9</v>
      </c>
      <c r="X47" s="1033">
        <f>VLOOKUP(F11,C196:J211,7,FALSE)</f>
        <v>0.9</v>
      </c>
      <c r="Y47" s="404">
        <f>VLOOKUP(F11,C196:J211,8,FALSE)</f>
        <v>0.9</v>
      </c>
      <c r="Z47" s="1033">
        <f>VLOOKUP(F11,C196:J211,7,FALSE)</f>
        <v>0.9</v>
      </c>
      <c r="AA47" s="404">
        <f>VLOOKUP(F11,C196:J211,8,FALSE)</f>
        <v>0.9</v>
      </c>
      <c r="AB47" s="192"/>
      <c r="AC47" s="491"/>
      <c r="AD47" s="54"/>
      <c r="AE47" s="1482"/>
      <c r="AF47" s="1483"/>
      <c r="AG47" s="1567"/>
      <c r="AH47" s="1281"/>
      <c r="AI47" s="1281"/>
      <c r="AJ47" s="1281"/>
      <c r="AK47" s="1282"/>
      <c r="AL47" s="1280"/>
      <c r="AM47" s="1281"/>
      <c r="AN47" s="1281"/>
      <c r="AO47" s="1281"/>
      <c r="AP47" s="1282"/>
      <c r="AQ47" s="1334"/>
      <c r="AR47" s="1335"/>
      <c r="AS47" s="1335"/>
      <c r="AT47" s="1335"/>
      <c r="AU47" s="1336"/>
      <c r="AV47" s="1343"/>
      <c r="AW47" s="1344"/>
      <c r="AX47" s="1344"/>
      <c r="AY47" s="1344"/>
      <c r="AZ47" s="1345"/>
      <c r="BA47" s="1352"/>
      <c r="BB47" s="1353"/>
      <c r="BC47" s="1353"/>
      <c r="BD47" s="1353"/>
      <c r="BE47" s="1354"/>
      <c r="BF47" s="1361"/>
      <c r="BG47" s="1362"/>
      <c r="BH47" s="1362"/>
      <c r="BI47" s="1362"/>
      <c r="BJ47" s="1363"/>
      <c r="BK47" s="1370"/>
      <c r="BL47" s="1371"/>
      <c r="BM47" s="1371"/>
      <c r="BN47" s="1371"/>
      <c r="BO47" s="1372"/>
      <c r="BP47" s="1412"/>
      <c r="BQ47" s="1413"/>
      <c r="BR47" s="1413"/>
      <c r="BS47" s="1413"/>
      <c r="BT47" s="1414"/>
      <c r="BU47" s="1421"/>
      <c r="BV47" s="1422"/>
      <c r="BW47" s="1422"/>
      <c r="BX47" s="1422"/>
      <c r="BY47" s="1423"/>
      <c r="BZ47" s="1482"/>
      <c r="CA47" s="1483"/>
      <c r="CB47" s="360"/>
      <c r="CC47" s="485"/>
      <c r="CE47" s="491"/>
      <c r="CF47" s="54"/>
      <c r="CG47" s="1482"/>
      <c r="CH47" s="1483"/>
      <c r="CI47" s="1307"/>
      <c r="CJ47" s="1308"/>
      <c r="CK47" s="1308"/>
      <c r="CL47" s="1308"/>
      <c r="CM47" s="1309"/>
      <c r="CN47" s="1316"/>
      <c r="CO47" s="1317"/>
      <c r="CP47" s="1317"/>
      <c r="CQ47" s="1317"/>
      <c r="CR47" s="1318"/>
      <c r="CS47" s="1370"/>
      <c r="CT47" s="1371"/>
      <c r="CU47" s="1371"/>
      <c r="CV47" s="1371"/>
      <c r="CW47" s="1372"/>
      <c r="CX47" s="1361"/>
      <c r="CY47" s="1362"/>
      <c r="CZ47" s="1362"/>
      <c r="DA47" s="1362"/>
      <c r="DB47" s="1363"/>
      <c r="DC47" s="1352"/>
      <c r="DD47" s="1353"/>
      <c r="DE47" s="1353"/>
      <c r="DF47" s="1353"/>
      <c r="DG47" s="1354"/>
      <c r="DH47" s="1343"/>
      <c r="DI47" s="1344"/>
      <c r="DJ47" s="1344"/>
      <c r="DK47" s="1344"/>
      <c r="DL47" s="1345"/>
      <c r="DM47" s="1334"/>
      <c r="DN47" s="1335"/>
      <c r="DO47" s="1335"/>
      <c r="DP47" s="1335"/>
      <c r="DQ47" s="1336"/>
      <c r="DR47" s="1280"/>
      <c r="DS47" s="1281"/>
      <c r="DT47" s="1281"/>
      <c r="DU47" s="1281"/>
      <c r="DV47" s="1282"/>
      <c r="DW47" s="1280"/>
      <c r="DX47" s="1281"/>
      <c r="DY47" s="1281"/>
      <c r="DZ47" s="1281"/>
      <c r="EA47" s="1287"/>
      <c r="EB47" s="1482"/>
      <c r="EC47" s="1483"/>
      <c r="ED47" s="360"/>
      <c r="EE47" s="485"/>
    </row>
    <row r="48" spans="1:135" ht="13.5" customHeight="1" thickTop="1" thickBot="1" x14ac:dyDescent="0.25">
      <c r="A48" s="24"/>
      <c r="B48" s="1683" t="s">
        <v>426</v>
      </c>
      <c r="C48" s="1684"/>
      <c r="D48" s="1684"/>
      <c r="E48" s="1685"/>
      <c r="F48" s="1648" t="s">
        <v>305</v>
      </c>
      <c r="G48" s="1648" t="s">
        <v>305</v>
      </c>
      <c r="H48" s="1648" t="s">
        <v>305</v>
      </c>
      <c r="I48" s="1648" t="s">
        <v>305</v>
      </c>
      <c r="J48" s="1648" t="s">
        <v>305</v>
      </c>
      <c r="K48" s="1648" t="s">
        <v>305</v>
      </c>
      <c r="L48" s="1648" t="s">
        <v>305</v>
      </c>
      <c r="M48" s="1705" t="s">
        <v>305</v>
      </c>
      <c r="N48" s="1699" t="s">
        <v>428</v>
      </c>
      <c r="O48" s="1707"/>
      <c r="P48" s="1699" t="s">
        <v>428</v>
      </c>
      <c r="Q48" s="1707"/>
      <c r="R48" s="1699" t="s">
        <v>428</v>
      </c>
      <c r="S48" s="1707"/>
      <c r="T48" s="1699" t="s">
        <v>428</v>
      </c>
      <c r="U48" s="1707"/>
      <c r="V48" s="1699" t="s">
        <v>428</v>
      </c>
      <c r="W48" s="1707"/>
      <c r="X48" s="1699" t="s">
        <v>428</v>
      </c>
      <c r="Y48" s="1707"/>
      <c r="Z48" s="1699" t="s">
        <v>428</v>
      </c>
      <c r="AA48" s="1707"/>
      <c r="AB48" s="192"/>
      <c r="AC48" s="491"/>
      <c r="AD48" s="54"/>
      <c r="AE48" s="1482"/>
      <c r="AF48" s="1483"/>
      <c r="AG48" s="1568"/>
      <c r="AH48" s="1284"/>
      <c r="AI48" s="1284"/>
      <c r="AJ48" s="1284"/>
      <c r="AK48" s="1285"/>
      <c r="AL48" s="1283"/>
      <c r="AM48" s="1284"/>
      <c r="AN48" s="1284"/>
      <c r="AO48" s="1284"/>
      <c r="AP48" s="1285"/>
      <c r="AQ48" s="1337"/>
      <c r="AR48" s="1338"/>
      <c r="AS48" s="1338"/>
      <c r="AT48" s="1338"/>
      <c r="AU48" s="1339"/>
      <c r="AV48" s="1346"/>
      <c r="AW48" s="1347"/>
      <c r="AX48" s="1347"/>
      <c r="AY48" s="1347"/>
      <c r="AZ48" s="1348"/>
      <c r="BA48" s="1355"/>
      <c r="BB48" s="1356"/>
      <c r="BC48" s="1356"/>
      <c r="BD48" s="1356"/>
      <c r="BE48" s="1357"/>
      <c r="BF48" s="1364"/>
      <c r="BG48" s="1365"/>
      <c r="BH48" s="1365"/>
      <c r="BI48" s="1365"/>
      <c r="BJ48" s="1366"/>
      <c r="BK48" s="1373"/>
      <c r="BL48" s="1374"/>
      <c r="BM48" s="1374"/>
      <c r="BN48" s="1374"/>
      <c r="BO48" s="1375"/>
      <c r="BP48" s="1415"/>
      <c r="BQ48" s="1416"/>
      <c r="BR48" s="1416"/>
      <c r="BS48" s="1416"/>
      <c r="BT48" s="1417"/>
      <c r="BU48" s="1424"/>
      <c r="BV48" s="1425"/>
      <c r="BW48" s="1425"/>
      <c r="BX48" s="1425"/>
      <c r="BY48" s="1426"/>
      <c r="BZ48" s="1482"/>
      <c r="CA48" s="1483"/>
      <c r="CB48" s="360"/>
      <c r="CC48" s="485"/>
      <c r="CE48" s="491"/>
      <c r="CF48" s="54"/>
      <c r="CG48" s="1482"/>
      <c r="CH48" s="1483"/>
      <c r="CI48" s="1310"/>
      <c r="CJ48" s="1311"/>
      <c r="CK48" s="1311"/>
      <c r="CL48" s="1311"/>
      <c r="CM48" s="1312"/>
      <c r="CN48" s="1319"/>
      <c r="CO48" s="1320"/>
      <c r="CP48" s="1320"/>
      <c r="CQ48" s="1320"/>
      <c r="CR48" s="1321"/>
      <c r="CS48" s="1373"/>
      <c r="CT48" s="1374"/>
      <c r="CU48" s="1374"/>
      <c r="CV48" s="1374"/>
      <c r="CW48" s="1375"/>
      <c r="CX48" s="1364"/>
      <c r="CY48" s="1365"/>
      <c r="CZ48" s="1365"/>
      <c r="DA48" s="1365"/>
      <c r="DB48" s="1366"/>
      <c r="DC48" s="1355"/>
      <c r="DD48" s="1356"/>
      <c r="DE48" s="1356"/>
      <c r="DF48" s="1356"/>
      <c r="DG48" s="1357"/>
      <c r="DH48" s="1346"/>
      <c r="DI48" s="1347"/>
      <c r="DJ48" s="1347"/>
      <c r="DK48" s="1347"/>
      <c r="DL48" s="1348"/>
      <c r="DM48" s="1337"/>
      <c r="DN48" s="1338"/>
      <c r="DO48" s="1338"/>
      <c r="DP48" s="1338"/>
      <c r="DQ48" s="1339"/>
      <c r="DR48" s="1283"/>
      <c r="DS48" s="1284"/>
      <c r="DT48" s="1284"/>
      <c r="DU48" s="1284"/>
      <c r="DV48" s="1285"/>
      <c r="DW48" s="1283"/>
      <c r="DX48" s="1284"/>
      <c r="DY48" s="1284"/>
      <c r="DZ48" s="1284"/>
      <c r="EA48" s="1288"/>
      <c r="EB48" s="1482"/>
      <c r="EC48" s="1483"/>
      <c r="ED48" s="360"/>
      <c r="EE48" s="485"/>
    </row>
    <row r="49" spans="1:136" ht="27" customHeight="1" thickBot="1" x14ac:dyDescent="0.25">
      <c r="A49" s="24"/>
      <c r="B49" s="1680" t="s">
        <v>429</v>
      </c>
      <c r="C49" s="1681"/>
      <c r="D49" s="1682"/>
      <c r="E49" s="349" t="s">
        <v>430</v>
      </c>
      <c r="F49" s="1649"/>
      <c r="G49" s="1649"/>
      <c r="H49" s="1649"/>
      <c r="I49" s="1649"/>
      <c r="J49" s="1649"/>
      <c r="K49" s="1649"/>
      <c r="L49" s="1649"/>
      <c r="M49" s="1706"/>
      <c r="N49" s="1017" t="s">
        <v>431</v>
      </c>
      <c r="O49" s="985" t="s">
        <v>432</v>
      </c>
      <c r="P49" s="1017" t="s">
        <v>431</v>
      </c>
      <c r="Q49" s="985" t="s">
        <v>432</v>
      </c>
      <c r="R49" s="1017" t="s">
        <v>431</v>
      </c>
      <c r="S49" s="985" t="s">
        <v>432</v>
      </c>
      <c r="T49" s="1017" t="s">
        <v>431</v>
      </c>
      <c r="U49" s="985" t="s">
        <v>432</v>
      </c>
      <c r="V49" s="1017" t="s">
        <v>431</v>
      </c>
      <c r="W49" s="985" t="s">
        <v>432</v>
      </c>
      <c r="X49" s="1017" t="s">
        <v>431</v>
      </c>
      <c r="Y49" s="985" t="s">
        <v>432</v>
      </c>
      <c r="Z49" s="1017" t="s">
        <v>431</v>
      </c>
      <c r="AA49" s="601" t="s">
        <v>432</v>
      </c>
      <c r="AB49" s="160"/>
      <c r="AC49" s="491"/>
      <c r="AD49" s="54"/>
      <c r="AE49" s="1482"/>
      <c r="AF49" s="1483"/>
      <c r="AG49" s="1569" t="str">
        <f>AL49</f>
        <v>Inner row
Interior modules</v>
      </c>
      <c r="AH49" s="1278"/>
      <c r="AI49" s="1278"/>
      <c r="AJ49" s="1278"/>
      <c r="AK49" s="1279"/>
      <c r="AL49" s="1277" t="str">
        <f>AL32</f>
        <v>Inner row
Interior modules</v>
      </c>
      <c r="AM49" s="1278"/>
      <c r="AN49" s="1278"/>
      <c r="AO49" s="1278"/>
      <c r="AP49" s="1279"/>
      <c r="AQ49" s="1331" t="str">
        <f>AQ32</f>
        <v>Inner row
1st-4th module</v>
      </c>
      <c r="AR49" s="1332"/>
      <c r="AS49" s="1332"/>
      <c r="AT49" s="1332"/>
      <c r="AU49" s="1333"/>
      <c r="AV49" s="1340" t="str">
        <f>AV32</f>
        <v>Inner row
Interior modules</v>
      </c>
      <c r="AW49" s="1341"/>
      <c r="AX49" s="1341"/>
      <c r="AY49" s="1341"/>
      <c r="AZ49" s="1342"/>
      <c r="BA49" s="1349" t="str">
        <f>BA32</f>
        <v>Inner row
1st-4th module</v>
      </c>
      <c r="BB49" s="1350"/>
      <c r="BC49" s="1350"/>
      <c r="BD49" s="1350"/>
      <c r="BE49" s="1351"/>
      <c r="BF49" s="1358" t="str">
        <f>BF32</f>
        <v>Inner row
Interior modules</v>
      </c>
      <c r="BG49" s="1359"/>
      <c r="BH49" s="1359"/>
      <c r="BI49" s="1359"/>
      <c r="BJ49" s="1360"/>
      <c r="BK49" s="1367" t="str">
        <f>BK32</f>
        <v>Inner row
1st-4th module</v>
      </c>
      <c r="BL49" s="1368"/>
      <c r="BM49" s="1368"/>
      <c r="BN49" s="1368"/>
      <c r="BO49" s="1369"/>
      <c r="BP49" s="1322" t="str">
        <f>BP43</f>
        <v>Inner row
Interior modules</v>
      </c>
      <c r="BQ49" s="1323"/>
      <c r="BR49" s="1323"/>
      <c r="BS49" s="1323"/>
      <c r="BT49" s="1324"/>
      <c r="BU49" s="1427" t="str">
        <f>BU43</f>
        <v>Inner row
1st-4th module</v>
      </c>
      <c r="BV49" s="1290"/>
      <c r="BW49" s="1290"/>
      <c r="BX49" s="1290"/>
      <c r="BY49" s="1428"/>
      <c r="BZ49" s="1482"/>
      <c r="CA49" s="1483"/>
      <c r="CB49" s="360"/>
      <c r="CC49" s="485"/>
      <c r="CE49" s="491"/>
      <c r="CF49" s="54"/>
      <c r="CG49" s="1482"/>
      <c r="CH49" s="1483"/>
      <c r="CI49" s="1289" t="str">
        <f>BU49</f>
        <v>Inner row
1st-4th module</v>
      </c>
      <c r="CJ49" s="1290"/>
      <c r="CK49" s="1290"/>
      <c r="CL49" s="1290"/>
      <c r="CM49" s="1291"/>
      <c r="CN49" s="1322" t="str">
        <f t="shared" ref="CN49" si="15">BP49</f>
        <v>Inner row
Interior modules</v>
      </c>
      <c r="CO49" s="1323"/>
      <c r="CP49" s="1323"/>
      <c r="CQ49" s="1323"/>
      <c r="CR49" s="1324"/>
      <c r="CS49" s="1367" t="str">
        <f t="shared" ref="CS49" si="16">BK49</f>
        <v>Inner row
1st-4th module</v>
      </c>
      <c r="CT49" s="1368"/>
      <c r="CU49" s="1368"/>
      <c r="CV49" s="1368"/>
      <c r="CW49" s="1369"/>
      <c r="CX49" s="1358" t="str">
        <f t="shared" ref="CX49" si="17">BF49</f>
        <v>Inner row
Interior modules</v>
      </c>
      <c r="CY49" s="1359"/>
      <c r="CZ49" s="1359"/>
      <c r="DA49" s="1359"/>
      <c r="DB49" s="1360"/>
      <c r="DC49" s="1349" t="str">
        <f t="shared" ref="DC49" si="18">BA49</f>
        <v>Inner row
1st-4th module</v>
      </c>
      <c r="DD49" s="1350"/>
      <c r="DE49" s="1350"/>
      <c r="DF49" s="1350"/>
      <c r="DG49" s="1351"/>
      <c r="DH49" s="1340" t="str">
        <f t="shared" ref="DH49" si="19">AV49</f>
        <v>Inner row
Interior modules</v>
      </c>
      <c r="DI49" s="1341"/>
      <c r="DJ49" s="1341"/>
      <c r="DK49" s="1341"/>
      <c r="DL49" s="1342"/>
      <c r="DM49" s="1331" t="str">
        <f t="shared" ref="DM49" si="20">AQ49</f>
        <v>Inner row
1st-4th module</v>
      </c>
      <c r="DN49" s="1332"/>
      <c r="DO49" s="1332"/>
      <c r="DP49" s="1332"/>
      <c r="DQ49" s="1333"/>
      <c r="DR49" s="1277" t="str">
        <f t="shared" ref="DR49" si="21">AL49</f>
        <v>Inner row
Interior modules</v>
      </c>
      <c r="DS49" s="1278"/>
      <c r="DT49" s="1278"/>
      <c r="DU49" s="1278"/>
      <c r="DV49" s="1279"/>
      <c r="DW49" s="1277" t="str">
        <f t="shared" ref="DW49" si="22">AG49</f>
        <v>Inner row
Interior modules</v>
      </c>
      <c r="DX49" s="1278"/>
      <c r="DY49" s="1278"/>
      <c r="DZ49" s="1278"/>
      <c r="EA49" s="1286"/>
      <c r="EB49" s="1482"/>
      <c r="EC49" s="1483"/>
      <c r="ED49" s="360"/>
      <c r="EE49" s="485"/>
    </row>
    <row r="50" spans="1:136" ht="13.5" customHeight="1" thickTop="1" thickBot="1" x14ac:dyDescent="0.25">
      <c r="A50" s="24"/>
      <c r="B50" s="1663" t="s">
        <v>339</v>
      </c>
      <c r="C50" s="1664"/>
      <c r="D50" s="1664"/>
      <c r="E50" s="1664"/>
      <c r="F50" s="1664"/>
      <c r="G50" s="1664"/>
      <c r="H50" s="1664"/>
      <c r="I50" s="1664"/>
      <c r="J50" s="1664"/>
      <c r="K50" s="1664"/>
      <c r="L50" s="1665"/>
      <c r="M50" s="1049"/>
      <c r="N50" s="1004"/>
      <c r="O50" s="1005"/>
      <c r="P50" s="1005"/>
      <c r="Q50" s="1005"/>
      <c r="R50" s="1005"/>
      <c r="S50" s="1005"/>
      <c r="T50" s="1005"/>
      <c r="U50" s="1005"/>
      <c r="V50" s="1005"/>
      <c r="W50" s="1005"/>
      <c r="X50" s="1005"/>
      <c r="Y50" s="1005"/>
      <c r="Z50" s="1005"/>
      <c r="AA50" s="1009"/>
      <c r="AB50" s="18"/>
      <c r="AC50" s="491"/>
      <c r="AD50" s="54"/>
      <c r="AE50" s="1482"/>
      <c r="AF50" s="1483"/>
      <c r="AG50" s="1568"/>
      <c r="AH50" s="1284"/>
      <c r="AI50" s="1284"/>
      <c r="AJ50" s="1284"/>
      <c r="AK50" s="1285"/>
      <c r="AL50" s="1283"/>
      <c r="AM50" s="1284"/>
      <c r="AN50" s="1284"/>
      <c r="AO50" s="1284"/>
      <c r="AP50" s="1285"/>
      <c r="AQ50" s="1337"/>
      <c r="AR50" s="1338"/>
      <c r="AS50" s="1338"/>
      <c r="AT50" s="1338"/>
      <c r="AU50" s="1339"/>
      <c r="AV50" s="1346"/>
      <c r="AW50" s="1347"/>
      <c r="AX50" s="1347"/>
      <c r="AY50" s="1347"/>
      <c r="AZ50" s="1348"/>
      <c r="BA50" s="1355"/>
      <c r="BB50" s="1356"/>
      <c r="BC50" s="1356"/>
      <c r="BD50" s="1356"/>
      <c r="BE50" s="1357"/>
      <c r="BF50" s="1364"/>
      <c r="BG50" s="1365"/>
      <c r="BH50" s="1365"/>
      <c r="BI50" s="1365"/>
      <c r="BJ50" s="1366"/>
      <c r="BK50" s="1373"/>
      <c r="BL50" s="1374"/>
      <c r="BM50" s="1374"/>
      <c r="BN50" s="1374"/>
      <c r="BO50" s="1375"/>
      <c r="BP50" s="1325"/>
      <c r="BQ50" s="1326"/>
      <c r="BR50" s="1326"/>
      <c r="BS50" s="1326"/>
      <c r="BT50" s="1327"/>
      <c r="BU50" s="1429"/>
      <c r="BV50" s="1293"/>
      <c r="BW50" s="1293"/>
      <c r="BX50" s="1293"/>
      <c r="BY50" s="1430"/>
      <c r="BZ50" s="1482"/>
      <c r="CA50" s="1483"/>
      <c r="CB50" s="360"/>
      <c r="CC50" s="485"/>
      <c r="CE50" s="491"/>
      <c r="CF50" s="54"/>
      <c r="CG50" s="1482"/>
      <c r="CH50" s="1483"/>
      <c r="CI50" s="1292"/>
      <c r="CJ50" s="1293"/>
      <c r="CK50" s="1293"/>
      <c r="CL50" s="1293"/>
      <c r="CM50" s="1294"/>
      <c r="CN50" s="1325"/>
      <c r="CO50" s="1326"/>
      <c r="CP50" s="1326"/>
      <c r="CQ50" s="1326"/>
      <c r="CR50" s="1327"/>
      <c r="CS50" s="1373"/>
      <c r="CT50" s="1374"/>
      <c r="CU50" s="1374"/>
      <c r="CV50" s="1374"/>
      <c r="CW50" s="1375"/>
      <c r="CX50" s="1364"/>
      <c r="CY50" s="1365"/>
      <c r="CZ50" s="1365"/>
      <c r="DA50" s="1365"/>
      <c r="DB50" s="1366"/>
      <c r="DC50" s="1355"/>
      <c r="DD50" s="1356"/>
      <c r="DE50" s="1356"/>
      <c r="DF50" s="1356"/>
      <c r="DG50" s="1357"/>
      <c r="DH50" s="1346"/>
      <c r="DI50" s="1347"/>
      <c r="DJ50" s="1347"/>
      <c r="DK50" s="1347"/>
      <c r="DL50" s="1348"/>
      <c r="DM50" s="1337"/>
      <c r="DN50" s="1338"/>
      <c r="DO50" s="1338"/>
      <c r="DP50" s="1338"/>
      <c r="DQ50" s="1339"/>
      <c r="DR50" s="1283"/>
      <c r="DS50" s="1284"/>
      <c r="DT50" s="1284"/>
      <c r="DU50" s="1284"/>
      <c r="DV50" s="1285"/>
      <c r="DW50" s="1283"/>
      <c r="DX50" s="1284"/>
      <c r="DY50" s="1284"/>
      <c r="DZ50" s="1284"/>
      <c r="EA50" s="1288"/>
      <c r="EB50" s="1482"/>
      <c r="EC50" s="1483"/>
      <c r="ED50" s="360"/>
      <c r="EE50" s="485"/>
    </row>
    <row r="51" spans="1:136" ht="13.5" customHeight="1" x14ac:dyDescent="0.2">
      <c r="A51" s="24"/>
      <c r="B51" s="1580" t="s">
        <v>460</v>
      </c>
      <c r="C51" s="1581"/>
      <c r="D51" s="1582"/>
      <c r="E51" s="342" t="s">
        <v>461</v>
      </c>
      <c r="F51" s="1053" t="e">
        <f t="shared" ref="F51:F58" si="23">MAX(N51,O51)</f>
        <v>#REF!</v>
      </c>
      <c r="G51" s="1053" t="e">
        <f>MAX(P51,Q51)</f>
        <v>#REF!</v>
      </c>
      <c r="H51" s="1053" t="e">
        <f>MAX(R51,S51)</f>
        <v>#REF!</v>
      </c>
      <c r="I51" s="1061" t="e">
        <f>MAX(T51,U51)</f>
        <v>#REF!</v>
      </c>
      <c r="J51" s="1053" t="e">
        <f>MAX(V51,W51)</f>
        <v>#REF!</v>
      </c>
      <c r="K51" s="1062" t="e">
        <f>MAX(X51,Y51)</f>
        <v>#REF!</v>
      </c>
      <c r="L51" s="994">
        <f ca="1">MAX(Z51,AA51)</f>
        <v>6.6765852701187782</v>
      </c>
      <c r="M51" s="943">
        <f ca="1">L51*2.20462</f>
        <v>14.71933341820926</v>
      </c>
      <c r="N51" s="1034" t="e">
        <f>(-#REF!*COS($F$18*PI()/180)*$F$21-#REF!*COS($I$18*PI()/180)*$I$21)*$N$99*$C$25*1000/9.81/$O$47*$D$193*#REF!-$N$47/$O$47*$C$20*$F$21</f>
        <v>#REF!</v>
      </c>
      <c r="O51" s="934" t="e">
        <f>(SQRT(((-#REF!*SIN($F$18*PI()/180)*$F$21+#REF!*SIN($I$18*PI()/180)*$I$21)*$C$25*1000)^2+(0.001*$C$25*1000*$F$21)^2)/$C$30+(-#REF!*COS($F$18*PI()/180)*$F$21-#REF!*COS($I$18*PI()/180)*$I$21)*$C$25*1000)/9.81*$O$99/$O$47*$F$193*#REF!-$N$47/$O$47*$C$20*$F$21</f>
        <v>#REF!</v>
      </c>
      <c r="P51" s="405" t="e">
        <f>(-#REF!*COS($F$18*PI()/180)*$F$21-#REF!*COS($I$18*PI()/180)*$I$21)*$N$99*$C$25*1000/9.81/$Q$47*$D$193*#REF!-$P$47/$Q$47*$C$20*$F$21</f>
        <v>#REF!</v>
      </c>
      <c r="Q51" s="406" t="e">
        <f>(SQRT(((-#REF!*SIN($F$18*PI()/180)*$F$21+#REF!*SIN($I$18*PI()/180)*$I$21)*$C$25*1000)^2+(0.001*$C$25*1000*$F$21)^2)/$C$30+(-#REF!*COS($F$18*PI()/180)*$F$21-#REF!*COS($I$18*PI()/180)*$I$21)*$C$25*1000)/9.81*$O$99/$Q$47*$F$193*#REF!-$P$47/$Q$47*$C$20*$F$21</f>
        <v>#REF!</v>
      </c>
      <c r="R51" s="405" t="e">
        <f>(-#REF!*COS($F$18*PI()/180)*$F$21-#REF!*COS($I$18*PI()/180)*$I$21)*$N$99*$C$25*1000/9.81/$S$47*$D$193*#REF!-$R$47/$S$47*$C$20*$F$21</f>
        <v>#REF!</v>
      </c>
      <c r="S51" s="406" t="e">
        <f>(SQRT(((-#REF!*SIN($F$18*PI()/180)*$F$21+#REF!*SIN($I$18*PI()/180)*$I$21)*$C$25*1000)^2+(0.001*$C$25*1000*$F$21)^2)/$C$30+(-#REF!*COS($F$18*PI()/180)*$F$21-#REF!*COS($I$18*PI()/180)*$I$21)*$C$25*1000)/9.81*$O$99/$S$47*$F$193*#REF!-$R$47/$S$47*$C$20*$F$21</f>
        <v>#REF!</v>
      </c>
      <c r="T51" s="405" t="e">
        <f>(-#REF!*COS($F$18*PI()/180)*$F$21-#REF!*COS($I$18*PI()/180)*$I$21)*$N$99*$C$25*1000/9.81/$U$47*$D$193*#REF!-$T$47/$U$47*$C$20*$F$21</f>
        <v>#REF!</v>
      </c>
      <c r="U51" s="406" t="e">
        <f>(SQRT(((-#REF!*SIN($F$18*PI()/180)*$F$21+#REF!*SIN($I$18*PI()/180)*$I$21)*$C$25*1000)^2+(0.001*$C$25*1000*$F$21)^2)/$C$30+(-#REF!*COS($F$18*PI()/180)*$F$21-#REF!*COS($I$18*PI()/180)*$I$21)*$C$25*1000)/9.81*$O$99/$U$47*$F$193*#REF!-$T$47/$U$47*$C$20*$F$21</f>
        <v>#REF!</v>
      </c>
      <c r="V51" s="405" t="e">
        <f>(-#REF!*COS($F$18*PI()/180)*$F$21-#REF!*COS($I$18*PI()/180)*$I$21)*$N$99*$C$25*1000/9.81/$W$47*$D$193*#REF!-$V$47/$W$47*$C$20*$F$21</f>
        <v>#REF!</v>
      </c>
      <c r="W51" s="406" t="e">
        <f>(SQRT(((-#REF!*SIN($F$18*PI()/180)*$F$21+#REF!*SIN($I$18*PI()/180)*$I$21)*$C$25*1000)^2+(0.001*$C$25*1000*$F$21)^2)/$C$30+(-#REF!*COS($F$18*PI()/180)*$F$21-#REF!*COS($I$18*PI()/180)*$I$21)*$C$25*1000)/9.81*$O$99/$W$47*$F$193*#REF!-$V$47/$W$47*$C$20*$F$21</f>
        <v>#REF!</v>
      </c>
      <c r="X51" s="405" t="e">
        <f>(-#REF!*COS($F$18*PI()/180)*$F$21-#REF!*COS($I$18*PI()/180)*$I$21)*$N$99*$C$25*1000/9.81/$Y$47*$D$193*#REF!-$X$47/$Y$47*$C$20*$F$21</f>
        <v>#REF!</v>
      </c>
      <c r="Y51" s="406" t="e">
        <f>(SQRT(((-#REF!*SIN($F$18*PI()/180)*$F$21+#REF!*SIN($I$18*PI()/180)*$I$21)*$C$25*1000)^2+(0.001*$C$25*1000*$F$21)^2)/$C$30+(-#REF!*COS($F$18*PI()/180)*$F$21-#REF!*COS($I$18*PI()/180)*$I$21)*$C$25*1000)/9.81*$O$99/$Y$47*$F$193*#REF!-$X$47/$Y$47*$C$20*$F$21</f>
        <v>#REF!</v>
      </c>
      <c r="Z51" s="405">
        <f ca="1">(-'int. presets cp_10d+wd'!I26*COS($F$18*PI()/180)*$F$21-'int. presets cp_10d+wd'!I35*COS($I$18*PI()/180)*$I$21)*$N$99*$C$25*1000/9.81/$AA$47*$D$193*'int. presets cp_10d+wd'!$I$246-$Z$47/$AA$47*$C$20*$F$21</f>
        <v>1.2497961989189079</v>
      </c>
      <c r="AA51" s="1020">
        <f ca="1">(SQRT(((-'int. presets cp_10d+wd'!D26*SIN($F$18*PI()/180)*$F$21+'int. presets cp_10d+wd'!D35*SIN($I$18*PI()/180)*$I$21)*$C$25*1000)^2+(0.001*$C$25*1000*$F$21)^2)/$C$30+(-'int. presets cp_10d+wd'!D26*COS($F$18*PI()/180)*$F$21-'int. presets cp_10d+wd'!D35*COS($I$18*PI()/180)*$I$21)*$C$25*1000)/9.81*$O$99/$AA$47*$F$193*'int. presets cp_10d+wd'!$D$246-$Z$47/$AA$47*$C$20*$F$21</f>
        <v>6.6765852701187782</v>
      </c>
      <c r="AB51" s="18"/>
      <c r="AC51" s="491"/>
      <c r="AD51" s="54"/>
      <c r="AE51" s="1482"/>
      <c r="AF51" s="1483"/>
      <c r="AG51" s="1569" t="str">
        <f>AL51</f>
        <v>Inner row
Interior modules</v>
      </c>
      <c r="AH51" s="1278"/>
      <c r="AI51" s="1278"/>
      <c r="AJ51" s="1278"/>
      <c r="AK51" s="1279"/>
      <c r="AL51" s="1277" t="str">
        <f>AL32</f>
        <v>Inner row
Interior modules</v>
      </c>
      <c r="AM51" s="1278"/>
      <c r="AN51" s="1278"/>
      <c r="AO51" s="1278"/>
      <c r="AP51" s="1279"/>
      <c r="AQ51" s="1331" t="str">
        <f>AQ32</f>
        <v>Inner row
1st-4th module</v>
      </c>
      <c r="AR51" s="1332"/>
      <c r="AS51" s="1332"/>
      <c r="AT51" s="1332"/>
      <c r="AU51" s="1333"/>
      <c r="AV51" s="1340" t="str">
        <f>AV32</f>
        <v>Inner row
Interior modules</v>
      </c>
      <c r="AW51" s="1341"/>
      <c r="AX51" s="1341"/>
      <c r="AY51" s="1341"/>
      <c r="AZ51" s="1342"/>
      <c r="BA51" s="1349" t="str">
        <f>BA32</f>
        <v>Inner row
1st-4th module</v>
      </c>
      <c r="BB51" s="1350"/>
      <c r="BC51" s="1350"/>
      <c r="BD51" s="1350"/>
      <c r="BE51" s="1351"/>
      <c r="BF51" s="1358" t="str">
        <f>BF32</f>
        <v>Inner row
Interior modules</v>
      </c>
      <c r="BG51" s="1359"/>
      <c r="BH51" s="1359"/>
      <c r="BI51" s="1359"/>
      <c r="BJ51" s="1360"/>
      <c r="BK51" s="1367" t="str">
        <f>BK32</f>
        <v>Inner row
1st-4th module</v>
      </c>
      <c r="BL51" s="1368"/>
      <c r="BM51" s="1368"/>
      <c r="BN51" s="1368"/>
      <c r="BO51" s="1369"/>
      <c r="BP51" s="1322" t="str">
        <f>BP43</f>
        <v>Inner row
Interior modules</v>
      </c>
      <c r="BQ51" s="1323"/>
      <c r="BR51" s="1323"/>
      <c r="BS51" s="1323"/>
      <c r="BT51" s="1324"/>
      <c r="BU51" s="1427" t="str">
        <f>BU43</f>
        <v>Inner row
1st-4th module</v>
      </c>
      <c r="BV51" s="1290"/>
      <c r="BW51" s="1290"/>
      <c r="BX51" s="1290"/>
      <c r="BY51" s="1428"/>
      <c r="BZ51" s="1482"/>
      <c r="CA51" s="1483"/>
      <c r="CB51" s="488"/>
      <c r="CC51" s="485"/>
      <c r="CE51" s="491"/>
      <c r="CF51" s="54"/>
      <c r="CG51" s="1482"/>
      <c r="CH51" s="1483"/>
      <c r="CI51" s="1289" t="str">
        <f>BU51</f>
        <v>Inner row
1st-4th module</v>
      </c>
      <c r="CJ51" s="1290"/>
      <c r="CK51" s="1290"/>
      <c r="CL51" s="1290"/>
      <c r="CM51" s="1291"/>
      <c r="CN51" s="1322" t="str">
        <f>BP51</f>
        <v>Inner row
Interior modules</v>
      </c>
      <c r="CO51" s="1323"/>
      <c r="CP51" s="1323"/>
      <c r="CQ51" s="1323"/>
      <c r="CR51" s="1324"/>
      <c r="CS51" s="1367" t="str">
        <f>BK51</f>
        <v>Inner row
1st-4th module</v>
      </c>
      <c r="CT51" s="1368"/>
      <c r="CU51" s="1368"/>
      <c r="CV51" s="1368"/>
      <c r="CW51" s="1369"/>
      <c r="CX51" s="1358" t="str">
        <f>BF51</f>
        <v>Inner row
Interior modules</v>
      </c>
      <c r="CY51" s="1359"/>
      <c r="CZ51" s="1359"/>
      <c r="DA51" s="1359"/>
      <c r="DB51" s="1360"/>
      <c r="DC51" s="1349" t="str">
        <f>BA51</f>
        <v>Inner row
1st-4th module</v>
      </c>
      <c r="DD51" s="1350"/>
      <c r="DE51" s="1350"/>
      <c r="DF51" s="1350"/>
      <c r="DG51" s="1351"/>
      <c r="DH51" s="1340" t="str">
        <f>AV51</f>
        <v>Inner row
Interior modules</v>
      </c>
      <c r="DI51" s="1341"/>
      <c r="DJ51" s="1341"/>
      <c r="DK51" s="1341"/>
      <c r="DL51" s="1342"/>
      <c r="DM51" s="1331" t="str">
        <f>AQ51</f>
        <v>Inner row
1st-4th module</v>
      </c>
      <c r="DN51" s="1332"/>
      <c r="DO51" s="1332"/>
      <c r="DP51" s="1332"/>
      <c r="DQ51" s="1333"/>
      <c r="DR51" s="1277" t="str">
        <f>AL51</f>
        <v>Inner row
Interior modules</v>
      </c>
      <c r="DS51" s="1278"/>
      <c r="DT51" s="1278"/>
      <c r="DU51" s="1278"/>
      <c r="DV51" s="1279"/>
      <c r="DW51" s="1277" t="str">
        <f>AG51</f>
        <v>Inner row
Interior modules</v>
      </c>
      <c r="DX51" s="1278"/>
      <c r="DY51" s="1278"/>
      <c r="DZ51" s="1278"/>
      <c r="EA51" s="1286"/>
      <c r="EB51" s="1482"/>
      <c r="EC51" s="1483"/>
      <c r="ED51" s="488"/>
      <c r="EE51" s="485"/>
    </row>
    <row r="52" spans="1:136" ht="13.5" customHeight="1" thickBot="1" x14ac:dyDescent="0.25">
      <c r="A52" s="24"/>
      <c r="B52" s="1586"/>
      <c r="C52" s="1587"/>
      <c r="D52" s="1588"/>
      <c r="E52" s="343" t="s">
        <v>462</v>
      </c>
      <c r="F52" s="1055" t="e">
        <f t="shared" si="23"/>
        <v>#REF!</v>
      </c>
      <c r="G52" s="1055" t="e">
        <f t="shared" ref="G52:G94" si="24">MAX(P52,Q52)</f>
        <v>#REF!</v>
      </c>
      <c r="H52" s="1055" t="e">
        <f t="shared" ref="H52:H94" si="25">MAX(R52,S52)</f>
        <v>#REF!</v>
      </c>
      <c r="I52" s="1056" t="e">
        <f t="shared" ref="I52:I94" si="26">MAX(T52,U52)</f>
        <v>#REF!</v>
      </c>
      <c r="J52" s="1055" t="e">
        <f t="shared" ref="J52:J94" si="27">MAX(V52,W52)</f>
        <v>#REF!</v>
      </c>
      <c r="K52" s="1063" t="e">
        <f t="shared" ref="K52:K94" si="28">MAX(X52,Y52)</f>
        <v>#REF!</v>
      </c>
      <c r="L52" s="995">
        <f t="shared" ref="L52:L94" ca="1" si="29">MAX(Z52,AA52)</f>
        <v>6.6765852701187782</v>
      </c>
      <c r="M52" s="939">
        <f t="shared" ref="M52:M94" ca="1" si="30">L52*2.20462</f>
        <v>14.71933341820926</v>
      </c>
      <c r="N52" s="1021" t="e">
        <f>(-#REF!*COS($F$18*PI()/180)*$F$21-#REF!*COS($I$18*PI()/180)*$I$21)*$N$99*$C$25*1000/9.81/$O$47*$D$193*#REF!-$N$47/$O$47*$C$20*$F$21</f>
        <v>#REF!</v>
      </c>
      <c r="O52" s="935" t="e">
        <f>(SQRT(((-#REF!*SIN($F$18*PI()/180)*$F$21+#REF!*SIN($I$18*PI()/180)*$I$21)*$C$25*1000)^2+(0.001*$C$25*1000*$F$21)^2)/$C$30+(-#REF!*COS($F$18*PI()/180)*$F$21-#REF!*COS($I$18*PI()/180)*$I$21)*$C$25*1000)/9.81*$O$99/$O$47*$F$193*#REF!-$N$47/$O$47*$C$20*$F$21</f>
        <v>#REF!</v>
      </c>
      <c r="P52" s="407" t="e">
        <f>(-#REF!*COS($F$18*PI()/180)*$F$21-#REF!*COS($I$18*PI()/180)*$I$21)*$N$99*$C$25*1000/9.81/$Q$47*$D$193*#REF!-$P$47/$Q$47*$C$20*$F$21</f>
        <v>#REF!</v>
      </c>
      <c r="Q52" s="408" t="e">
        <f>(SQRT(((-#REF!*SIN($F$18*PI()/180)*$F$21+#REF!*SIN($I$18*PI()/180)*$I$21)*$C$25*1000)^2+(0.001*$C$25*1000*$F$21)^2)/$C$30+(-#REF!*COS($F$18*PI()/180)*$F$21-#REF!*COS($I$18*PI()/180)*$I$21)*$C$25*1000)/9.81*$O$99/$Q$47*$F$193*#REF!-$P$47/$Q$47*$C$20*$F$21</f>
        <v>#REF!</v>
      </c>
      <c r="R52" s="407" t="e">
        <f>(-#REF!*COS($F$18*PI()/180)*$F$21-#REF!*COS($I$18*PI()/180)*$I$21)*$N$99*$C$25*1000/9.81/$S$47*$D$193*#REF!-$R$47/$S$47*$C$20*$F$21</f>
        <v>#REF!</v>
      </c>
      <c r="S52" s="408" t="e">
        <f>(SQRT(((-#REF!*SIN($F$18*PI()/180)*$F$21+#REF!*SIN($I$18*PI()/180)*$I$21)*$C$25*1000)^2+(0.001*$C$25*1000*$F$21)^2)/$C$30+(-#REF!*COS($F$18*PI()/180)*$F$21-#REF!*COS($I$18*PI()/180)*$I$21)*$C$25*1000)/9.81*$O$99/$S$47*$F$193*#REF!-$R$47/$S$47*$C$20*$F$21</f>
        <v>#REF!</v>
      </c>
      <c r="T52" s="407" t="e">
        <f>(-#REF!*COS($F$18*PI()/180)*$F$21-#REF!*COS($I$18*PI()/180)*$I$21)*$N$99*$C$25*1000/9.81/$U$47*$D$193*#REF!-$T$47/$U$47*$C$20*$F$21</f>
        <v>#REF!</v>
      </c>
      <c r="U52" s="408" t="e">
        <f>(SQRT(((-#REF!*SIN($F$18*PI()/180)*$F$21+#REF!*SIN($I$18*PI()/180)*$I$21)*$C$25*1000)^2+(0.001*$C$25*1000*$F$21)^2)/$C$30+(-#REF!*COS($F$18*PI()/180)*$F$21-#REF!*COS($I$18*PI()/180)*$I$21)*$C$25*1000)/9.81*$O$99/$U$47*$F$193*#REF!-$T$47/$U$47*$C$20*$F$21</f>
        <v>#REF!</v>
      </c>
      <c r="V52" s="407" t="e">
        <f>(-#REF!*COS($F$18*PI()/180)*$F$21-#REF!*COS($I$18*PI()/180)*$I$21)*$N$99*$C$25*1000/9.81/$W$47*$D$193*#REF!-$V$47/$W$47*$C$20*$F$21</f>
        <v>#REF!</v>
      </c>
      <c r="W52" s="408" t="e">
        <f>(SQRT(((-#REF!*SIN($F$18*PI()/180)*$F$21+#REF!*SIN($I$18*PI()/180)*$I$21)*$C$25*1000)^2+(0.001*$C$25*1000*$F$21)^2)/$C$30+(-#REF!*COS($F$18*PI()/180)*$F$21-#REF!*COS($I$18*PI()/180)*$I$21)*$C$25*1000)/9.81*$O$99/$W$47*$F$193*#REF!-$V$47/$W$47*$C$20*$F$21</f>
        <v>#REF!</v>
      </c>
      <c r="X52" s="407" t="e">
        <f>(-#REF!*COS($F$18*PI()/180)*$F$21-#REF!*COS($I$18*PI()/180)*$I$21)*$N$99*$C$25*1000/9.81/$Y$47*$D$193*#REF!-$X$47/$Y$47*$C$20*$F$21</f>
        <v>#REF!</v>
      </c>
      <c r="Y52" s="408" t="e">
        <f>(SQRT(((-#REF!*SIN($F$18*PI()/180)*$F$21+#REF!*SIN($I$18*PI()/180)*$I$21)*$C$25*1000)^2+(0.001*$C$25*1000*$F$21)^2)/$C$30+(-#REF!*COS($F$18*PI()/180)*$F$21-#REF!*COS($I$18*PI()/180)*$I$21)*$C$25*1000)/9.81*$O$99/$Y$47*$F$193*#REF!-$X$47/$Y$47*$C$20*$F$21</f>
        <v>#REF!</v>
      </c>
      <c r="Z52" s="407">
        <f ca="1">(-'int. presets cp_10d+wd'!I27*COS($F$18*PI()/180)*$F$21-'int. presets cp_10d+wd'!I36*COS($I$18*PI()/180)*$I$21)*$N$99*$C$25*1000/9.81/$AA$47*$D$193*'int. presets cp_10d+wd'!$I$246-$Z$47/$AA$47*$C$20*$F$21</f>
        <v>-5.4072008894978332</v>
      </c>
      <c r="AA52" s="1022">
        <f ca="1">(SQRT(((-'int. presets cp_10d+wd'!D27*SIN($F$18*PI()/180)*$F$21+'int. presets cp_10d+wd'!D36*SIN($I$18*PI()/180)*$I$21)*$C$25*1000)^2+(0.001*$C$25*1000*$F$21)^2)/$C$30+(-'int. presets cp_10d+wd'!D27*COS($F$18*PI()/180)*$F$21-'int. presets cp_10d+wd'!D36*COS($I$18*PI()/180)*$I$21)*$C$25*1000)/9.81*$O$99/$AA$47*$F$193*'int. presets cp_10d+wd'!$D$246-$Z$47/$AA$47*$C$20*$F$21</f>
        <v>6.6765852701187782</v>
      </c>
      <c r="AB52" s="18"/>
      <c r="AC52" s="491"/>
      <c r="AD52" s="54"/>
      <c r="AE52" s="1482"/>
      <c r="AF52" s="1483"/>
      <c r="AG52" s="1567"/>
      <c r="AH52" s="1281"/>
      <c r="AI52" s="1281"/>
      <c r="AJ52" s="1281"/>
      <c r="AK52" s="1282"/>
      <c r="AL52" s="1280"/>
      <c r="AM52" s="1281"/>
      <c r="AN52" s="1281"/>
      <c r="AO52" s="1281"/>
      <c r="AP52" s="1282"/>
      <c r="AQ52" s="1334"/>
      <c r="AR52" s="1335"/>
      <c r="AS52" s="1335"/>
      <c r="AT52" s="1335"/>
      <c r="AU52" s="1336"/>
      <c r="AV52" s="1343"/>
      <c r="AW52" s="1344"/>
      <c r="AX52" s="1344"/>
      <c r="AY52" s="1344"/>
      <c r="AZ52" s="1345"/>
      <c r="BA52" s="1352"/>
      <c r="BB52" s="1353"/>
      <c r="BC52" s="1353"/>
      <c r="BD52" s="1353"/>
      <c r="BE52" s="1354"/>
      <c r="BF52" s="1361"/>
      <c r="BG52" s="1362"/>
      <c r="BH52" s="1362"/>
      <c r="BI52" s="1362"/>
      <c r="BJ52" s="1363"/>
      <c r="BK52" s="1370"/>
      <c r="BL52" s="1371"/>
      <c r="BM52" s="1371"/>
      <c r="BN52" s="1371"/>
      <c r="BO52" s="1372"/>
      <c r="BP52" s="1328"/>
      <c r="BQ52" s="1329"/>
      <c r="BR52" s="1329"/>
      <c r="BS52" s="1329"/>
      <c r="BT52" s="1330"/>
      <c r="BU52" s="1495"/>
      <c r="BV52" s="1377"/>
      <c r="BW52" s="1377"/>
      <c r="BX52" s="1377"/>
      <c r="BY52" s="1496"/>
      <c r="BZ52" s="1482"/>
      <c r="CA52" s="1483"/>
      <c r="CB52" s="360"/>
      <c r="CC52" s="604">
        <f>IF(20&lt;'building data'!$C$21,MAX(0,'building data'!$C$21-20),0)</f>
        <v>71.44</v>
      </c>
      <c r="CE52" s="491"/>
      <c r="CF52" s="54"/>
      <c r="CG52" s="1482"/>
      <c r="CH52" s="1483"/>
      <c r="CI52" s="1376"/>
      <c r="CJ52" s="1377"/>
      <c r="CK52" s="1377"/>
      <c r="CL52" s="1377"/>
      <c r="CM52" s="1378"/>
      <c r="CN52" s="1328"/>
      <c r="CO52" s="1329"/>
      <c r="CP52" s="1329"/>
      <c r="CQ52" s="1329"/>
      <c r="CR52" s="1330"/>
      <c r="CS52" s="1370"/>
      <c r="CT52" s="1371"/>
      <c r="CU52" s="1371"/>
      <c r="CV52" s="1371"/>
      <c r="CW52" s="1372"/>
      <c r="CX52" s="1361"/>
      <c r="CY52" s="1362"/>
      <c r="CZ52" s="1362"/>
      <c r="DA52" s="1362"/>
      <c r="DB52" s="1363"/>
      <c r="DC52" s="1352"/>
      <c r="DD52" s="1353"/>
      <c r="DE52" s="1353"/>
      <c r="DF52" s="1353"/>
      <c r="DG52" s="1354"/>
      <c r="DH52" s="1343"/>
      <c r="DI52" s="1344"/>
      <c r="DJ52" s="1344"/>
      <c r="DK52" s="1344"/>
      <c r="DL52" s="1345"/>
      <c r="DM52" s="1334"/>
      <c r="DN52" s="1335"/>
      <c r="DO52" s="1335"/>
      <c r="DP52" s="1335"/>
      <c r="DQ52" s="1336"/>
      <c r="DR52" s="1280"/>
      <c r="DS52" s="1281"/>
      <c r="DT52" s="1281"/>
      <c r="DU52" s="1281"/>
      <c r="DV52" s="1282"/>
      <c r="DW52" s="1280"/>
      <c r="DX52" s="1281"/>
      <c r="DY52" s="1281"/>
      <c r="DZ52" s="1281"/>
      <c r="EA52" s="1287"/>
      <c r="EB52" s="1482"/>
      <c r="EC52" s="1483"/>
      <c r="ED52" s="360"/>
      <c r="EE52" s="604">
        <f>IF(20&lt;'building data'!$C$21,MAX(0,'building data'!$C$21-20),0)</f>
        <v>71.44</v>
      </c>
    </row>
    <row r="53" spans="1:136" ht="13.5" customHeight="1" x14ac:dyDescent="0.2">
      <c r="A53" s="24"/>
      <c r="B53" s="1580" t="s">
        <v>463</v>
      </c>
      <c r="C53" s="1581">
        <v>0</v>
      </c>
      <c r="D53" s="1582" t="s">
        <v>463</v>
      </c>
      <c r="E53" s="342" t="s">
        <v>461</v>
      </c>
      <c r="F53" s="1057" t="e">
        <f t="shared" si="23"/>
        <v>#REF!</v>
      </c>
      <c r="G53" s="1057" t="e">
        <f t="shared" si="24"/>
        <v>#REF!</v>
      </c>
      <c r="H53" s="1057" t="e">
        <f t="shared" si="25"/>
        <v>#REF!</v>
      </c>
      <c r="I53" s="1054" t="e">
        <f t="shared" si="26"/>
        <v>#REF!</v>
      </c>
      <c r="J53" s="1057" t="e">
        <f t="shared" si="27"/>
        <v>#REF!</v>
      </c>
      <c r="K53" s="1064" t="e">
        <f t="shared" si="28"/>
        <v>#REF!</v>
      </c>
      <c r="L53" s="996">
        <f t="shared" ca="1" si="29"/>
        <v>6.6765852701187782</v>
      </c>
      <c r="M53" s="938">
        <f t="shared" ca="1" si="30"/>
        <v>14.71933341820926</v>
      </c>
      <c r="N53" s="1019" t="e">
        <f>(-#REF!*COS($F$18*PI()/180)*$F$21-#REF!*COS($I$18*PI()/180)*$I$21)*$N$99*$C$25*1000/9.81/$O$47*$D$193*#REF!-$N$47/$O$47*$C$20*$F$21</f>
        <v>#REF!</v>
      </c>
      <c r="O53" s="934" t="e">
        <f>(SQRT(((-#REF!*SIN($F$18*PI()/180)*$F$21+#REF!*SIN($I$18*PI()/180)*$I$21)*$C$25*1000)^2+(0.001*$C$25*1000*$F$21)^2)/$C$30+(-#REF!*COS($F$18*PI()/180)*$F$21-#REF!*COS($I$18*PI()/180)*$I$21)*$C$25*1000)/9.81*$O$99/$O$47*$F$193*#REF!-$N$47/$O$47*$C$20*$F$21</f>
        <v>#REF!</v>
      </c>
      <c r="P53" s="409" t="e">
        <f>(-#REF!*COS($F$18*PI()/180)*$F$21-#REF!*COS($I$18*PI()/180)*$I$21)*$N$99*$C$25*1000/9.81/$Q$47*$D$193*#REF!-$P$47/$Q$47*$C$20*$F$21</f>
        <v>#REF!</v>
      </c>
      <c r="Q53" s="410" t="e">
        <f>(SQRT(((-#REF!*SIN($F$18*PI()/180)*$F$21+#REF!*SIN($I$18*PI()/180)*$I$21)*$C$25*1000)^2+(0.001*$C$25*1000*$F$21)^2)/$C$30+(-#REF!*COS($F$18*PI()/180)*$F$21-#REF!*COS($I$18*PI()/180)*$I$21)*$C$25*1000)/9.81*$O$99/$Q$47*$F$193*#REF!-$P$47/$Q$47*$C$20*$F$21</f>
        <v>#REF!</v>
      </c>
      <c r="R53" s="409" t="e">
        <f>(-#REF!*COS($F$18*PI()/180)*$F$21-#REF!*COS($I$18*PI()/180)*$I$21)*$N$99*$C$25*1000/9.81/$S$47*$D$193*#REF!-$R$47/$S$47*$C$20*$F$21</f>
        <v>#REF!</v>
      </c>
      <c r="S53" s="410" t="e">
        <f>(SQRT(((-#REF!*SIN($F$18*PI()/180)*$F$21+#REF!*SIN($I$18*PI()/180)*$I$21)*$C$25*1000)^2+(0.001*$C$25*1000*$F$21)^2)/$C$30+(-#REF!*COS($F$18*PI()/180)*$F$21-#REF!*COS($I$18*PI()/180)*$I$21)*$C$25*1000)/9.81*$O$99/$S$47*$F$193*#REF!-$R$47/$S$47*$C$20*$F$21</f>
        <v>#REF!</v>
      </c>
      <c r="T53" s="409" t="e">
        <f>(-#REF!*COS($F$18*PI()/180)*$F$21-#REF!*COS($I$18*PI()/180)*$I$21)*$N$99*$C$25*1000/9.81/$U$47*$D$193*#REF!-$T$47/$U$47*$C$20*$F$21</f>
        <v>#REF!</v>
      </c>
      <c r="U53" s="410" t="e">
        <f>(SQRT(((-#REF!*SIN($F$18*PI()/180)*$F$21+#REF!*SIN($I$18*PI()/180)*$I$21)*$C$25*1000)^2+(0.001*$C$25*1000*$F$21)^2)/$C$30+(-#REF!*COS($F$18*PI()/180)*$F$21-#REF!*COS($I$18*PI()/180)*$I$21)*$C$25*1000)/9.81*$O$99/$U$47*$F$193*#REF!-$T$47/$U$47*$C$20*$F$21</f>
        <v>#REF!</v>
      </c>
      <c r="V53" s="409" t="e">
        <f>(-#REF!*COS($F$18*PI()/180)*$F$21-#REF!*COS($I$18*PI()/180)*$I$21)*$N$99*$C$25*1000/9.81/$W$47*$D$193*#REF!-$V$47/$W$47*$C$20*$F$21</f>
        <v>#REF!</v>
      </c>
      <c r="W53" s="410" t="e">
        <f>(SQRT(((-#REF!*SIN($F$18*PI()/180)*$F$21+#REF!*SIN($I$18*PI()/180)*$I$21)*$C$25*1000)^2+(0.001*$C$25*1000*$F$21)^2)/$C$30+(-#REF!*COS($F$18*PI()/180)*$F$21-#REF!*COS($I$18*PI()/180)*$I$21)*$C$25*1000)/9.81*$O$99/$W$47*$F$193*#REF!-$V$47/$W$47*$C$20*$F$21</f>
        <v>#REF!</v>
      </c>
      <c r="X53" s="409" t="e">
        <f>(-#REF!*COS($F$18*PI()/180)*$F$21-#REF!*COS($I$18*PI()/180)*$I$21)*$N$99*$C$25*1000/9.81/$Y$47*$D$193*#REF!-$X$47/$Y$47*$C$20*$F$21</f>
        <v>#REF!</v>
      </c>
      <c r="Y53" s="410" t="e">
        <f>(SQRT(((-#REF!*SIN($F$18*PI()/180)*$F$21+#REF!*SIN($I$18*PI()/180)*$I$21)*$C$25*1000)^2+(0.001*$C$25*1000*$F$21)^2)/$C$30+(-#REF!*COS($F$18*PI()/180)*$F$21-#REF!*COS($I$18*PI()/180)*$I$21)*$C$25*1000)/9.81*$O$99/$Y$47*$F$193*#REF!-$X$47/$Y$47*$C$20*$F$21</f>
        <v>#REF!</v>
      </c>
      <c r="Z53" s="409">
        <f ca="1">(-'int. presets cp_10d+wd'!I28*COS($F$18*PI()/180)*$F$21-'int. presets cp_10d+wd'!I37*COS($I$18*PI()/180)*$I$21)*$N$99*$C$25*1000/9.81/$AA$47*$D$193*'int. presets cp_10d+wd'!$I$246-$Z$47/$AA$47*$C$20*$F$21</f>
        <v>3.2093213757527934</v>
      </c>
      <c r="AA53" s="1024">
        <f ca="1">(SQRT(((-'int. presets cp_10d+wd'!D28*SIN($F$18*PI()/180)*$F$21+'int. presets cp_10d+wd'!D37*SIN($I$18*PI()/180)*$I$21)*$C$25*1000)^2+(0.001*$C$25*1000*$F$21)^2)/$C$30+(-'int. presets cp_10d+wd'!D28*COS($F$18*PI()/180)*$F$21-'int. presets cp_10d+wd'!D37*COS($I$18*PI()/180)*$I$21)*$C$25*1000)/9.81*$O$99/$AA$47*$F$193*'int. presets cp_10d+wd'!$D$246-$Z$47/$AA$47*$C$20*$F$21</f>
        <v>6.6765852701187782</v>
      </c>
      <c r="AB53" s="18"/>
      <c r="AC53" s="491"/>
      <c r="AD53" s="54"/>
      <c r="AE53" s="1482"/>
      <c r="AF53" s="1483"/>
      <c r="AG53" s="1568"/>
      <c r="AH53" s="1284"/>
      <c r="AI53" s="1284"/>
      <c r="AJ53" s="1284"/>
      <c r="AK53" s="1285"/>
      <c r="AL53" s="1283"/>
      <c r="AM53" s="1284"/>
      <c r="AN53" s="1284"/>
      <c r="AO53" s="1284"/>
      <c r="AP53" s="1285"/>
      <c r="AQ53" s="1337"/>
      <c r="AR53" s="1338"/>
      <c r="AS53" s="1338"/>
      <c r="AT53" s="1338"/>
      <c r="AU53" s="1339"/>
      <c r="AV53" s="1346"/>
      <c r="AW53" s="1347"/>
      <c r="AX53" s="1347"/>
      <c r="AY53" s="1347"/>
      <c r="AZ53" s="1348"/>
      <c r="BA53" s="1355"/>
      <c r="BB53" s="1356"/>
      <c r="BC53" s="1356"/>
      <c r="BD53" s="1356"/>
      <c r="BE53" s="1357"/>
      <c r="BF53" s="1364"/>
      <c r="BG53" s="1365"/>
      <c r="BH53" s="1365"/>
      <c r="BI53" s="1365"/>
      <c r="BJ53" s="1366"/>
      <c r="BK53" s="1373"/>
      <c r="BL53" s="1374"/>
      <c r="BM53" s="1374"/>
      <c r="BN53" s="1374"/>
      <c r="BO53" s="1375"/>
      <c r="BP53" s="1325"/>
      <c r="BQ53" s="1326"/>
      <c r="BR53" s="1326"/>
      <c r="BS53" s="1326"/>
      <c r="BT53" s="1327"/>
      <c r="BU53" s="1429"/>
      <c r="BV53" s="1293"/>
      <c r="BW53" s="1293"/>
      <c r="BX53" s="1293"/>
      <c r="BY53" s="1430"/>
      <c r="BZ53" s="1482"/>
      <c r="CA53" s="1483"/>
      <c r="CB53" s="360"/>
      <c r="CC53" s="602" t="s">
        <v>0</v>
      </c>
      <c r="CE53" s="491"/>
      <c r="CF53" s="54"/>
      <c r="CG53" s="1482"/>
      <c r="CH53" s="1483"/>
      <c r="CI53" s="1292"/>
      <c r="CJ53" s="1293"/>
      <c r="CK53" s="1293"/>
      <c r="CL53" s="1293"/>
      <c r="CM53" s="1294"/>
      <c r="CN53" s="1325"/>
      <c r="CO53" s="1326"/>
      <c r="CP53" s="1326"/>
      <c r="CQ53" s="1326"/>
      <c r="CR53" s="1327"/>
      <c r="CS53" s="1373"/>
      <c r="CT53" s="1374"/>
      <c r="CU53" s="1374"/>
      <c r="CV53" s="1374"/>
      <c r="CW53" s="1375"/>
      <c r="CX53" s="1364"/>
      <c r="CY53" s="1365"/>
      <c r="CZ53" s="1365"/>
      <c r="DA53" s="1365"/>
      <c r="DB53" s="1366"/>
      <c r="DC53" s="1355"/>
      <c r="DD53" s="1356"/>
      <c r="DE53" s="1356"/>
      <c r="DF53" s="1356"/>
      <c r="DG53" s="1357"/>
      <c r="DH53" s="1346"/>
      <c r="DI53" s="1347"/>
      <c r="DJ53" s="1347"/>
      <c r="DK53" s="1347"/>
      <c r="DL53" s="1348"/>
      <c r="DM53" s="1337"/>
      <c r="DN53" s="1338"/>
      <c r="DO53" s="1338"/>
      <c r="DP53" s="1338"/>
      <c r="DQ53" s="1339"/>
      <c r="DR53" s="1283"/>
      <c r="DS53" s="1284"/>
      <c r="DT53" s="1284"/>
      <c r="DU53" s="1284"/>
      <c r="DV53" s="1285"/>
      <c r="DW53" s="1283"/>
      <c r="DX53" s="1284"/>
      <c r="DY53" s="1284"/>
      <c r="DZ53" s="1284"/>
      <c r="EA53" s="1288"/>
      <c r="EB53" s="1482"/>
      <c r="EC53" s="1483"/>
      <c r="ED53" s="360"/>
      <c r="EE53" s="602" t="s">
        <v>0</v>
      </c>
    </row>
    <row r="54" spans="1:136" ht="13.5" customHeight="1" thickBot="1" x14ac:dyDescent="0.25">
      <c r="A54" s="24"/>
      <c r="B54" s="1586" t="e">
        <v>#REF!</v>
      </c>
      <c r="C54" s="1587">
        <v>0</v>
      </c>
      <c r="D54" s="1588">
        <v>0</v>
      </c>
      <c r="E54" s="343" t="s">
        <v>462</v>
      </c>
      <c r="F54" s="1055" t="e">
        <f t="shared" si="23"/>
        <v>#REF!</v>
      </c>
      <c r="G54" s="1055" t="e">
        <f t="shared" si="24"/>
        <v>#REF!</v>
      </c>
      <c r="H54" s="1055" t="e">
        <f t="shared" si="25"/>
        <v>#REF!</v>
      </c>
      <c r="I54" s="1056" t="e">
        <f t="shared" si="26"/>
        <v>#REF!</v>
      </c>
      <c r="J54" s="1055" t="e">
        <f t="shared" si="27"/>
        <v>#REF!</v>
      </c>
      <c r="K54" s="1063" t="e">
        <f t="shared" si="28"/>
        <v>#REF!</v>
      </c>
      <c r="L54" s="995">
        <f t="shared" ca="1" si="29"/>
        <v>6.6765852701187782</v>
      </c>
      <c r="M54" s="939">
        <f t="shared" ca="1" si="30"/>
        <v>14.71933341820926</v>
      </c>
      <c r="N54" s="1021" t="e">
        <f>(-#REF!*COS($F$18*PI()/180)*$F$21-#REF!*COS($I$18*PI()/180)*$I$21)*$N$99*$C$25*1000/9.81/$O$47*$D$193*#REF!-$N$47/$O$47*$C$20*$F$21</f>
        <v>#REF!</v>
      </c>
      <c r="O54" s="935" t="e">
        <f>(SQRT(((-#REF!*SIN($F$18*PI()/180)*$F$21+#REF!*SIN($I$18*PI()/180)*$I$21)*$C$25*1000)^2+(0.001*$C$25*1000*$F$21)^2)/$C$30+(-#REF!*COS($F$18*PI()/180)*$F$21-#REF!*COS($I$18*PI()/180)*$I$21)*$C$25*1000)/9.81*$O$99/$O$47*$F$193*#REF!-$N$47/$O$47*$C$20*$F$21</f>
        <v>#REF!</v>
      </c>
      <c r="P54" s="407" t="e">
        <f>(-#REF!*COS($F$18*PI()/180)*$F$21-#REF!*COS($I$18*PI()/180)*$I$21)*$N$99*$C$25*1000/9.81/$Q$47*$D$193*#REF!-$P$47/$Q$47*$C$20*$F$21</f>
        <v>#REF!</v>
      </c>
      <c r="Q54" s="408" t="e">
        <f>(SQRT(((-#REF!*SIN($F$18*PI()/180)*$F$21+#REF!*SIN($I$18*PI()/180)*$I$21)*$C$25*1000)^2+(0.001*$C$25*1000*$F$21)^2)/$C$30+(-#REF!*COS($F$18*PI()/180)*$F$21-#REF!*COS($I$18*PI()/180)*$I$21)*$C$25*1000)/9.81*$O$99/$Q$47*$F$193*#REF!-$P$47/$Q$47*$C$20*$F$21</f>
        <v>#REF!</v>
      </c>
      <c r="R54" s="407" t="e">
        <f>(-#REF!*COS($F$18*PI()/180)*$F$21-#REF!*COS($I$18*PI()/180)*$I$21)*$N$99*$C$25*1000/9.81/$S$47*$D$193*#REF!-$R$47/$S$47*$C$20*$F$21</f>
        <v>#REF!</v>
      </c>
      <c r="S54" s="408" t="e">
        <f>(SQRT(((-#REF!*SIN($F$18*PI()/180)*$F$21+#REF!*SIN($I$18*PI()/180)*$I$21)*$C$25*1000)^2+(0.001*$C$25*1000*$F$21)^2)/$C$30+(-#REF!*COS($F$18*PI()/180)*$F$21-#REF!*COS($I$18*PI()/180)*$I$21)*$C$25*1000)/9.81*$O$99/$S$47*$F$193*#REF!-$R$47/$S$47*$C$20*$F$21</f>
        <v>#REF!</v>
      </c>
      <c r="T54" s="407" t="e">
        <f>(-#REF!*COS($F$18*PI()/180)*$F$21-#REF!*COS($I$18*PI()/180)*$I$21)*$N$99*$C$25*1000/9.81/$U$47*$D$193*#REF!-$T$47/$U$47*$C$20*$F$21</f>
        <v>#REF!</v>
      </c>
      <c r="U54" s="408" t="e">
        <f>(SQRT(((-#REF!*SIN($F$18*PI()/180)*$F$21+#REF!*SIN($I$18*PI()/180)*$I$21)*$C$25*1000)^2+(0.001*$C$25*1000*$F$21)^2)/$C$30+(-#REF!*COS($F$18*PI()/180)*$F$21-#REF!*COS($I$18*PI()/180)*$I$21)*$C$25*1000)/9.81*$O$99/$U$47*$F$193*#REF!-$T$47/$U$47*$C$20*$F$21</f>
        <v>#REF!</v>
      </c>
      <c r="V54" s="407" t="e">
        <f>(-#REF!*COS($F$18*PI()/180)*$F$21-#REF!*COS($I$18*PI()/180)*$I$21)*$N$99*$C$25*1000/9.81/$W$47*$D$193*#REF!-$V$47/$W$47*$C$20*$F$21</f>
        <v>#REF!</v>
      </c>
      <c r="W54" s="408" t="e">
        <f>(SQRT(((-#REF!*SIN($F$18*PI()/180)*$F$21+#REF!*SIN($I$18*PI()/180)*$I$21)*$C$25*1000)^2+(0.001*$C$25*1000*$F$21)^2)/$C$30+(-#REF!*COS($F$18*PI()/180)*$F$21-#REF!*COS($I$18*PI()/180)*$I$21)*$C$25*1000)/9.81*$O$99/$W$47*$F$193*#REF!-$V$47/$W$47*$C$20*$F$21</f>
        <v>#REF!</v>
      </c>
      <c r="X54" s="407" t="e">
        <f>(-#REF!*COS($F$18*PI()/180)*$F$21-#REF!*COS($I$18*PI()/180)*$I$21)*$N$99*$C$25*1000/9.81/$Y$47*$D$193*#REF!-$X$47/$Y$47*$C$20*$F$21</f>
        <v>#REF!</v>
      </c>
      <c r="Y54" s="408" t="e">
        <f>(SQRT(((-#REF!*SIN($F$18*PI()/180)*$F$21+#REF!*SIN($I$18*PI()/180)*$I$21)*$C$25*1000)^2+(0.001*$C$25*1000*$F$21)^2)/$C$30+(-#REF!*COS($F$18*PI()/180)*$F$21-#REF!*COS($I$18*PI()/180)*$I$21)*$C$25*1000)/9.81*$O$99/$Y$47*$F$193*#REF!-$X$47/$Y$47*$C$20*$F$21</f>
        <v>#REF!</v>
      </c>
      <c r="Z54" s="407">
        <f ca="1">(-'int. presets cp_10d+wd'!I29*COS($F$18*PI()/180)*$F$21-'int. presets cp_10d+wd'!I38*COS($I$18*PI()/180)*$I$21)*$N$99*$C$25*1000/9.81/$AA$47*$D$193*'int. presets cp_10d+wd'!$I$246-$Z$47/$AA$47*$C$20*$F$21</f>
        <v>-5.4072008894978332</v>
      </c>
      <c r="AA54" s="1022">
        <f ca="1">(SQRT(((-'int. presets cp_10d+wd'!D29*SIN($F$18*PI()/180)*$F$21+'int. presets cp_10d+wd'!D38*SIN($I$18*PI()/180)*$I$21)*$C$25*1000)^2+(0.001*$C$25*1000*$F$21)^2)/$C$30+(-'int. presets cp_10d+wd'!D29*COS($F$18*PI()/180)*$F$21-'int. presets cp_10d+wd'!D38*COS($I$18*PI()/180)*$I$21)*$C$25*1000)/9.81*$O$99/$AA$47*$F$193*'int. presets cp_10d+wd'!$D$246-$Z$47/$AA$47*$C$20*$F$21</f>
        <v>6.6765852701187782</v>
      </c>
      <c r="AB54" s="18"/>
      <c r="AC54" s="491"/>
      <c r="AD54" s="54"/>
      <c r="AE54" s="1482"/>
      <c r="AF54" s="1483"/>
      <c r="AG54" s="1569" t="str">
        <f>AL51</f>
        <v>Inner row
Interior modules</v>
      </c>
      <c r="AH54" s="1278"/>
      <c r="AI54" s="1278"/>
      <c r="AJ54" s="1278"/>
      <c r="AK54" s="1279"/>
      <c r="AL54" s="1277" t="str">
        <f>AL32</f>
        <v>Inner row
Interior modules</v>
      </c>
      <c r="AM54" s="1278"/>
      <c r="AN54" s="1278"/>
      <c r="AO54" s="1278"/>
      <c r="AP54" s="1279"/>
      <c r="AQ54" s="1331" t="str">
        <f>AQ32</f>
        <v>Inner row
1st-4th module</v>
      </c>
      <c r="AR54" s="1332"/>
      <c r="AS54" s="1332"/>
      <c r="AT54" s="1332"/>
      <c r="AU54" s="1333"/>
      <c r="AV54" s="1340" t="str">
        <f>AV32</f>
        <v>Inner row
Interior modules</v>
      </c>
      <c r="AW54" s="1341"/>
      <c r="AX54" s="1341"/>
      <c r="AY54" s="1341"/>
      <c r="AZ54" s="1342"/>
      <c r="BA54" s="1349" t="str">
        <f>BA32</f>
        <v>Inner row
1st-4th module</v>
      </c>
      <c r="BB54" s="1350"/>
      <c r="BC54" s="1350"/>
      <c r="BD54" s="1350"/>
      <c r="BE54" s="1351"/>
      <c r="BF54" s="1358" t="str">
        <f>BF32</f>
        <v>Inner row
Interior modules</v>
      </c>
      <c r="BG54" s="1359"/>
      <c r="BH54" s="1359"/>
      <c r="BI54" s="1359"/>
      <c r="BJ54" s="1360"/>
      <c r="BK54" s="1500" t="str">
        <f>BK32</f>
        <v>Inner row
1st-4th module</v>
      </c>
      <c r="BL54" s="1501"/>
      <c r="BM54" s="1501"/>
      <c r="BN54" s="1501"/>
      <c r="BO54" s="1502"/>
      <c r="BP54" s="1322" t="str">
        <f>BP43</f>
        <v>Inner row
Interior modules</v>
      </c>
      <c r="BQ54" s="1323"/>
      <c r="BR54" s="1323"/>
      <c r="BS54" s="1323"/>
      <c r="BT54" s="1324"/>
      <c r="BU54" s="1427" t="str">
        <f>BU43</f>
        <v>Inner row
1st-4th module</v>
      </c>
      <c r="BV54" s="1290"/>
      <c r="BW54" s="1290"/>
      <c r="BX54" s="1290"/>
      <c r="BY54" s="1428"/>
      <c r="BZ54" s="1482"/>
      <c r="CA54" s="1483"/>
      <c r="CB54" s="361"/>
      <c r="CC54" s="1276" t="s">
        <v>76</v>
      </c>
      <c r="CE54" s="491"/>
      <c r="CF54" s="54"/>
      <c r="CG54" s="1482"/>
      <c r="CH54" s="1483"/>
      <c r="CI54" s="1289" t="str">
        <f>BU54</f>
        <v>Inner row
1st-4th module</v>
      </c>
      <c r="CJ54" s="1290"/>
      <c r="CK54" s="1290"/>
      <c r="CL54" s="1290"/>
      <c r="CM54" s="1291"/>
      <c r="CN54" s="1322" t="str">
        <f>BP54</f>
        <v>Inner row
Interior modules</v>
      </c>
      <c r="CO54" s="1323"/>
      <c r="CP54" s="1323"/>
      <c r="CQ54" s="1323"/>
      <c r="CR54" s="1324"/>
      <c r="CS54" s="1295" t="str">
        <f>BK54</f>
        <v>Inner row
1st-4th module</v>
      </c>
      <c r="CT54" s="1296"/>
      <c r="CU54" s="1296"/>
      <c r="CV54" s="1296"/>
      <c r="CW54" s="1297"/>
      <c r="CX54" s="1358" t="str">
        <f>BF54</f>
        <v>Inner row
Interior modules</v>
      </c>
      <c r="CY54" s="1359"/>
      <c r="CZ54" s="1359"/>
      <c r="DA54" s="1359"/>
      <c r="DB54" s="1360"/>
      <c r="DC54" s="1349" t="str">
        <f>BA54</f>
        <v>Inner row
1st-4th module</v>
      </c>
      <c r="DD54" s="1350"/>
      <c r="DE54" s="1350"/>
      <c r="DF54" s="1350"/>
      <c r="DG54" s="1351"/>
      <c r="DH54" s="1340" t="str">
        <f>AV54</f>
        <v>Inner row
Interior modules</v>
      </c>
      <c r="DI54" s="1341"/>
      <c r="DJ54" s="1341"/>
      <c r="DK54" s="1341"/>
      <c r="DL54" s="1342"/>
      <c r="DM54" s="1331" t="str">
        <f>AQ54</f>
        <v>Inner row
1st-4th module</v>
      </c>
      <c r="DN54" s="1332"/>
      <c r="DO54" s="1332"/>
      <c r="DP54" s="1332"/>
      <c r="DQ54" s="1333"/>
      <c r="DR54" s="1277" t="str">
        <f>AL54</f>
        <v>Inner row
Interior modules</v>
      </c>
      <c r="DS54" s="1278"/>
      <c r="DT54" s="1278"/>
      <c r="DU54" s="1278"/>
      <c r="DV54" s="1279"/>
      <c r="DW54" s="1277" t="str">
        <f>AG54</f>
        <v>Inner row
Interior modules</v>
      </c>
      <c r="DX54" s="1278"/>
      <c r="DY54" s="1278"/>
      <c r="DZ54" s="1278"/>
      <c r="EA54" s="1286"/>
      <c r="EB54" s="1482"/>
      <c r="EC54" s="1483"/>
      <c r="ED54" s="361"/>
      <c r="EE54" s="1276" t="s">
        <v>76</v>
      </c>
    </row>
    <row r="55" spans="1:136" ht="13.5" customHeight="1" x14ac:dyDescent="0.2">
      <c r="A55" s="24"/>
      <c r="B55" s="1580" t="s">
        <v>464</v>
      </c>
      <c r="C55" s="1581">
        <v>0</v>
      </c>
      <c r="D55" s="1582" t="s">
        <v>464</v>
      </c>
      <c r="E55" s="342" t="s">
        <v>461</v>
      </c>
      <c r="F55" s="1057" t="e">
        <f t="shared" si="23"/>
        <v>#REF!</v>
      </c>
      <c r="G55" s="1057" t="e">
        <f t="shared" si="24"/>
        <v>#REF!</v>
      </c>
      <c r="H55" s="1057" t="e">
        <f t="shared" si="25"/>
        <v>#REF!</v>
      </c>
      <c r="I55" s="1054" t="e">
        <f t="shared" si="26"/>
        <v>#REF!</v>
      </c>
      <c r="J55" s="1057" t="e">
        <f t="shared" si="27"/>
        <v>#REF!</v>
      </c>
      <c r="K55" s="1064" t="e">
        <f t="shared" si="28"/>
        <v>#REF!</v>
      </c>
      <c r="L55" s="996">
        <f t="shared" ca="1" si="29"/>
        <v>6.6765852701187782</v>
      </c>
      <c r="M55" s="938">
        <f t="shared" ca="1" si="30"/>
        <v>14.71933341820926</v>
      </c>
      <c r="N55" s="1019" t="e">
        <f>(-#REF!*COS($F$18*PI()/180)*$F$21-#REF!*COS($I$18*PI()/180)*$I$21)*$N$99*$C$25*1000/9.81/$O$47*$D$193*#REF!-$N$47/$O$47*$C$20*$F$21</f>
        <v>#REF!</v>
      </c>
      <c r="O55" s="934" t="e">
        <f>(SQRT(((-#REF!*SIN($F$18*PI()/180)*$F$21+#REF!*SIN($I$18*PI()/180)*$I$21)*$C$25*1000)^2+(0.001*$C$25*1000*$F$21)^2)/$C$30+(-#REF!*COS($F$18*PI()/180)*$F$21-#REF!*COS($I$18*PI()/180)*$I$21)*$C$25*1000)/9.81*$O$99/$O$47*$F$193*#REF!-$N$47/$O$47*$C$20*$F$21</f>
        <v>#REF!</v>
      </c>
      <c r="P55" s="409" t="e">
        <f>(-#REF!*COS($F$18*PI()/180)*$F$21-#REF!*COS($I$18*PI()/180)*$I$21)*$N$99*$C$25*1000/9.81/$Q$47*$D$193*#REF!-$P$47/$Q$47*$C$20*$F$21</f>
        <v>#REF!</v>
      </c>
      <c r="Q55" s="410" t="e">
        <f>(SQRT(((-#REF!*SIN($F$18*PI()/180)*$F$21+#REF!*SIN($I$18*PI()/180)*$I$21)*$C$25*1000)^2+(0.001*$C$25*1000*$F$21)^2)/$C$30+(-#REF!*COS($F$18*PI()/180)*$F$21-#REF!*COS($I$18*PI()/180)*$I$21)*$C$25*1000)/9.81*$O$99/$Q$47*$F$193*#REF!-$P$47/$Q$47*$C$20*$F$21</f>
        <v>#REF!</v>
      </c>
      <c r="R55" s="409" t="e">
        <f>(-#REF!*COS($F$18*PI()/180)*$F$21-#REF!*COS($I$18*PI()/180)*$I$21)*$N$99*$C$25*1000/9.81/$S$47*$D$193*#REF!-$R$47/$S$47*$C$20*$F$21</f>
        <v>#REF!</v>
      </c>
      <c r="S55" s="410" t="e">
        <f>(SQRT(((-#REF!*SIN($F$18*PI()/180)*$F$21+#REF!*SIN($I$18*PI()/180)*$I$21)*$C$25*1000)^2+(0.001*$C$25*1000*$F$21)^2)/$C$30+(-#REF!*COS($F$18*PI()/180)*$F$21-#REF!*COS($I$18*PI()/180)*$I$21)*$C$25*1000)/9.81*$O$99/$S$47*$F$193*#REF!-$R$47/$S$47*$C$20*$F$21</f>
        <v>#REF!</v>
      </c>
      <c r="T55" s="409" t="e">
        <f>(-#REF!*COS($F$18*PI()/180)*$F$21-#REF!*COS($I$18*PI()/180)*$I$21)*$N$99*$C$25*1000/9.81/$U$47*$D$193*#REF!-$T$47/$U$47*$C$20*$F$21</f>
        <v>#REF!</v>
      </c>
      <c r="U55" s="410" t="e">
        <f>(SQRT(((-#REF!*SIN($F$18*PI()/180)*$F$21+#REF!*SIN($I$18*PI()/180)*$I$21)*$C$25*1000)^2+(0.001*$C$25*1000*$F$21)^2)/$C$30+(-#REF!*COS($F$18*PI()/180)*$F$21-#REF!*COS($I$18*PI()/180)*$I$21)*$C$25*1000)/9.81*$O$99/$U$47*$F$193*#REF!-$T$47/$U$47*$C$20*$F$21</f>
        <v>#REF!</v>
      </c>
      <c r="V55" s="409" t="e">
        <f>(-#REF!*COS($F$18*PI()/180)*$F$21-#REF!*COS($I$18*PI()/180)*$I$21)*$N$99*$C$25*1000/9.81/$W$47*$D$193*#REF!-$V$47/$W$47*$C$20*$F$21</f>
        <v>#REF!</v>
      </c>
      <c r="W55" s="410" t="e">
        <f>(SQRT(((-#REF!*SIN($F$18*PI()/180)*$F$21+#REF!*SIN($I$18*PI()/180)*$I$21)*$C$25*1000)^2+(0.001*$C$25*1000*$F$21)^2)/$C$30+(-#REF!*COS($F$18*PI()/180)*$F$21-#REF!*COS($I$18*PI()/180)*$I$21)*$C$25*1000)/9.81*$O$99/$W$47*$F$193*#REF!-$V$47/$W$47*$C$20*$F$21</f>
        <v>#REF!</v>
      </c>
      <c r="X55" s="409" t="e">
        <f>(-#REF!*COS($F$18*PI()/180)*$F$21-#REF!*COS($I$18*PI()/180)*$I$21)*$N$99*$C$25*1000/9.81/$Y$47*$D$193*#REF!-$X$47/$Y$47*$C$20*$F$21</f>
        <v>#REF!</v>
      </c>
      <c r="Y55" s="410" t="e">
        <f>(SQRT(((-#REF!*SIN($F$18*PI()/180)*$F$21+#REF!*SIN($I$18*PI()/180)*$I$21)*$C$25*1000)^2+(0.001*$C$25*1000*$F$21)^2)/$C$30+(-#REF!*COS($F$18*PI()/180)*$F$21-#REF!*COS($I$18*PI()/180)*$I$21)*$C$25*1000)/9.81*$O$99/$Y$47*$F$193*#REF!-$X$47/$Y$47*$C$20*$F$21</f>
        <v>#REF!</v>
      </c>
      <c r="Z55" s="409">
        <f ca="1">(-'int. presets cp_10d+wd'!I30*COS($F$18*PI()/180)*$F$21-'int. presets cp_10d+wd'!I39*COS($I$18*PI()/180)*$I$21)*$N$99*$C$25*1000/9.81/$AA$47*$D$193*'int. presets cp_10d+wd'!$I$246-$Z$47/$AA$47*$C$20*$F$21</f>
        <v>-1.5187762391853177</v>
      </c>
      <c r="AA55" s="1024">
        <f ca="1">(SQRT(((-'int. presets cp_10d+wd'!D30*SIN($F$18*PI()/180)*$F$21+'int. presets cp_10d+wd'!D39*SIN($I$18*PI()/180)*$I$21)*$C$25*1000)^2+(0.001*$C$25*1000*$F$21)^2)/$C$30+(-'int. presets cp_10d+wd'!D30*COS($F$18*PI()/180)*$F$21-'int. presets cp_10d+wd'!D39*COS($I$18*PI()/180)*$I$21)*$C$25*1000)/9.81*$O$99/$AA$47*$F$193*'int. presets cp_10d+wd'!$D$246-$Z$47/$AA$47*$C$20*$F$21</f>
        <v>6.6765852701187782</v>
      </c>
      <c r="AB55" s="18"/>
      <c r="AC55" s="493"/>
      <c r="AD55" s="54"/>
      <c r="AE55" s="1482"/>
      <c r="AF55" s="1483"/>
      <c r="AG55" s="1567"/>
      <c r="AH55" s="1281"/>
      <c r="AI55" s="1281"/>
      <c r="AJ55" s="1281"/>
      <c r="AK55" s="1282"/>
      <c r="AL55" s="1280"/>
      <c r="AM55" s="1281"/>
      <c r="AN55" s="1281"/>
      <c r="AO55" s="1281"/>
      <c r="AP55" s="1282"/>
      <c r="AQ55" s="1334"/>
      <c r="AR55" s="1335"/>
      <c r="AS55" s="1335"/>
      <c r="AT55" s="1335"/>
      <c r="AU55" s="1336"/>
      <c r="AV55" s="1343"/>
      <c r="AW55" s="1344"/>
      <c r="AX55" s="1344"/>
      <c r="AY55" s="1344"/>
      <c r="AZ55" s="1345"/>
      <c r="BA55" s="1352"/>
      <c r="BB55" s="1353"/>
      <c r="BC55" s="1353"/>
      <c r="BD55" s="1353"/>
      <c r="BE55" s="1354"/>
      <c r="BF55" s="1361"/>
      <c r="BG55" s="1362"/>
      <c r="BH55" s="1362"/>
      <c r="BI55" s="1362"/>
      <c r="BJ55" s="1363"/>
      <c r="BK55" s="1503"/>
      <c r="BL55" s="1504"/>
      <c r="BM55" s="1504"/>
      <c r="BN55" s="1504"/>
      <c r="BO55" s="1505"/>
      <c r="BP55" s="1328"/>
      <c r="BQ55" s="1329"/>
      <c r="BR55" s="1329"/>
      <c r="BS55" s="1329"/>
      <c r="BT55" s="1330"/>
      <c r="BU55" s="1495"/>
      <c r="BV55" s="1377"/>
      <c r="BW55" s="1377"/>
      <c r="BX55" s="1377"/>
      <c r="BY55" s="1496"/>
      <c r="BZ55" s="1482"/>
      <c r="CA55" s="1483"/>
      <c r="CB55" s="361"/>
      <c r="CC55" s="1276"/>
      <c r="CE55" s="493"/>
      <c r="CF55" s="54"/>
      <c r="CG55" s="1482"/>
      <c r="CH55" s="1483"/>
      <c r="CI55" s="1376"/>
      <c r="CJ55" s="1377"/>
      <c r="CK55" s="1377"/>
      <c r="CL55" s="1377"/>
      <c r="CM55" s="1378"/>
      <c r="CN55" s="1328"/>
      <c r="CO55" s="1329"/>
      <c r="CP55" s="1329"/>
      <c r="CQ55" s="1329"/>
      <c r="CR55" s="1330"/>
      <c r="CS55" s="1298"/>
      <c r="CT55" s="1299"/>
      <c r="CU55" s="1299"/>
      <c r="CV55" s="1299"/>
      <c r="CW55" s="1300"/>
      <c r="CX55" s="1361"/>
      <c r="CY55" s="1362"/>
      <c r="CZ55" s="1362"/>
      <c r="DA55" s="1362"/>
      <c r="DB55" s="1363"/>
      <c r="DC55" s="1352"/>
      <c r="DD55" s="1353"/>
      <c r="DE55" s="1353"/>
      <c r="DF55" s="1353"/>
      <c r="DG55" s="1354"/>
      <c r="DH55" s="1343"/>
      <c r="DI55" s="1344"/>
      <c r="DJ55" s="1344"/>
      <c r="DK55" s="1344"/>
      <c r="DL55" s="1345"/>
      <c r="DM55" s="1334"/>
      <c r="DN55" s="1335"/>
      <c r="DO55" s="1335"/>
      <c r="DP55" s="1335"/>
      <c r="DQ55" s="1336"/>
      <c r="DR55" s="1280"/>
      <c r="DS55" s="1281"/>
      <c r="DT55" s="1281"/>
      <c r="DU55" s="1281"/>
      <c r="DV55" s="1282"/>
      <c r="DW55" s="1280"/>
      <c r="DX55" s="1281"/>
      <c r="DY55" s="1281"/>
      <c r="DZ55" s="1281"/>
      <c r="EA55" s="1287"/>
      <c r="EB55" s="1482"/>
      <c r="EC55" s="1483"/>
      <c r="ED55" s="361"/>
      <c r="EE55" s="1276"/>
    </row>
    <row r="56" spans="1:136" ht="13.5" customHeight="1" thickBot="1" x14ac:dyDescent="0.25">
      <c r="A56" s="24"/>
      <c r="B56" s="1586" t="e">
        <v>#REF!</v>
      </c>
      <c r="C56" s="1587">
        <v>0</v>
      </c>
      <c r="D56" s="1588">
        <v>0</v>
      </c>
      <c r="E56" s="343" t="s">
        <v>462</v>
      </c>
      <c r="F56" s="1055" t="e">
        <f t="shared" si="23"/>
        <v>#REF!</v>
      </c>
      <c r="G56" s="1055" t="e">
        <f t="shared" si="24"/>
        <v>#REF!</v>
      </c>
      <c r="H56" s="1055" t="e">
        <f t="shared" si="25"/>
        <v>#REF!</v>
      </c>
      <c r="I56" s="1056" t="e">
        <f t="shared" si="26"/>
        <v>#REF!</v>
      </c>
      <c r="J56" s="1055" t="e">
        <f t="shared" si="27"/>
        <v>#REF!</v>
      </c>
      <c r="K56" s="1063" t="e">
        <f t="shared" si="28"/>
        <v>#REF!</v>
      </c>
      <c r="L56" s="995">
        <f t="shared" ca="1" si="29"/>
        <v>6.6765852701187782</v>
      </c>
      <c r="M56" s="939">
        <f t="shared" ca="1" si="30"/>
        <v>14.71933341820926</v>
      </c>
      <c r="N56" s="1021" t="e">
        <f>(-#REF!*COS($F$18*PI()/180)*$F$21-#REF!*COS($I$18*PI()/180)*$I$21)*$N$99*$C$25*1000/9.81/$O$47*$D$193*#REF!-$N$47/$O$47*$C$20*$F$21</f>
        <v>#REF!</v>
      </c>
      <c r="O56" s="935" t="e">
        <f>(SQRT(((-#REF!*SIN($F$18*PI()/180)*$F$21+#REF!*SIN($I$18*PI()/180)*$I$21)*$C$25*1000)^2+(0.001*$C$25*1000*$F$21)^2)/$C$30+(-#REF!*COS($F$18*PI()/180)*$F$21-#REF!*COS($I$18*PI()/180)*$I$21)*$C$25*1000)/9.81*$O$99/$O$47*$F$193*#REF!-$N$47/$O$47*$C$20*$F$21</f>
        <v>#REF!</v>
      </c>
      <c r="P56" s="407" t="e">
        <f>(-#REF!*COS($F$18*PI()/180)*$F$21-#REF!*COS($I$18*PI()/180)*$I$21)*$N$99*$C$25*1000/9.81/$Q$47*$D$193*#REF!-$P$47/$Q$47*$C$20*$F$21</f>
        <v>#REF!</v>
      </c>
      <c r="Q56" s="408" t="e">
        <f>(SQRT(((-#REF!*SIN($F$18*PI()/180)*$F$21+#REF!*SIN($I$18*PI()/180)*$I$21)*$C$25*1000)^2+(0.001*$C$25*1000*$F$21)^2)/$C$30+(-#REF!*COS($F$18*PI()/180)*$F$21-#REF!*COS($I$18*PI()/180)*$I$21)*$C$25*1000)/9.81*$O$99/$Q$47*$F$193*#REF!-$P$47/$Q$47*$C$20*$F$21</f>
        <v>#REF!</v>
      </c>
      <c r="R56" s="407" t="e">
        <f>(-#REF!*COS($F$18*PI()/180)*$F$21-#REF!*COS($I$18*PI()/180)*$I$21)*$N$99*$C$25*1000/9.81/$S$47*$D$193*#REF!-$R$47/$S$47*$C$20*$F$21</f>
        <v>#REF!</v>
      </c>
      <c r="S56" s="408" t="e">
        <f>(SQRT(((-#REF!*SIN($F$18*PI()/180)*$F$21+#REF!*SIN($I$18*PI()/180)*$I$21)*$C$25*1000)^2+(0.001*$C$25*1000*$F$21)^2)/$C$30+(-#REF!*COS($F$18*PI()/180)*$F$21-#REF!*COS($I$18*PI()/180)*$I$21)*$C$25*1000)/9.81*$O$99/$S$47*$F$193*#REF!-$R$47/$S$47*$C$20*$F$21</f>
        <v>#REF!</v>
      </c>
      <c r="T56" s="407" t="e">
        <f>(-#REF!*COS($F$18*PI()/180)*$F$21-#REF!*COS($I$18*PI()/180)*$I$21)*$N$99*$C$25*1000/9.81/$U$47*$D$193*#REF!-$T$47/$U$47*$C$20*$F$21</f>
        <v>#REF!</v>
      </c>
      <c r="U56" s="408" t="e">
        <f>(SQRT(((-#REF!*SIN($F$18*PI()/180)*$F$21+#REF!*SIN($I$18*PI()/180)*$I$21)*$C$25*1000)^2+(0.001*$C$25*1000*$F$21)^2)/$C$30+(-#REF!*COS($F$18*PI()/180)*$F$21-#REF!*COS($I$18*PI()/180)*$I$21)*$C$25*1000)/9.81*$O$99/$U$47*$F$193*#REF!-$T$47/$U$47*$C$20*$F$21</f>
        <v>#REF!</v>
      </c>
      <c r="V56" s="407" t="e">
        <f>(-#REF!*COS($F$18*PI()/180)*$F$21-#REF!*COS($I$18*PI()/180)*$I$21)*$N$99*$C$25*1000/9.81/$W$47*$D$193*#REF!-$V$47/$W$47*$C$20*$F$21</f>
        <v>#REF!</v>
      </c>
      <c r="W56" s="408" t="e">
        <f>(SQRT(((-#REF!*SIN($F$18*PI()/180)*$F$21+#REF!*SIN($I$18*PI()/180)*$I$21)*$C$25*1000)^2+(0.001*$C$25*1000*$F$21)^2)/$C$30+(-#REF!*COS($F$18*PI()/180)*$F$21-#REF!*COS($I$18*PI()/180)*$I$21)*$C$25*1000)/9.81*$O$99/$W$47*$F$193*#REF!-$V$47/$W$47*$C$20*$F$21</f>
        <v>#REF!</v>
      </c>
      <c r="X56" s="407" t="e">
        <f>(-#REF!*COS($F$18*PI()/180)*$F$21-#REF!*COS($I$18*PI()/180)*$I$21)*$N$99*$C$25*1000/9.81/$Y$47*$D$193*#REF!-$X$47/$Y$47*$C$20*$F$21</f>
        <v>#REF!</v>
      </c>
      <c r="Y56" s="408" t="e">
        <f>(SQRT(((-#REF!*SIN($F$18*PI()/180)*$F$21+#REF!*SIN($I$18*PI()/180)*$I$21)*$C$25*1000)^2+(0.001*$C$25*1000*$F$21)^2)/$C$30+(-#REF!*COS($F$18*PI()/180)*$F$21-#REF!*COS($I$18*PI()/180)*$I$21)*$C$25*1000)/9.81*$O$99/$Y$47*$F$193*#REF!-$X$47/$Y$47*$C$20*$F$21</f>
        <v>#REF!</v>
      </c>
      <c r="Z56" s="407">
        <f ca="1">(-'int. presets cp_10d+wd'!I31*COS($F$18*PI()/180)*$F$21-'int. presets cp_10d+wd'!I40*COS($I$18*PI()/180)*$I$21)*$N$99*$C$25*1000/9.81/$AA$47*$D$193*'int. presets cp_10d+wd'!$I$246-$Z$47/$AA$47*$C$20*$F$21</f>
        <v>-2.634956715365206</v>
      </c>
      <c r="AA56" s="1022">
        <f ca="1">(SQRT(((-'int. presets cp_10d+wd'!D31*SIN($F$18*PI()/180)*$F$21+'int. presets cp_10d+wd'!D40*SIN($I$18*PI()/180)*$I$21)*$C$25*1000)^2+(0.001*$C$25*1000*$F$21)^2)/$C$30+(-'int. presets cp_10d+wd'!D31*COS($F$18*PI()/180)*$F$21-'int. presets cp_10d+wd'!D40*COS($I$18*PI()/180)*$I$21)*$C$25*1000)/9.81*$O$99/$AA$47*$F$193*'int. presets cp_10d+wd'!$D$246-$Z$47/$AA$47*$C$20*$F$21</f>
        <v>6.6765852701187782</v>
      </c>
      <c r="AB56" s="18"/>
      <c r="AC56" s="153"/>
      <c r="AD56" s="56"/>
      <c r="AE56" s="1482"/>
      <c r="AF56" s="1483"/>
      <c r="AG56" s="1568"/>
      <c r="AH56" s="1284"/>
      <c r="AI56" s="1284"/>
      <c r="AJ56" s="1284"/>
      <c r="AK56" s="1285"/>
      <c r="AL56" s="1283"/>
      <c r="AM56" s="1284"/>
      <c r="AN56" s="1284"/>
      <c r="AO56" s="1284"/>
      <c r="AP56" s="1285"/>
      <c r="AQ56" s="1337"/>
      <c r="AR56" s="1338"/>
      <c r="AS56" s="1338"/>
      <c r="AT56" s="1338"/>
      <c r="AU56" s="1339"/>
      <c r="AV56" s="1346"/>
      <c r="AW56" s="1347"/>
      <c r="AX56" s="1347"/>
      <c r="AY56" s="1347"/>
      <c r="AZ56" s="1348"/>
      <c r="BA56" s="1355"/>
      <c r="BB56" s="1356"/>
      <c r="BC56" s="1356"/>
      <c r="BD56" s="1356"/>
      <c r="BE56" s="1357"/>
      <c r="BF56" s="1364"/>
      <c r="BG56" s="1365"/>
      <c r="BH56" s="1365"/>
      <c r="BI56" s="1365"/>
      <c r="BJ56" s="1366"/>
      <c r="BK56" s="1506"/>
      <c r="BL56" s="1507"/>
      <c r="BM56" s="1507"/>
      <c r="BN56" s="1507"/>
      <c r="BO56" s="1508"/>
      <c r="BP56" s="1325"/>
      <c r="BQ56" s="1326"/>
      <c r="BR56" s="1326"/>
      <c r="BS56" s="1326"/>
      <c r="BT56" s="1327"/>
      <c r="BU56" s="1429"/>
      <c r="BV56" s="1293"/>
      <c r="BW56" s="1293"/>
      <c r="BX56" s="1293"/>
      <c r="BY56" s="1430"/>
      <c r="BZ56" s="1482"/>
      <c r="CA56" s="1483"/>
      <c r="CB56" s="361"/>
      <c r="CC56" s="485"/>
      <c r="CE56" s="153"/>
      <c r="CF56" s="56"/>
      <c r="CG56" s="1482"/>
      <c r="CH56" s="1483"/>
      <c r="CI56" s="1292"/>
      <c r="CJ56" s="1293"/>
      <c r="CK56" s="1293"/>
      <c r="CL56" s="1293"/>
      <c r="CM56" s="1294"/>
      <c r="CN56" s="1325"/>
      <c r="CO56" s="1326"/>
      <c r="CP56" s="1326"/>
      <c r="CQ56" s="1326"/>
      <c r="CR56" s="1327"/>
      <c r="CS56" s="1301"/>
      <c r="CT56" s="1302"/>
      <c r="CU56" s="1302"/>
      <c r="CV56" s="1302"/>
      <c r="CW56" s="1303"/>
      <c r="CX56" s="1364"/>
      <c r="CY56" s="1365"/>
      <c r="CZ56" s="1365"/>
      <c r="DA56" s="1365"/>
      <c r="DB56" s="1366"/>
      <c r="DC56" s="1355"/>
      <c r="DD56" s="1356"/>
      <c r="DE56" s="1356"/>
      <c r="DF56" s="1356"/>
      <c r="DG56" s="1357"/>
      <c r="DH56" s="1346"/>
      <c r="DI56" s="1347"/>
      <c r="DJ56" s="1347"/>
      <c r="DK56" s="1347"/>
      <c r="DL56" s="1348"/>
      <c r="DM56" s="1337"/>
      <c r="DN56" s="1338"/>
      <c r="DO56" s="1338"/>
      <c r="DP56" s="1338"/>
      <c r="DQ56" s="1339"/>
      <c r="DR56" s="1283"/>
      <c r="DS56" s="1284"/>
      <c r="DT56" s="1284"/>
      <c r="DU56" s="1284"/>
      <c r="DV56" s="1285"/>
      <c r="DW56" s="1283"/>
      <c r="DX56" s="1284"/>
      <c r="DY56" s="1284"/>
      <c r="DZ56" s="1284"/>
      <c r="EA56" s="1288"/>
      <c r="EB56" s="1482"/>
      <c r="EC56" s="1483"/>
      <c r="ED56" s="361"/>
      <c r="EE56" s="485"/>
    </row>
    <row r="57" spans="1:136" ht="13.5" customHeight="1" x14ac:dyDescent="0.2">
      <c r="A57" s="24"/>
      <c r="B57" s="1580" t="s">
        <v>465</v>
      </c>
      <c r="C57" s="1581">
        <v>0</v>
      </c>
      <c r="D57" s="1582" t="s">
        <v>465</v>
      </c>
      <c r="E57" s="342" t="s">
        <v>461</v>
      </c>
      <c r="F57" s="1057" t="e">
        <f t="shared" si="23"/>
        <v>#REF!</v>
      </c>
      <c r="G57" s="1057" t="e">
        <f t="shared" si="24"/>
        <v>#REF!</v>
      </c>
      <c r="H57" s="1057" t="e">
        <f t="shared" si="25"/>
        <v>#REF!</v>
      </c>
      <c r="I57" s="1054" t="e">
        <f t="shared" si="26"/>
        <v>#REF!</v>
      </c>
      <c r="J57" s="1057" t="e">
        <f t="shared" si="27"/>
        <v>#REF!</v>
      </c>
      <c r="K57" s="1064" t="e">
        <f t="shared" si="28"/>
        <v>#REF!</v>
      </c>
      <c r="L57" s="996">
        <f t="shared" ca="1" si="29"/>
        <v>6.6765852701187782</v>
      </c>
      <c r="M57" s="938">
        <f t="shared" ca="1" si="30"/>
        <v>14.71933341820926</v>
      </c>
      <c r="N57" s="1019" t="e">
        <f>(-#REF!*COS($F$18*PI()/180)*$F$21-#REF!*COS($I$18*PI()/180)*$I$21)*$N$99*$C$25*1000/9.81/$O$47*$D$193*#REF!-$N$47/$O$47*$C$20*$F$21</f>
        <v>#REF!</v>
      </c>
      <c r="O57" s="934" t="e">
        <f>(SQRT(((-#REF!*SIN($F$18*PI()/180)*$F$21+#REF!*SIN($I$18*PI()/180)*$I$21)*$C$25*1000)^2+(0.001*$C$25*1000*$F$21)^2)/$C$30+(-#REF!*COS($F$18*PI()/180)*$F$21-#REF!*COS($I$18*PI()/180)*$I$21)*$C$25*1000)/9.81*$O$99/$O$47*$F$193*#REF!-$N$47/$O$47*$C$20*$F$21</f>
        <v>#REF!</v>
      </c>
      <c r="P57" s="409" t="e">
        <f>(-#REF!*COS($F$18*PI()/180)*$F$21-#REF!*COS($I$18*PI()/180)*$I$21)*$N$99*$C$25*1000/9.81/$Q$47*$D$193*#REF!-$P$47/$Q$47*$C$20*$F$21</f>
        <v>#REF!</v>
      </c>
      <c r="Q57" s="406" t="e">
        <f>(SQRT(((-#REF!*SIN($F$18*PI()/180)*$F$21+#REF!*SIN($I$18*PI()/180)*$I$21)*$C$25*1000)^2+(0.001*$C$25*1000*$F$21)^2)/$C$30+(-#REF!*COS($F$18*PI()/180)*$F$21-#REF!*COS($I$18*PI()/180)*$I$21)*$C$25*1000)/9.81*$O$99/$Q$47*$F$193*#REF!-$P$47/$Q$47*$C$20*$F$21</f>
        <v>#REF!</v>
      </c>
      <c r="R57" s="409" t="e">
        <f>(-#REF!*COS($F$18*PI()/180)*$F$21-#REF!*COS($I$18*PI()/180)*$I$21)*$N$99*$C$25*1000/9.81/$S$47*$D$193*#REF!-$R$47/$S$47*$C$20*$F$21</f>
        <v>#REF!</v>
      </c>
      <c r="S57" s="406" t="e">
        <f>(SQRT(((-#REF!*SIN($F$18*PI()/180)*$F$21+#REF!*SIN($I$18*PI()/180)*$I$21)*$C$25*1000)^2+(0.001*$C$25*1000*$F$21)^2)/$C$30+(-#REF!*COS($F$18*PI()/180)*$F$21-#REF!*COS($I$18*PI()/180)*$I$21)*$C$25*1000)/9.81*$O$99/$S$47*$F$193*#REF!-$R$47/$S$47*$C$20*$F$21</f>
        <v>#REF!</v>
      </c>
      <c r="T57" s="409" t="e">
        <f>(-#REF!*COS($F$18*PI()/180)*$F$21-#REF!*COS($I$18*PI()/180)*$I$21)*$N$99*$C$25*1000/9.81/$U$47*$D$193*#REF!-$T$47/$U$47*$C$20*$F$21</f>
        <v>#REF!</v>
      </c>
      <c r="U57" s="406" t="e">
        <f>(SQRT(((-#REF!*SIN($F$18*PI()/180)*$F$21+#REF!*SIN($I$18*PI()/180)*$I$21)*$C$25*1000)^2+(0.001*$C$25*1000*$F$21)^2)/$C$30+(-#REF!*COS($F$18*PI()/180)*$F$21-#REF!*COS($I$18*PI()/180)*$I$21)*$C$25*1000)/9.81*$O$99/$U$47*$F$193*#REF!-$T$47/$U$47*$C$20*$F$21</f>
        <v>#REF!</v>
      </c>
      <c r="V57" s="409" t="e">
        <f>(-#REF!*COS($F$18*PI()/180)*$F$21-#REF!*COS($I$18*PI()/180)*$I$21)*$N$99*$C$25*1000/9.81/$W$47*$D$193*#REF!-$V$47/$W$47*$C$20*$F$21</f>
        <v>#REF!</v>
      </c>
      <c r="W57" s="406" t="e">
        <f>(SQRT(((-#REF!*SIN($F$18*PI()/180)*$F$21+#REF!*SIN($I$18*PI()/180)*$I$21)*$C$25*1000)^2+(0.001*$C$25*1000*$F$21)^2)/$C$30+(-#REF!*COS($F$18*PI()/180)*$F$21-#REF!*COS($I$18*PI()/180)*$I$21)*$C$25*1000)/9.81*$O$99/$W$47*$F$193*#REF!-$V$47/$W$47*$C$20*$F$21</f>
        <v>#REF!</v>
      </c>
      <c r="X57" s="409" t="e">
        <f>(-#REF!*COS($F$18*PI()/180)*$F$21-#REF!*COS($I$18*PI()/180)*$I$21)*$N$99*$C$25*1000/9.81/$Y$47*$D$193*#REF!-$X$47/$Y$47*$C$20*$F$21</f>
        <v>#REF!</v>
      </c>
      <c r="Y57" s="406" t="e">
        <f>(SQRT(((-#REF!*SIN($F$18*PI()/180)*$F$21+#REF!*SIN($I$18*PI()/180)*$I$21)*$C$25*1000)^2+(0.001*$C$25*1000*$F$21)^2)/$C$30+(-#REF!*COS($F$18*PI()/180)*$F$21-#REF!*COS($I$18*PI()/180)*$I$21)*$C$25*1000)/9.81*$O$99/$Y$47*$F$193*#REF!-$X$47/$Y$47*$C$20*$F$21</f>
        <v>#REF!</v>
      </c>
      <c r="Z57" s="409">
        <f ca="1">(-'int. presets cp_10d+wd'!I32*COS($F$18*PI()/180)*$F$21-'int. presets cp_10d+wd'!I41*COS($I$18*PI()/180)*$I$21)*$N$99*$C$25*1000/9.81/$AA$47*$D$193*'int. presets cp_10d+wd'!$I$246-$Z$47/$AA$47*$C$20*$F$21</f>
        <v>1.9290463702787548</v>
      </c>
      <c r="AA57" s="1020">
        <f ca="1">(SQRT(((-'int. presets cp_10d+wd'!D32*SIN($F$18*PI()/180)*$F$21+'int. presets cp_10d+wd'!D41*SIN($I$18*PI()/180)*$I$21)*$C$25*1000)^2+(0.001*$C$25*1000*$F$21)^2)/$C$30+(-'int. presets cp_10d+wd'!D32*COS($F$18*PI()/180)*$F$21-'int. presets cp_10d+wd'!D41*COS($I$18*PI()/180)*$I$21)*$C$25*1000)/9.81*$O$99/$AA$47*$F$193*'int. presets cp_10d+wd'!$D$246-$Z$47/$AA$47*$C$20*$F$21</f>
        <v>6.6765852701187782</v>
      </c>
      <c r="AB57" s="18"/>
      <c r="AC57" s="493"/>
      <c r="AD57" s="18"/>
      <c r="AE57" s="1482"/>
      <c r="AF57" s="1483"/>
      <c r="AG57" s="1569" t="str">
        <f>AL51</f>
        <v>Inner row
Interior modules</v>
      </c>
      <c r="AH57" s="1278"/>
      <c r="AI57" s="1278"/>
      <c r="AJ57" s="1278"/>
      <c r="AK57" s="1279"/>
      <c r="AL57" s="1277" t="str">
        <f>AL32</f>
        <v>Inner row
Interior modules</v>
      </c>
      <c r="AM57" s="1278"/>
      <c r="AN57" s="1278"/>
      <c r="AO57" s="1278"/>
      <c r="AP57" s="1279"/>
      <c r="AQ57" s="1331" t="str">
        <f>AQ32</f>
        <v>Inner row
1st-4th module</v>
      </c>
      <c r="AR57" s="1332"/>
      <c r="AS57" s="1332"/>
      <c r="AT57" s="1332"/>
      <c r="AU57" s="1333"/>
      <c r="AV57" s="1340" t="str">
        <f>AV32</f>
        <v>Inner row
Interior modules</v>
      </c>
      <c r="AW57" s="1341"/>
      <c r="AX57" s="1341"/>
      <c r="AY57" s="1341"/>
      <c r="AZ57" s="1342"/>
      <c r="BA57" s="1349" t="str">
        <f>BA32</f>
        <v>Inner row
1st-4th module</v>
      </c>
      <c r="BB57" s="1350"/>
      <c r="BC57" s="1350"/>
      <c r="BD57" s="1350"/>
      <c r="BE57" s="1351"/>
      <c r="BF57" s="1358" t="str">
        <f>BF32</f>
        <v>Inner row
Interior modules</v>
      </c>
      <c r="BG57" s="1359"/>
      <c r="BH57" s="1359"/>
      <c r="BI57" s="1359"/>
      <c r="BJ57" s="1360"/>
      <c r="BK57" s="1500" t="str">
        <f>BK32</f>
        <v>Inner row
1st-4th module</v>
      </c>
      <c r="BL57" s="1501"/>
      <c r="BM57" s="1501"/>
      <c r="BN57" s="1501"/>
      <c r="BO57" s="1502"/>
      <c r="BP57" s="1322" t="str">
        <f>BP43</f>
        <v>Inner row
Interior modules</v>
      </c>
      <c r="BQ57" s="1323"/>
      <c r="BR57" s="1323"/>
      <c r="BS57" s="1323"/>
      <c r="BT57" s="1324"/>
      <c r="BU57" s="1427" t="str">
        <f>BU43</f>
        <v>Inner row
1st-4th module</v>
      </c>
      <c r="BV57" s="1290"/>
      <c r="BW57" s="1290"/>
      <c r="BX57" s="1290"/>
      <c r="BY57" s="1428"/>
      <c r="BZ57" s="1482"/>
      <c r="CA57" s="1483"/>
      <c r="CB57" s="361"/>
      <c r="CC57" s="485"/>
      <c r="CE57" s="493"/>
      <c r="CF57" s="18"/>
      <c r="CG57" s="1482"/>
      <c r="CH57" s="1483"/>
      <c r="CI57" s="1289" t="str">
        <f>BU57</f>
        <v>Inner row
1st-4th module</v>
      </c>
      <c r="CJ57" s="1290"/>
      <c r="CK57" s="1290"/>
      <c r="CL57" s="1290"/>
      <c r="CM57" s="1291"/>
      <c r="CN57" s="1322" t="str">
        <f t="shared" ref="CN57" si="31">BP57</f>
        <v>Inner row
Interior modules</v>
      </c>
      <c r="CO57" s="1323"/>
      <c r="CP57" s="1323"/>
      <c r="CQ57" s="1323"/>
      <c r="CR57" s="1324"/>
      <c r="CS57" s="1295" t="str">
        <f t="shared" ref="CS57" si="32">BK57</f>
        <v>Inner row
1st-4th module</v>
      </c>
      <c r="CT57" s="1296"/>
      <c r="CU57" s="1296"/>
      <c r="CV57" s="1296"/>
      <c r="CW57" s="1297"/>
      <c r="CX57" s="1358" t="str">
        <f t="shared" ref="CX57" si="33">BF57</f>
        <v>Inner row
Interior modules</v>
      </c>
      <c r="CY57" s="1359"/>
      <c r="CZ57" s="1359"/>
      <c r="DA57" s="1359"/>
      <c r="DB57" s="1360"/>
      <c r="DC57" s="1349" t="str">
        <f t="shared" ref="DC57" si="34">BA57</f>
        <v>Inner row
1st-4th module</v>
      </c>
      <c r="DD57" s="1350"/>
      <c r="DE57" s="1350"/>
      <c r="DF57" s="1350"/>
      <c r="DG57" s="1351"/>
      <c r="DH57" s="1340" t="str">
        <f t="shared" ref="DH57" si="35">AV57</f>
        <v>Inner row
Interior modules</v>
      </c>
      <c r="DI57" s="1341"/>
      <c r="DJ57" s="1341"/>
      <c r="DK57" s="1341"/>
      <c r="DL57" s="1342"/>
      <c r="DM57" s="1331" t="str">
        <f t="shared" ref="DM57" si="36">AQ57</f>
        <v>Inner row
1st-4th module</v>
      </c>
      <c r="DN57" s="1332"/>
      <c r="DO57" s="1332"/>
      <c r="DP57" s="1332"/>
      <c r="DQ57" s="1333"/>
      <c r="DR57" s="1277" t="str">
        <f t="shared" ref="DR57" si="37">AL57</f>
        <v>Inner row
Interior modules</v>
      </c>
      <c r="DS57" s="1278"/>
      <c r="DT57" s="1278"/>
      <c r="DU57" s="1278"/>
      <c r="DV57" s="1279"/>
      <c r="DW57" s="1277" t="str">
        <f t="shared" ref="DW57" si="38">AG57</f>
        <v>Inner row
Interior modules</v>
      </c>
      <c r="DX57" s="1278"/>
      <c r="DY57" s="1278"/>
      <c r="DZ57" s="1278"/>
      <c r="EA57" s="1286"/>
      <c r="EB57" s="1482"/>
      <c r="EC57" s="1483"/>
      <c r="ED57" s="361"/>
      <c r="EE57" s="485"/>
    </row>
    <row r="58" spans="1:136" ht="13.5" customHeight="1" thickBot="1" x14ac:dyDescent="0.25">
      <c r="B58" s="1583" t="e">
        <v>#REF!</v>
      </c>
      <c r="C58" s="1584">
        <v>0</v>
      </c>
      <c r="D58" s="1585">
        <v>0</v>
      </c>
      <c r="E58" s="986" t="s">
        <v>462</v>
      </c>
      <c r="F58" s="1055" t="e">
        <f t="shared" si="23"/>
        <v>#REF!</v>
      </c>
      <c r="G58" s="1055" t="e">
        <f t="shared" si="24"/>
        <v>#REF!</v>
      </c>
      <c r="H58" s="1055" t="e">
        <f t="shared" si="25"/>
        <v>#REF!</v>
      </c>
      <c r="I58" s="1056" t="e">
        <f t="shared" si="26"/>
        <v>#REF!</v>
      </c>
      <c r="J58" s="1055" t="e">
        <f t="shared" si="27"/>
        <v>#REF!</v>
      </c>
      <c r="K58" s="1063" t="e">
        <f t="shared" si="28"/>
        <v>#REF!</v>
      </c>
      <c r="L58" s="997">
        <f t="shared" ca="1" si="29"/>
        <v>6.6765852701187782</v>
      </c>
      <c r="M58" s="987">
        <f t="shared" ca="1" si="30"/>
        <v>14.71933341820926</v>
      </c>
      <c r="N58" s="1023" t="e">
        <f>(-#REF!*COS($F$18*PI()/180)*$F$21-#REF!*COS($I$18*PI()/180)*$I$21)*$N$99*$C$25*1000/9.81/$O$47*$D$193*#REF!-$N$47/$O$47*$C$20*$F$21</f>
        <v>#REF!</v>
      </c>
      <c r="O58" s="988" t="e">
        <f>(SQRT(((-#REF!*SIN($F$18*PI()/180)*$F$21+#REF!*SIN($I$18*PI()/180)*$I$21)*$C$25*1000)^2+(0.001*$C$25*1000*$F$21)^2)/$C$30+(-#REF!*COS($F$18*PI()/180)*$F$21-#REF!*COS($I$18*PI()/180)*$I$21)*$C$25*1000)/9.81*$O$99/$O$47*$F$193*#REF!-$N$47/$O$47*$C$20*$F$21</f>
        <v>#REF!</v>
      </c>
      <c r="P58" s="409" t="e">
        <f>(-#REF!*COS($F$18*PI()/180)*$F$21-#REF!*COS($I$18*PI()/180)*$I$21)*$N$99*$C$25*1000/9.81/$Q$47*$D$193*#REF!-$P$47/$Q$47*$C$20*$F$21</f>
        <v>#REF!</v>
      </c>
      <c r="Q58" s="410" t="e">
        <f>(SQRT(((-#REF!*SIN($F$18*PI()/180)*$F$21+#REF!*SIN($I$18*PI()/180)*$I$21)*$C$25*1000)^2+(0.001*$C$25*1000*$F$21)^2)/$C$30+(-#REF!*COS($F$18*PI()/180)*$F$21-#REF!*COS($I$18*PI()/180)*$I$21)*$C$25*1000)/9.81*$O$99/$Q$47*$F$193*#REF!-$P$47/$Q$47*$C$20*$F$21</f>
        <v>#REF!</v>
      </c>
      <c r="R58" s="409" t="e">
        <f>(-#REF!*COS($F$18*PI()/180)*$F$21-#REF!*COS($I$18*PI()/180)*$I$21)*$N$99*$C$25*1000/9.81/$S$47*$D$193*#REF!-$R$47/$S$47*$C$20*$F$21</f>
        <v>#REF!</v>
      </c>
      <c r="S58" s="410" t="e">
        <f>(SQRT(((-#REF!*SIN($F$18*PI()/180)*$F$21+#REF!*SIN($I$18*PI()/180)*$I$21)*$C$25*1000)^2+(0.001*$C$25*1000*$F$21)^2)/$C$30+(-#REF!*COS($F$18*PI()/180)*$F$21-#REF!*COS($I$18*PI()/180)*$I$21)*$C$25*1000)/9.81*$O$99/$S$47*$F$193*#REF!-$R$47/$S$47*$C$20*$F$21</f>
        <v>#REF!</v>
      </c>
      <c r="T58" s="409" t="e">
        <f>(-#REF!*COS($F$18*PI()/180)*$F$21-#REF!*COS($I$18*PI()/180)*$I$21)*$N$99*$C$25*1000/9.81/$U$47*$D$193*#REF!-$T$47/$U$47*$C$20*$F$21</f>
        <v>#REF!</v>
      </c>
      <c r="U58" s="410" t="e">
        <f>(SQRT(((-#REF!*SIN($F$18*PI()/180)*$F$21+#REF!*SIN($I$18*PI()/180)*$I$21)*$C$25*1000)^2+(0.001*$C$25*1000*$F$21)^2)/$C$30+(-#REF!*COS($F$18*PI()/180)*$F$21-#REF!*COS($I$18*PI()/180)*$I$21)*$C$25*1000)/9.81*$O$99/$U$47*$F$193*#REF!-$T$47/$U$47*$C$20*$F$21</f>
        <v>#REF!</v>
      </c>
      <c r="V58" s="409" t="e">
        <f>(-#REF!*COS($F$18*PI()/180)*$F$21-#REF!*COS($I$18*PI()/180)*$I$21)*$N$99*$C$25*1000/9.81/$W$47*$D$193*#REF!-$V$47/$W$47*$C$20*$F$21</f>
        <v>#REF!</v>
      </c>
      <c r="W58" s="410" t="e">
        <f>(SQRT(((-#REF!*SIN($F$18*PI()/180)*$F$21+#REF!*SIN($I$18*PI()/180)*$I$21)*$C$25*1000)^2+(0.001*$C$25*1000*$F$21)^2)/$C$30+(-#REF!*COS($F$18*PI()/180)*$F$21-#REF!*COS($I$18*PI()/180)*$I$21)*$C$25*1000)/9.81*$O$99/$W$47*$F$193*#REF!-$V$47/$W$47*$C$20*$F$21</f>
        <v>#REF!</v>
      </c>
      <c r="X58" s="409" t="e">
        <f>(-#REF!*COS($F$18*PI()/180)*$F$21-#REF!*COS($I$18*PI()/180)*$I$21)*$N$99*$C$25*1000/9.81/$Y$47*$D$193*#REF!-$X$47/$Y$47*$C$20*$F$21</f>
        <v>#REF!</v>
      </c>
      <c r="Y58" s="410" t="e">
        <f>(SQRT(((-#REF!*SIN($F$18*PI()/180)*$F$21+#REF!*SIN($I$18*PI()/180)*$I$21)*$C$25*1000)^2+(0.001*$C$25*1000*$F$21)^2)/$C$30+(-#REF!*COS($F$18*PI()/180)*$F$21-#REF!*COS($I$18*PI()/180)*$I$21)*$C$25*1000)/9.81*$O$99/$Y$47*$F$193*#REF!-$X$47/$Y$47*$C$20*$F$21</f>
        <v>#REF!</v>
      </c>
      <c r="Z58" s="409">
        <f ca="1">(-'int. presets cp_10d+wd'!I33*COS($F$18*PI()/180)*$F$21-'int. presets cp_10d+wd'!I42*COS($I$18*PI()/180)*$I$21)*$N$99*$C$25*1000/9.81/$AA$47*$D$193*'int. presets cp_10d+wd'!$I$246-$Z$47/$AA$47*$C$20*$F$21</f>
        <v>0.26758476794057984</v>
      </c>
      <c r="AA58" s="1024">
        <f ca="1">(SQRT(((-'int. presets cp_10d+wd'!D33*SIN($F$18*PI()/180)*$F$21+'int. presets cp_10d+wd'!D42*SIN($I$18*PI()/180)*$I$21)*$C$25*1000)^2+(0.001*$C$25*1000*$F$21)^2)/$C$30+(-'int. presets cp_10d+wd'!D33*COS($F$18*PI()/180)*$F$21-'int. presets cp_10d+wd'!D42*COS($I$18*PI()/180)*$I$21)*$C$25*1000)/9.81*$O$99/$AA$47*$F$193*'int. presets cp_10d+wd'!$D$246-$Z$47/$AA$47*$C$20*$F$21</f>
        <v>6.6765852701187782</v>
      </c>
      <c r="AB58" s="18"/>
      <c r="AC58" s="153"/>
      <c r="AD58" s="18"/>
      <c r="AE58" s="1482"/>
      <c r="AF58" s="1483"/>
      <c r="AG58" s="1567"/>
      <c r="AH58" s="1281"/>
      <c r="AI58" s="1281"/>
      <c r="AJ58" s="1281"/>
      <c r="AK58" s="1282"/>
      <c r="AL58" s="1280"/>
      <c r="AM58" s="1281"/>
      <c r="AN58" s="1281"/>
      <c r="AO58" s="1281"/>
      <c r="AP58" s="1282"/>
      <c r="AQ58" s="1334"/>
      <c r="AR58" s="1335"/>
      <c r="AS58" s="1335"/>
      <c r="AT58" s="1335"/>
      <c r="AU58" s="1336"/>
      <c r="AV58" s="1343"/>
      <c r="AW58" s="1344"/>
      <c r="AX58" s="1344"/>
      <c r="AY58" s="1344"/>
      <c r="AZ58" s="1345"/>
      <c r="BA58" s="1352"/>
      <c r="BB58" s="1353"/>
      <c r="BC58" s="1353"/>
      <c r="BD58" s="1353"/>
      <c r="BE58" s="1354"/>
      <c r="BF58" s="1361"/>
      <c r="BG58" s="1362"/>
      <c r="BH58" s="1362"/>
      <c r="BI58" s="1362"/>
      <c r="BJ58" s="1363"/>
      <c r="BK58" s="1503"/>
      <c r="BL58" s="1504"/>
      <c r="BM58" s="1504"/>
      <c r="BN58" s="1504"/>
      <c r="BO58" s="1505"/>
      <c r="BP58" s="1328"/>
      <c r="BQ58" s="1329"/>
      <c r="BR58" s="1329"/>
      <c r="BS58" s="1329"/>
      <c r="BT58" s="1330"/>
      <c r="BU58" s="1495"/>
      <c r="BV58" s="1377"/>
      <c r="BW58" s="1377"/>
      <c r="BX58" s="1377"/>
      <c r="BY58" s="1496"/>
      <c r="BZ58" s="1482"/>
      <c r="CA58" s="1483"/>
      <c r="CB58" s="361"/>
      <c r="CC58" s="485"/>
      <c r="CE58" s="153"/>
      <c r="CF58" s="18"/>
      <c r="CG58" s="1482"/>
      <c r="CH58" s="1483"/>
      <c r="CI58" s="1376"/>
      <c r="CJ58" s="1377"/>
      <c r="CK58" s="1377"/>
      <c r="CL58" s="1377"/>
      <c r="CM58" s="1378"/>
      <c r="CN58" s="1328"/>
      <c r="CO58" s="1329"/>
      <c r="CP58" s="1329"/>
      <c r="CQ58" s="1329"/>
      <c r="CR58" s="1330"/>
      <c r="CS58" s="1298"/>
      <c r="CT58" s="1299"/>
      <c r="CU58" s="1299"/>
      <c r="CV58" s="1299"/>
      <c r="CW58" s="1300"/>
      <c r="CX58" s="1361"/>
      <c r="CY58" s="1362"/>
      <c r="CZ58" s="1362"/>
      <c r="DA58" s="1362"/>
      <c r="DB58" s="1363"/>
      <c r="DC58" s="1352"/>
      <c r="DD58" s="1353"/>
      <c r="DE58" s="1353"/>
      <c r="DF58" s="1353"/>
      <c r="DG58" s="1354"/>
      <c r="DH58" s="1343"/>
      <c r="DI58" s="1344"/>
      <c r="DJ58" s="1344"/>
      <c r="DK58" s="1344"/>
      <c r="DL58" s="1345"/>
      <c r="DM58" s="1334"/>
      <c r="DN58" s="1335"/>
      <c r="DO58" s="1335"/>
      <c r="DP58" s="1335"/>
      <c r="DQ58" s="1336"/>
      <c r="DR58" s="1280"/>
      <c r="DS58" s="1281"/>
      <c r="DT58" s="1281"/>
      <c r="DU58" s="1281"/>
      <c r="DV58" s="1282"/>
      <c r="DW58" s="1280"/>
      <c r="DX58" s="1281"/>
      <c r="DY58" s="1281"/>
      <c r="DZ58" s="1281"/>
      <c r="EA58" s="1287"/>
      <c r="EB58" s="1482"/>
      <c r="EC58" s="1483"/>
      <c r="ED58" s="361"/>
      <c r="EE58" s="485"/>
    </row>
    <row r="59" spans="1:136" ht="13.5" customHeight="1" thickTop="1" thickBot="1" x14ac:dyDescent="0.25">
      <c r="B59" s="1658" t="s">
        <v>340</v>
      </c>
      <c r="C59" s="1659"/>
      <c r="D59" s="1659"/>
      <c r="E59" s="1659"/>
      <c r="F59" s="1659"/>
      <c r="G59" s="1659"/>
      <c r="H59" s="1659"/>
      <c r="I59" s="1659"/>
      <c r="J59" s="1659"/>
      <c r="K59" s="1659"/>
      <c r="L59" s="1660"/>
      <c r="M59" s="1048"/>
      <c r="N59" s="1006"/>
      <c r="O59" s="1007"/>
      <c r="P59" s="1007"/>
      <c r="Q59" s="1007"/>
      <c r="R59" s="1007"/>
      <c r="S59" s="1007"/>
      <c r="T59" s="1007"/>
      <c r="U59" s="1007"/>
      <c r="V59" s="1007"/>
      <c r="W59" s="1007"/>
      <c r="X59" s="1007"/>
      <c r="Y59" s="1007"/>
      <c r="Z59" s="1007"/>
      <c r="AA59" s="1010"/>
      <c r="AB59" s="18"/>
      <c r="AC59" s="153"/>
      <c r="AD59" s="20"/>
      <c r="AE59" s="1482"/>
      <c r="AF59" s="1483"/>
      <c r="AG59" s="1568"/>
      <c r="AH59" s="1284"/>
      <c r="AI59" s="1284"/>
      <c r="AJ59" s="1284"/>
      <c r="AK59" s="1285"/>
      <c r="AL59" s="1283"/>
      <c r="AM59" s="1284"/>
      <c r="AN59" s="1284"/>
      <c r="AO59" s="1284"/>
      <c r="AP59" s="1285"/>
      <c r="AQ59" s="1337"/>
      <c r="AR59" s="1338"/>
      <c r="AS59" s="1338"/>
      <c r="AT59" s="1338"/>
      <c r="AU59" s="1339"/>
      <c r="AV59" s="1346"/>
      <c r="AW59" s="1347"/>
      <c r="AX59" s="1347"/>
      <c r="AY59" s="1347"/>
      <c r="AZ59" s="1348"/>
      <c r="BA59" s="1355"/>
      <c r="BB59" s="1356"/>
      <c r="BC59" s="1356"/>
      <c r="BD59" s="1356"/>
      <c r="BE59" s="1357"/>
      <c r="BF59" s="1364"/>
      <c r="BG59" s="1365"/>
      <c r="BH59" s="1365"/>
      <c r="BI59" s="1365"/>
      <c r="BJ59" s="1366"/>
      <c r="BK59" s="1506"/>
      <c r="BL59" s="1507"/>
      <c r="BM59" s="1507"/>
      <c r="BN59" s="1507"/>
      <c r="BO59" s="1508"/>
      <c r="BP59" s="1325"/>
      <c r="BQ59" s="1326"/>
      <c r="BR59" s="1326"/>
      <c r="BS59" s="1326"/>
      <c r="BT59" s="1327"/>
      <c r="BU59" s="1429"/>
      <c r="BV59" s="1293"/>
      <c r="BW59" s="1293"/>
      <c r="BX59" s="1293"/>
      <c r="BY59" s="1430"/>
      <c r="BZ59" s="1482"/>
      <c r="CA59" s="1483"/>
      <c r="CB59" s="361"/>
      <c r="CC59" s="485"/>
      <c r="CE59" s="153"/>
      <c r="CF59" s="20"/>
      <c r="CG59" s="1482"/>
      <c r="CH59" s="1483"/>
      <c r="CI59" s="1292"/>
      <c r="CJ59" s="1293"/>
      <c r="CK59" s="1293"/>
      <c r="CL59" s="1293"/>
      <c r="CM59" s="1294"/>
      <c r="CN59" s="1325"/>
      <c r="CO59" s="1326"/>
      <c r="CP59" s="1326"/>
      <c r="CQ59" s="1326"/>
      <c r="CR59" s="1327"/>
      <c r="CS59" s="1301"/>
      <c r="CT59" s="1302"/>
      <c r="CU59" s="1302"/>
      <c r="CV59" s="1302"/>
      <c r="CW59" s="1303"/>
      <c r="CX59" s="1364"/>
      <c r="CY59" s="1365"/>
      <c r="CZ59" s="1365"/>
      <c r="DA59" s="1365"/>
      <c r="DB59" s="1366"/>
      <c r="DC59" s="1355"/>
      <c r="DD59" s="1356"/>
      <c r="DE59" s="1356"/>
      <c r="DF59" s="1356"/>
      <c r="DG59" s="1357"/>
      <c r="DH59" s="1346"/>
      <c r="DI59" s="1347"/>
      <c r="DJ59" s="1347"/>
      <c r="DK59" s="1347"/>
      <c r="DL59" s="1348"/>
      <c r="DM59" s="1337"/>
      <c r="DN59" s="1338"/>
      <c r="DO59" s="1338"/>
      <c r="DP59" s="1338"/>
      <c r="DQ59" s="1339"/>
      <c r="DR59" s="1283"/>
      <c r="DS59" s="1284"/>
      <c r="DT59" s="1284"/>
      <c r="DU59" s="1284"/>
      <c r="DV59" s="1285"/>
      <c r="DW59" s="1283"/>
      <c r="DX59" s="1284"/>
      <c r="DY59" s="1284"/>
      <c r="DZ59" s="1284"/>
      <c r="EA59" s="1288"/>
      <c r="EB59" s="1482"/>
      <c r="EC59" s="1483"/>
      <c r="ED59" s="361"/>
      <c r="EE59" s="485"/>
    </row>
    <row r="60" spans="1:136" ht="13.5" customHeight="1" x14ac:dyDescent="0.2">
      <c r="A60" s="24"/>
      <c r="B60" s="1580" t="s">
        <v>460</v>
      </c>
      <c r="C60" s="1581">
        <v>0</v>
      </c>
      <c r="D60" s="1582">
        <v>0</v>
      </c>
      <c r="E60" s="478" t="s">
        <v>461</v>
      </c>
      <c r="F60" s="1053" t="e">
        <f t="shared" ref="F60:F67" si="39">MAX(N60,O60)</f>
        <v>#REF!</v>
      </c>
      <c r="G60" s="1053" t="e">
        <f t="shared" si="24"/>
        <v>#REF!</v>
      </c>
      <c r="H60" s="1053" t="e">
        <f t="shared" si="25"/>
        <v>#REF!</v>
      </c>
      <c r="I60" s="1061" t="e">
        <f t="shared" si="26"/>
        <v>#REF!</v>
      </c>
      <c r="J60" s="1053" t="e">
        <f t="shared" si="27"/>
        <v>#REF!</v>
      </c>
      <c r="K60" s="1062" t="e">
        <f t="shared" si="28"/>
        <v>#REF!</v>
      </c>
      <c r="L60" s="1011">
        <f t="shared" ca="1" si="29"/>
        <v>16.975134218115699</v>
      </c>
      <c r="M60" s="940">
        <f t="shared" ca="1" si="30"/>
        <v>37.423720399942226</v>
      </c>
      <c r="N60" s="1035" t="e">
        <f>(-#REF!*COS($F$18*PI()/180)*$F$21-#REF!*COS($I$18*PI()/180)*$I$21)*$N$99*$C$25*1000/9.81/$O$47*$D$193*#REF!-$N$47/$O$47*$C$20*$F$21</f>
        <v>#REF!</v>
      </c>
      <c r="O60" s="75" t="e">
        <f>(SQRT(((-#REF!*SIN($F$18*PI()/180)*$F$21+#REF!*SIN($I$18*PI()/180)*$I$21)*$C$25*1000)^2+(0.001*$C$25*1000*$F$21)^2)/$C$30+(-#REF!*COS($F$18*PI()/180)*$F$21-#REF!*COS($I$18*PI()/180)*$I$21)*$C$25*1000)/9.81*$O$99/$O$47*$F$193*#REF!-$N$47/$O$47*$C$20*$F$21</f>
        <v>#REF!</v>
      </c>
      <c r="P60" s="181" t="e">
        <f>(-#REF!*COS($F$18*PI()/180)*$F$21-#REF!*COS($I$18*PI()/180)*$I$21)*$N$99*$C$25*1000/9.81/$Q$47*$D$193*#REF!-$P$47/$Q$47*$C$20*$F$21</f>
        <v>#REF!</v>
      </c>
      <c r="Q60" s="198" t="e">
        <f>(SQRT(((-#REF!*SIN($F$18*PI()/180)*$F$21+#REF!*SIN($I$18*PI()/180)*$I$21)*$C$25*1000)^2+(0.001*$C$25*1000*$F$21)^2)/$C$30+(-#REF!*COS($F$18*PI()/180)*$F$21-#REF!*COS($I$18*PI()/180)*$I$21)*$C$25*1000)/9.81*$O$99/$Q$47*$F$193*#REF!-$P$47/$Q$47*$C$20*$F$21</f>
        <v>#REF!</v>
      </c>
      <c r="R60" s="181" t="e">
        <f>(-#REF!*COS($F$18*PI()/180)*$F$21-#REF!*COS($I$18*PI()/180)*$I$21)*$N$99*$C$25*1000/9.81/$S$47*$D$193*#REF!-$R$47/$S$47*$C$20*$F$21</f>
        <v>#REF!</v>
      </c>
      <c r="S60" s="198" t="e">
        <f>(SQRT(((-#REF!*SIN($F$18*PI()/180)*$F$21+#REF!*SIN($I$18*PI()/180)*$I$21)*$C$25*1000)^2+(0.001*$C$25*1000*$F$21)^2)/$C$30+(-#REF!*COS($F$18*PI()/180)*$F$21-#REF!*COS($I$18*PI()/180)*$I$21)*$C$25*1000)/9.81*$O$99/$S$47*$F$193*#REF!-$R$47/$S$47*$C$20*$F$21</f>
        <v>#REF!</v>
      </c>
      <c r="T60" s="181" t="e">
        <f>(-#REF!*COS($F$18*PI()/180)*$F$21-#REF!*COS($I$18*PI()/180)*$I$21)*$N$99*$C$25*1000/9.81/$U$47*$D$193*#REF!-$T$47/$U$47*$C$20*$F$21</f>
        <v>#REF!</v>
      </c>
      <c r="U60" s="198" t="e">
        <f>(SQRT(((-#REF!*SIN($F$18*PI()/180)*$F$21+#REF!*SIN($I$18*PI()/180)*$I$21)*$C$25*1000)^2+(0.001*$C$25*1000*$F$21)^2)/$C$30+(-#REF!*COS($F$18*PI()/180)*$F$21-#REF!*COS($I$18*PI()/180)*$I$21)*$C$25*1000)/9.81*$O$99/$U$47*$F$193*#REF!-$T$47/$U$47*$C$20*$F$21</f>
        <v>#REF!</v>
      </c>
      <c r="V60" s="181" t="e">
        <f>(-#REF!*COS($F$18*PI()/180)*$F$21-#REF!*COS($I$18*PI()/180)*$I$21)*$N$99*$C$25*1000/9.81/$W$47*$D$193*#REF!-$V$47/$W$47*$C$20*$F$21</f>
        <v>#REF!</v>
      </c>
      <c r="W60" s="198" t="e">
        <f>(SQRT(((-#REF!*SIN($F$18*PI()/180)*$F$21+#REF!*SIN($I$18*PI()/180)*$I$21)*$C$25*1000)^2+(0.001*$C$25*1000*$F$21)^2)/$C$30+(-#REF!*COS($F$18*PI()/180)*$F$21-#REF!*COS($I$18*PI()/180)*$I$21)*$C$25*1000)/9.81*$O$99/$W$47*$F$193*#REF!-$V$47/$W$47*$C$20*$F$21</f>
        <v>#REF!</v>
      </c>
      <c r="X60" s="181" t="e">
        <f>(-#REF!*COS($F$18*PI()/180)*$F$21-#REF!*COS($I$18*PI()/180)*$I$21)*$N$99*$C$25*1000/9.81/$Y$47*$D$193*#REF!-$X$47/$Y$47*$C$20*$F$21</f>
        <v>#REF!</v>
      </c>
      <c r="Y60" s="198" t="e">
        <f>(SQRT(((-#REF!*SIN($F$18*PI()/180)*$F$21+#REF!*SIN($I$18*PI()/180)*$I$21)*$C$25*1000)^2+(0.001*$C$25*1000*$F$21)^2)/$C$30+(-#REF!*COS($F$18*PI()/180)*$F$21-#REF!*COS($I$18*PI()/180)*$I$21)*$C$25*1000)/9.81*$O$99/$Y$47*$F$193*#REF!-$X$47/$Y$47*$C$20*$F$21</f>
        <v>#REF!</v>
      </c>
      <c r="Z60" s="181">
        <f ca="1">(-'int. presets cp_10d+wd'!J26*COS($F$18*PI()/180)*$F$21-'int. presets cp_10d+wd'!J35*COS($I$18*PI()/180)*$I$21)*$N$99*$C$25*1000/9.81/$AA$47*$D$193*'int. presets cp_10d+wd'!$J$246-$Z$47/$AA$47*$C$20*$F$21</f>
        <v>11.365875069021932</v>
      </c>
      <c r="AA60" s="1026">
        <f ca="1">(SQRT(((-'int. presets cp_10d+wd'!E26*SIN($F$18*PI()/180)*$F$21+'int. presets cp_10d+wd'!E35*SIN($I$18*PI()/180)*$I$21)*$C$25*1000)^2+(0.001*$C$25*1000*$F$21)^2)/$C$30+(-'int. presets cp_10d+wd'!E26*COS($F$18*PI()/180)*$F$21-'int. presets cp_10d+wd'!E35*COS($I$18*PI()/180)*$I$21)*$C$25*1000)/9.81*$O$99/$AA$47*$F$193*'int. presets cp_10d+wd'!$E$246-$Z$47/$AA$47*$C$20*$F$21</f>
        <v>16.975134218115699</v>
      </c>
      <c r="AB60" s="18"/>
      <c r="AC60" s="153"/>
      <c r="AD60" s="20"/>
      <c r="AE60" s="1482"/>
      <c r="AF60" s="1483"/>
      <c r="AG60" s="1569" t="str">
        <f>AL51</f>
        <v>Inner row
Interior modules</v>
      </c>
      <c r="AH60" s="1278"/>
      <c r="AI60" s="1278"/>
      <c r="AJ60" s="1278"/>
      <c r="AK60" s="1279"/>
      <c r="AL60" s="1277" t="str">
        <f>AL32</f>
        <v>Inner row
Interior modules</v>
      </c>
      <c r="AM60" s="1278"/>
      <c r="AN60" s="1278"/>
      <c r="AO60" s="1278"/>
      <c r="AP60" s="1279"/>
      <c r="AQ60" s="1331" t="str">
        <f>AQ32</f>
        <v>Inner row
1st-4th module</v>
      </c>
      <c r="AR60" s="1332"/>
      <c r="AS60" s="1332"/>
      <c r="AT60" s="1332"/>
      <c r="AU60" s="1333"/>
      <c r="AV60" s="1340" t="str">
        <f>AV32</f>
        <v>Inner row
Interior modules</v>
      </c>
      <c r="AW60" s="1341"/>
      <c r="AX60" s="1341"/>
      <c r="AY60" s="1341"/>
      <c r="AZ60" s="1342"/>
      <c r="BA60" s="1349" t="str">
        <f>BA32</f>
        <v>Inner row
1st-4th module</v>
      </c>
      <c r="BB60" s="1350"/>
      <c r="BC60" s="1350"/>
      <c r="BD60" s="1350"/>
      <c r="BE60" s="1351"/>
      <c r="BF60" s="1358" t="str">
        <f>BF32</f>
        <v>Inner row
Interior modules</v>
      </c>
      <c r="BG60" s="1359"/>
      <c r="BH60" s="1359"/>
      <c r="BI60" s="1359"/>
      <c r="BJ60" s="1360"/>
      <c r="BK60" s="1500" t="str">
        <f>BK32</f>
        <v>Inner row
1st-4th module</v>
      </c>
      <c r="BL60" s="1501"/>
      <c r="BM60" s="1501"/>
      <c r="BN60" s="1501"/>
      <c r="BO60" s="1502"/>
      <c r="BP60" s="1322" t="str">
        <f>BP43</f>
        <v>Inner row
Interior modules</v>
      </c>
      <c r="BQ60" s="1323"/>
      <c r="BR60" s="1323"/>
      <c r="BS60" s="1323"/>
      <c r="BT60" s="1324"/>
      <c r="BU60" s="1427" t="str">
        <f>BU43</f>
        <v>Inner row
1st-4th module</v>
      </c>
      <c r="BV60" s="1290"/>
      <c r="BW60" s="1290"/>
      <c r="BX60" s="1290"/>
      <c r="BY60" s="1428"/>
      <c r="BZ60" s="1482"/>
      <c r="CA60" s="1483"/>
      <c r="CB60" s="361"/>
      <c r="CC60" s="485"/>
      <c r="CE60" s="153"/>
      <c r="CF60" s="20"/>
      <c r="CG60" s="1482"/>
      <c r="CH60" s="1483"/>
      <c r="CI60" s="1289" t="str">
        <f t="shared" ref="CI60" si="40">BU60</f>
        <v>Inner row
1st-4th module</v>
      </c>
      <c r="CJ60" s="1290"/>
      <c r="CK60" s="1290"/>
      <c r="CL60" s="1290"/>
      <c r="CM60" s="1291"/>
      <c r="CN60" s="1322" t="str">
        <f t="shared" ref="CN60" si="41">BP60</f>
        <v>Inner row
Interior modules</v>
      </c>
      <c r="CO60" s="1323"/>
      <c r="CP60" s="1323"/>
      <c r="CQ60" s="1323"/>
      <c r="CR60" s="1324"/>
      <c r="CS60" s="1295" t="str">
        <f t="shared" ref="CS60" si="42">BK60</f>
        <v>Inner row
1st-4th module</v>
      </c>
      <c r="CT60" s="1296"/>
      <c r="CU60" s="1296"/>
      <c r="CV60" s="1296"/>
      <c r="CW60" s="1297"/>
      <c r="CX60" s="1358" t="str">
        <f t="shared" ref="CX60" si="43">BF60</f>
        <v>Inner row
Interior modules</v>
      </c>
      <c r="CY60" s="1359"/>
      <c r="CZ60" s="1359"/>
      <c r="DA60" s="1359"/>
      <c r="DB60" s="1360"/>
      <c r="DC60" s="1349" t="str">
        <f t="shared" ref="DC60" si="44">BA60</f>
        <v>Inner row
1st-4th module</v>
      </c>
      <c r="DD60" s="1350"/>
      <c r="DE60" s="1350"/>
      <c r="DF60" s="1350"/>
      <c r="DG60" s="1351"/>
      <c r="DH60" s="1340" t="str">
        <f t="shared" ref="DH60" si="45">AV60</f>
        <v>Inner row
Interior modules</v>
      </c>
      <c r="DI60" s="1341"/>
      <c r="DJ60" s="1341"/>
      <c r="DK60" s="1341"/>
      <c r="DL60" s="1342"/>
      <c r="DM60" s="1331" t="str">
        <f t="shared" ref="DM60" si="46">AQ60</f>
        <v>Inner row
1st-4th module</v>
      </c>
      <c r="DN60" s="1332"/>
      <c r="DO60" s="1332"/>
      <c r="DP60" s="1332"/>
      <c r="DQ60" s="1333"/>
      <c r="DR60" s="1277" t="str">
        <f t="shared" ref="DR60" si="47">AL60</f>
        <v>Inner row
Interior modules</v>
      </c>
      <c r="DS60" s="1278"/>
      <c r="DT60" s="1278"/>
      <c r="DU60" s="1278"/>
      <c r="DV60" s="1279"/>
      <c r="DW60" s="1277" t="str">
        <f t="shared" ref="DW60" si="48">AG60</f>
        <v>Inner row
Interior modules</v>
      </c>
      <c r="DX60" s="1278"/>
      <c r="DY60" s="1278"/>
      <c r="DZ60" s="1278"/>
      <c r="EA60" s="1286"/>
      <c r="EB60" s="1482"/>
      <c r="EC60" s="1483"/>
      <c r="ED60" s="361"/>
      <c r="EE60" s="485"/>
    </row>
    <row r="61" spans="1:136" ht="13.5" customHeight="1" thickBot="1" x14ac:dyDescent="0.25">
      <c r="A61" s="24"/>
      <c r="B61" s="1586">
        <v>0</v>
      </c>
      <c r="C61" s="1587">
        <v>0</v>
      </c>
      <c r="D61" s="1588">
        <v>0</v>
      </c>
      <c r="E61" s="481" t="s">
        <v>462</v>
      </c>
      <c r="F61" s="1055" t="e">
        <f t="shared" si="39"/>
        <v>#REF!</v>
      </c>
      <c r="G61" s="1055" t="e">
        <f t="shared" si="24"/>
        <v>#REF!</v>
      </c>
      <c r="H61" s="1055" t="e">
        <f t="shared" si="25"/>
        <v>#REF!</v>
      </c>
      <c r="I61" s="1056" t="e">
        <f t="shared" si="26"/>
        <v>#REF!</v>
      </c>
      <c r="J61" s="1055" t="e">
        <f t="shared" si="27"/>
        <v>#REF!</v>
      </c>
      <c r="K61" s="1063" t="e">
        <f t="shared" si="28"/>
        <v>#REF!</v>
      </c>
      <c r="L61" s="1012">
        <f t="shared" ca="1" si="29"/>
        <v>17.380958212727265</v>
      </c>
      <c r="M61" s="941">
        <f t="shared" ca="1" si="30"/>
        <v>38.318408094942782</v>
      </c>
      <c r="N61" s="1027" t="e">
        <f>(-#REF!*COS($F$18*PI()/180)*$F$21-#REF!*COS($I$18*PI()/180)*$I$21)*$N$99*$C$25*1000/9.81/$O$47*$D$193*#REF!-$N$47/$O$47*$C$20*$F$21</f>
        <v>#REF!</v>
      </c>
      <c r="O61" s="936" t="e">
        <f>(SQRT(((-#REF!*SIN($F$18*PI()/180)*$F$21+#REF!*SIN($I$18*PI()/180)*$I$21)*$C$25*1000)^2+(0.001*$C$25*1000*$F$21)^2)/$C$30+(-#REF!*COS($F$18*PI()/180)*$F$21-#REF!*COS($I$18*PI()/180)*$I$21)*$C$25*1000)/9.81*$O$99/$O$47*$F$193*#REF!-$N$47/$O$47*$C$20*$F$21</f>
        <v>#REF!</v>
      </c>
      <c r="P61" s="199" t="e">
        <f>(-#REF!*COS($F$18*PI()/180)*$F$21-#REF!*COS($I$18*PI()/180)*$I$21)*$N$99*$C$25*1000/9.81/$Q$47*$D$193*#REF!-$P$47/$Q$47*$C$20*$F$21</f>
        <v>#REF!</v>
      </c>
      <c r="Q61" s="164" t="e">
        <f>(SQRT(((-#REF!*SIN($F$18*PI()/180)*$F$21+#REF!*SIN($I$18*PI()/180)*$I$21)*$C$25*1000)^2+(0.001*$C$25*1000*$F$21)^2)/$C$30+(-#REF!*COS($F$18*PI()/180)*$F$21-#REF!*COS($I$18*PI()/180)*$I$21)*$C$25*1000)/9.81*$O$99/$Q$47*$F$193*#REF!-$P$47/$Q$47*$C$20*$F$21</f>
        <v>#REF!</v>
      </c>
      <c r="R61" s="199" t="e">
        <f>(-#REF!*COS($F$18*PI()/180)*$F$21-#REF!*COS($I$18*PI()/180)*$I$21)*$N$99*$C$25*1000/9.81/$S$47*$D$193*#REF!-$R$47/$S$47*$C$20*$F$21</f>
        <v>#REF!</v>
      </c>
      <c r="S61" s="164" t="e">
        <f>(SQRT(((-#REF!*SIN($F$18*PI()/180)*$F$21+#REF!*SIN($I$18*PI()/180)*$I$21)*$C$25*1000)^2+(0.001*$C$25*1000*$F$21)^2)/$C$30+(-#REF!*COS($F$18*PI()/180)*$F$21-#REF!*COS($I$18*PI()/180)*$I$21)*$C$25*1000)/9.81*$O$99/$S$47*$F$193*#REF!-$R$47/$S$47*$C$20*$F$21</f>
        <v>#REF!</v>
      </c>
      <c r="T61" s="199" t="e">
        <f>(-#REF!*COS($F$18*PI()/180)*$F$21-#REF!*COS($I$18*PI()/180)*$I$21)*$N$99*$C$25*1000/9.81/$U$47*$D$193*#REF!-$T$47/$U$47*$C$20*$F$21</f>
        <v>#REF!</v>
      </c>
      <c r="U61" s="164" t="e">
        <f>(SQRT(((-#REF!*SIN($F$18*PI()/180)*$F$21+#REF!*SIN($I$18*PI()/180)*$I$21)*$C$25*1000)^2+(0.001*$C$25*1000*$F$21)^2)/$C$30+(-#REF!*COS($F$18*PI()/180)*$F$21-#REF!*COS($I$18*PI()/180)*$I$21)*$C$25*1000)/9.81*$O$99/$U$47*$F$193*#REF!-$T$47/$U$47*$C$20*$F$21</f>
        <v>#REF!</v>
      </c>
      <c r="V61" s="199" t="e">
        <f>(-#REF!*COS($F$18*PI()/180)*$F$21-#REF!*COS($I$18*PI()/180)*$I$21)*$N$99*$C$25*1000/9.81/$W$47*$D$193*#REF!-$V$47/$W$47*$C$20*$F$21</f>
        <v>#REF!</v>
      </c>
      <c r="W61" s="164" t="e">
        <f>(SQRT(((-#REF!*SIN($F$18*PI()/180)*$F$21+#REF!*SIN($I$18*PI()/180)*$I$21)*$C$25*1000)^2+(0.001*$C$25*1000*$F$21)^2)/$C$30+(-#REF!*COS($F$18*PI()/180)*$F$21-#REF!*COS($I$18*PI()/180)*$I$21)*$C$25*1000)/9.81*$O$99/$W$47*$F$193*#REF!-$V$47/$W$47*$C$20*$F$21</f>
        <v>#REF!</v>
      </c>
      <c r="X61" s="199" t="e">
        <f>(-#REF!*COS($F$18*PI()/180)*$F$21-#REF!*COS($I$18*PI()/180)*$I$21)*$N$99*$C$25*1000/9.81/$Y$47*$D$193*#REF!-$X$47/$Y$47*$C$20*$F$21</f>
        <v>#REF!</v>
      </c>
      <c r="Y61" s="164" t="e">
        <f>(SQRT(((-#REF!*SIN($F$18*PI()/180)*$F$21+#REF!*SIN($I$18*PI()/180)*$I$21)*$C$25*1000)^2+(0.001*$C$25*1000*$F$21)^2)/$C$30+(-#REF!*COS($F$18*PI()/180)*$F$21-#REF!*COS($I$18*PI()/180)*$I$21)*$C$25*1000)/9.81*$O$99/$Y$47*$F$193*#REF!-$X$47/$Y$47*$C$20*$F$21</f>
        <v>#REF!</v>
      </c>
      <c r="Z61" s="199">
        <f ca="1">(-'int. presets cp_10d+wd'!J27*COS($F$18*PI()/180)*$F$21-'int. presets cp_10d+wd'!J36*COS($I$18*PI()/180)*$I$21)*$N$99*$C$25*1000/9.81/$AA$47*$D$193*'int. presets cp_10d+wd'!$J$246-$Z$47/$AA$47*$C$20*$F$21</f>
        <v>17.380958212727265</v>
      </c>
      <c r="AA61" s="1028">
        <f ca="1">(SQRT(((-'int. presets cp_10d+wd'!E27*SIN($F$18*PI()/180)*$F$21+'int. presets cp_10d+wd'!E36*SIN($I$18*PI()/180)*$I$21)*$C$25*1000)^2+(0.001*$C$25*1000*$F$21)^2)/$C$30+(-'int. presets cp_10d+wd'!E27*COS($F$18*PI()/180)*$F$21-'int. presets cp_10d+wd'!E36*COS($I$18*PI()/180)*$I$21)*$C$25*1000)/9.81*$O$99/$AA$47*$F$193*'int. presets cp_10d+wd'!$E$246-$Z$47/$AA$47*$C$20*$F$21</f>
        <v>16.975134218115699</v>
      </c>
      <c r="AB61" s="18"/>
      <c r="AC61" s="153"/>
      <c r="AD61" s="20"/>
      <c r="AE61" s="1482"/>
      <c r="AF61" s="1483"/>
      <c r="AG61" s="1567"/>
      <c r="AH61" s="1281"/>
      <c r="AI61" s="1281"/>
      <c r="AJ61" s="1281"/>
      <c r="AK61" s="1282"/>
      <c r="AL61" s="1280"/>
      <c r="AM61" s="1281"/>
      <c r="AN61" s="1281"/>
      <c r="AO61" s="1281"/>
      <c r="AP61" s="1282"/>
      <c r="AQ61" s="1334"/>
      <c r="AR61" s="1335"/>
      <c r="AS61" s="1335"/>
      <c r="AT61" s="1335"/>
      <c r="AU61" s="1336"/>
      <c r="AV61" s="1343"/>
      <c r="AW61" s="1344"/>
      <c r="AX61" s="1344"/>
      <c r="AY61" s="1344"/>
      <c r="AZ61" s="1345"/>
      <c r="BA61" s="1352"/>
      <c r="BB61" s="1353"/>
      <c r="BC61" s="1353"/>
      <c r="BD61" s="1353"/>
      <c r="BE61" s="1354"/>
      <c r="BF61" s="1361"/>
      <c r="BG61" s="1362"/>
      <c r="BH61" s="1362"/>
      <c r="BI61" s="1362"/>
      <c r="BJ61" s="1363"/>
      <c r="BK61" s="1503"/>
      <c r="BL61" s="1504"/>
      <c r="BM61" s="1504"/>
      <c r="BN61" s="1504"/>
      <c r="BO61" s="1505"/>
      <c r="BP61" s="1328"/>
      <c r="BQ61" s="1329"/>
      <c r="BR61" s="1329"/>
      <c r="BS61" s="1329"/>
      <c r="BT61" s="1330"/>
      <c r="BU61" s="1495"/>
      <c r="BV61" s="1377"/>
      <c r="BW61" s="1377"/>
      <c r="BX61" s="1377"/>
      <c r="BY61" s="1496"/>
      <c r="BZ61" s="1482"/>
      <c r="CA61" s="1483"/>
      <c r="CB61" s="361"/>
      <c r="CC61" s="485"/>
      <c r="CE61" s="153"/>
      <c r="CF61" s="20"/>
      <c r="CG61" s="1482"/>
      <c r="CH61" s="1483"/>
      <c r="CI61" s="1376"/>
      <c r="CJ61" s="1377"/>
      <c r="CK61" s="1377"/>
      <c r="CL61" s="1377"/>
      <c r="CM61" s="1378"/>
      <c r="CN61" s="1328"/>
      <c r="CO61" s="1329"/>
      <c r="CP61" s="1329"/>
      <c r="CQ61" s="1329"/>
      <c r="CR61" s="1330"/>
      <c r="CS61" s="1298"/>
      <c r="CT61" s="1299"/>
      <c r="CU61" s="1299"/>
      <c r="CV61" s="1299"/>
      <c r="CW61" s="1300"/>
      <c r="CX61" s="1361"/>
      <c r="CY61" s="1362"/>
      <c r="CZ61" s="1362"/>
      <c r="DA61" s="1362"/>
      <c r="DB61" s="1363"/>
      <c r="DC61" s="1352"/>
      <c r="DD61" s="1353"/>
      <c r="DE61" s="1353"/>
      <c r="DF61" s="1353"/>
      <c r="DG61" s="1354"/>
      <c r="DH61" s="1343"/>
      <c r="DI61" s="1344"/>
      <c r="DJ61" s="1344"/>
      <c r="DK61" s="1344"/>
      <c r="DL61" s="1345"/>
      <c r="DM61" s="1334"/>
      <c r="DN61" s="1335"/>
      <c r="DO61" s="1335"/>
      <c r="DP61" s="1335"/>
      <c r="DQ61" s="1336"/>
      <c r="DR61" s="1280"/>
      <c r="DS61" s="1281"/>
      <c r="DT61" s="1281"/>
      <c r="DU61" s="1281"/>
      <c r="DV61" s="1282"/>
      <c r="DW61" s="1280"/>
      <c r="DX61" s="1281"/>
      <c r="DY61" s="1281"/>
      <c r="DZ61" s="1281"/>
      <c r="EA61" s="1287"/>
      <c r="EB61" s="1482"/>
      <c r="EC61" s="1483"/>
      <c r="ED61" s="361"/>
      <c r="EE61" s="485"/>
    </row>
    <row r="62" spans="1:136" s="75" customFormat="1" ht="13.5" customHeight="1" x14ac:dyDescent="0.2">
      <c r="B62" s="1580" t="s">
        <v>463</v>
      </c>
      <c r="C62" s="1581">
        <v>0</v>
      </c>
      <c r="D62" s="1582" t="s">
        <v>463</v>
      </c>
      <c r="E62" s="479" t="s">
        <v>461</v>
      </c>
      <c r="F62" s="1057" t="e">
        <f t="shared" si="39"/>
        <v>#REF!</v>
      </c>
      <c r="G62" s="1057" t="e">
        <f t="shared" si="24"/>
        <v>#REF!</v>
      </c>
      <c r="H62" s="1057" t="e">
        <f t="shared" si="25"/>
        <v>#REF!</v>
      </c>
      <c r="I62" s="1054" t="e">
        <f t="shared" si="26"/>
        <v>#REF!</v>
      </c>
      <c r="J62" s="1057" t="e">
        <f t="shared" si="27"/>
        <v>#REF!</v>
      </c>
      <c r="K62" s="1064" t="e">
        <f t="shared" si="28"/>
        <v>#REF!</v>
      </c>
      <c r="L62" s="1011">
        <f t="shared" ca="1" si="29"/>
        <v>16.975134218115699</v>
      </c>
      <c r="M62" s="940">
        <f t="shared" ca="1" si="30"/>
        <v>37.423720399942226</v>
      </c>
      <c r="N62" s="1025" t="e">
        <f>(-#REF!*COS($F$18*PI()/180)*$F$21-#REF!*COS($I$18*PI()/180)*$I$21)*$N$99*$C$25*1000/9.81/$O$47*$D$193*#REF!-$N$47/$O$47*$C$20*$F$21</f>
        <v>#REF!</v>
      </c>
      <c r="O62" s="75" t="e">
        <f>(SQRT(((-#REF!*SIN($F$18*PI()/180)*$F$21+#REF!*SIN($I$18*PI()/180)*$I$21)*$C$25*1000)^2+(0.001*$C$25*1000*$F$21)^2)/$C$30+(-#REF!*COS($F$18*PI()/180)*$F$21-#REF!*COS($I$18*PI()/180)*$I$21)*$C$25*1000)/9.81*$O$99/$O$47*$F$193*#REF!-$N$47/$O$47*$C$20*$F$21</f>
        <v>#REF!</v>
      </c>
      <c r="P62" s="161" t="e">
        <f>(-#REF!*COS($F$18*PI()/180)*$F$21-#REF!*COS($I$18*PI()/180)*$I$21)*$N$99*$C$25*1000/9.81/$Q$47*$D$193*#REF!-$P$47/$Q$47*$C$20*$F$21</f>
        <v>#REF!</v>
      </c>
      <c r="Q62" s="162" t="e">
        <f>(SQRT(((-#REF!*SIN($F$18*PI()/180)*$F$21+#REF!*SIN($I$18*PI()/180)*$I$21)*$C$25*1000)^2+(0.001*$C$25*1000*$F$21)^2)/$C$30+(-#REF!*COS($F$18*PI()/180)*$F$21-#REF!*COS($I$18*PI()/180)*$I$21)*$C$25*1000)/9.81*$O$99/$Q$47*$F$193*#REF!-$P$47/$Q$47*$C$20*$F$21</f>
        <v>#REF!</v>
      </c>
      <c r="R62" s="161" t="e">
        <f>(-#REF!*COS($F$18*PI()/180)*$F$21-#REF!*COS($I$18*PI()/180)*$I$21)*$N$99*$C$25*1000/9.81/$S$47*$D$193*#REF!-$R$47/$S$47*$C$20*$F$21</f>
        <v>#REF!</v>
      </c>
      <c r="S62" s="162" t="e">
        <f>(SQRT(((-#REF!*SIN($F$18*PI()/180)*$F$21+#REF!*SIN($I$18*PI()/180)*$I$21)*$C$25*1000)^2+(0.001*$C$25*1000*$F$21)^2)/$C$30+(-#REF!*COS($F$18*PI()/180)*$F$21-#REF!*COS($I$18*PI()/180)*$I$21)*$C$25*1000)/9.81*$O$99/$S$47*$F$193*#REF!-$R$47/$S$47*$C$20*$F$21</f>
        <v>#REF!</v>
      </c>
      <c r="T62" s="161" t="e">
        <f>(-#REF!*COS($F$18*PI()/180)*$F$21-#REF!*COS($I$18*PI()/180)*$I$21)*$N$99*$C$25*1000/9.81/$U$47*$D$193*#REF!-$T$47/$U$47*$C$20*$F$21</f>
        <v>#REF!</v>
      </c>
      <c r="U62" s="162" t="e">
        <f>(SQRT(((-#REF!*SIN($F$18*PI()/180)*$F$21+#REF!*SIN($I$18*PI()/180)*$I$21)*$C$25*1000)^2+(0.001*$C$25*1000*$F$21)^2)/$C$30+(-#REF!*COS($F$18*PI()/180)*$F$21-#REF!*COS($I$18*PI()/180)*$I$21)*$C$25*1000)/9.81*$O$99/$U$47*$F$193*#REF!-$T$47/$U$47*$C$20*$F$21</f>
        <v>#REF!</v>
      </c>
      <c r="V62" s="161" t="e">
        <f>(-#REF!*COS($F$18*PI()/180)*$F$21-#REF!*COS($I$18*PI()/180)*$I$21)*$N$99*$C$25*1000/9.81/$W$47*$D$193*#REF!-$V$47/$W$47*$C$20*$F$21</f>
        <v>#REF!</v>
      </c>
      <c r="W62" s="162" t="e">
        <f>(SQRT(((-#REF!*SIN($F$18*PI()/180)*$F$21+#REF!*SIN($I$18*PI()/180)*$I$21)*$C$25*1000)^2+(0.001*$C$25*1000*$F$21)^2)/$C$30+(-#REF!*COS($F$18*PI()/180)*$F$21-#REF!*COS($I$18*PI()/180)*$I$21)*$C$25*1000)/9.81*$O$99/$W$47*$F$193*#REF!-$V$47/$W$47*$C$20*$F$21</f>
        <v>#REF!</v>
      </c>
      <c r="X62" s="161" t="e">
        <f>(-#REF!*COS($F$18*PI()/180)*$F$21-#REF!*COS($I$18*PI()/180)*$I$21)*$N$99*$C$25*1000/9.81/$Y$47*$D$193*#REF!-$X$47/$Y$47*$C$20*$F$21</f>
        <v>#REF!</v>
      </c>
      <c r="Y62" s="162" t="e">
        <f>(SQRT(((-#REF!*SIN($F$18*PI()/180)*$F$21+#REF!*SIN($I$18*PI()/180)*$I$21)*$C$25*1000)^2+(0.001*$C$25*1000*$F$21)^2)/$C$30+(-#REF!*COS($F$18*PI()/180)*$F$21-#REF!*COS($I$18*PI()/180)*$I$21)*$C$25*1000)/9.81*$O$99/$Y$47*$F$193*#REF!-$X$47/$Y$47*$C$20*$F$21</f>
        <v>#REF!</v>
      </c>
      <c r="Z62" s="161">
        <f ca="1">(-'int. presets cp_10d+wd'!J28*COS($F$18*PI()/180)*$F$21-'int. presets cp_10d+wd'!J37*COS($I$18*PI()/180)*$I$21)*$N$99*$C$25*1000/9.81/$AA$47*$D$193*'int. presets cp_10d+wd'!$J$246-$Z$47/$AA$47*$C$20*$F$21</f>
        <v>-0.83232072442488914</v>
      </c>
      <c r="AA62" s="1030">
        <f ca="1">(SQRT(((-'int. presets cp_10d+wd'!E28*SIN($F$18*PI()/180)*$F$21+'int. presets cp_10d+wd'!E37*SIN($I$18*PI()/180)*$I$21)*$C$25*1000)^2+(0.001*$C$25*1000*$F$21)^2)/$C$30+(-'int. presets cp_10d+wd'!E28*COS($F$18*PI()/180)*$F$21-'int. presets cp_10d+wd'!E37*COS($I$18*PI()/180)*$I$21)*$C$25*1000)/9.81*$O$99/$AA$47*$F$193*'int. presets cp_10d+wd'!$E$246-$Z$47/$AA$47*$C$20*$F$21</f>
        <v>16.975134218115699</v>
      </c>
      <c r="AB62" s="18"/>
      <c r="AC62" s="153"/>
      <c r="AD62" s="20"/>
      <c r="AE62" s="1482"/>
      <c r="AF62" s="1483"/>
      <c r="AG62" s="1568"/>
      <c r="AH62" s="1284"/>
      <c r="AI62" s="1284"/>
      <c r="AJ62" s="1284"/>
      <c r="AK62" s="1285"/>
      <c r="AL62" s="1283"/>
      <c r="AM62" s="1284"/>
      <c r="AN62" s="1284"/>
      <c r="AO62" s="1284"/>
      <c r="AP62" s="1285"/>
      <c r="AQ62" s="1337"/>
      <c r="AR62" s="1338"/>
      <c r="AS62" s="1338"/>
      <c r="AT62" s="1338"/>
      <c r="AU62" s="1339"/>
      <c r="AV62" s="1346"/>
      <c r="AW62" s="1347"/>
      <c r="AX62" s="1347"/>
      <c r="AY62" s="1347"/>
      <c r="AZ62" s="1348"/>
      <c r="BA62" s="1355"/>
      <c r="BB62" s="1356"/>
      <c r="BC62" s="1356"/>
      <c r="BD62" s="1356"/>
      <c r="BE62" s="1357"/>
      <c r="BF62" s="1364"/>
      <c r="BG62" s="1365"/>
      <c r="BH62" s="1365"/>
      <c r="BI62" s="1365"/>
      <c r="BJ62" s="1366"/>
      <c r="BK62" s="1506"/>
      <c r="BL62" s="1507"/>
      <c r="BM62" s="1507"/>
      <c r="BN62" s="1507"/>
      <c r="BO62" s="1508"/>
      <c r="BP62" s="1325"/>
      <c r="BQ62" s="1326"/>
      <c r="BR62" s="1326"/>
      <c r="BS62" s="1326"/>
      <c r="BT62" s="1327"/>
      <c r="BU62" s="1429"/>
      <c r="BV62" s="1293"/>
      <c r="BW62" s="1293"/>
      <c r="BX62" s="1293"/>
      <c r="BY62" s="1430"/>
      <c r="BZ62" s="1482"/>
      <c r="CA62" s="1483"/>
      <c r="CB62" s="361"/>
      <c r="CC62" s="486"/>
      <c r="CD62" s="1"/>
      <c r="CE62" s="153"/>
      <c r="CF62" s="20"/>
      <c r="CG62" s="1482"/>
      <c r="CH62" s="1483"/>
      <c r="CI62" s="1292"/>
      <c r="CJ62" s="1293"/>
      <c r="CK62" s="1293"/>
      <c r="CL62" s="1293"/>
      <c r="CM62" s="1294"/>
      <c r="CN62" s="1325"/>
      <c r="CO62" s="1326"/>
      <c r="CP62" s="1326"/>
      <c r="CQ62" s="1326"/>
      <c r="CR62" s="1327"/>
      <c r="CS62" s="1301"/>
      <c r="CT62" s="1302"/>
      <c r="CU62" s="1302"/>
      <c r="CV62" s="1302"/>
      <c r="CW62" s="1303"/>
      <c r="CX62" s="1364"/>
      <c r="CY62" s="1365"/>
      <c r="CZ62" s="1365"/>
      <c r="DA62" s="1365"/>
      <c r="DB62" s="1366"/>
      <c r="DC62" s="1355"/>
      <c r="DD62" s="1356"/>
      <c r="DE62" s="1356"/>
      <c r="DF62" s="1356"/>
      <c r="DG62" s="1357"/>
      <c r="DH62" s="1346"/>
      <c r="DI62" s="1347"/>
      <c r="DJ62" s="1347"/>
      <c r="DK62" s="1347"/>
      <c r="DL62" s="1348"/>
      <c r="DM62" s="1337"/>
      <c r="DN62" s="1338"/>
      <c r="DO62" s="1338"/>
      <c r="DP62" s="1338"/>
      <c r="DQ62" s="1339"/>
      <c r="DR62" s="1283"/>
      <c r="DS62" s="1284"/>
      <c r="DT62" s="1284"/>
      <c r="DU62" s="1284"/>
      <c r="DV62" s="1285"/>
      <c r="DW62" s="1283"/>
      <c r="DX62" s="1284"/>
      <c r="DY62" s="1284"/>
      <c r="DZ62" s="1284"/>
      <c r="EA62" s="1288"/>
      <c r="EB62" s="1482"/>
      <c r="EC62" s="1483"/>
      <c r="ED62" s="361"/>
      <c r="EE62" s="486"/>
      <c r="EF62" s="1"/>
    </row>
    <row r="63" spans="1:136" s="75" customFormat="1" ht="13.5" customHeight="1" thickBot="1" x14ac:dyDescent="0.25">
      <c r="B63" s="1586" t="e">
        <v>#REF!</v>
      </c>
      <c r="C63" s="1587">
        <v>0</v>
      </c>
      <c r="D63" s="1588">
        <v>0</v>
      </c>
      <c r="E63" s="481" t="s">
        <v>462</v>
      </c>
      <c r="F63" s="1055" t="e">
        <f t="shared" si="39"/>
        <v>#REF!</v>
      </c>
      <c r="G63" s="1055" t="e">
        <f t="shared" si="24"/>
        <v>#REF!</v>
      </c>
      <c r="H63" s="1055" t="e">
        <f t="shared" si="25"/>
        <v>#REF!</v>
      </c>
      <c r="I63" s="1056" t="e">
        <f t="shared" si="26"/>
        <v>#REF!</v>
      </c>
      <c r="J63" s="1055" t="e">
        <f t="shared" si="27"/>
        <v>#REF!</v>
      </c>
      <c r="K63" s="1063" t="e">
        <f t="shared" si="28"/>
        <v>#REF!</v>
      </c>
      <c r="L63" s="1012">
        <f t="shared" ca="1" si="29"/>
        <v>16.975134218115699</v>
      </c>
      <c r="M63" s="941">
        <f t="shared" ca="1" si="30"/>
        <v>37.423720399942226</v>
      </c>
      <c r="N63" s="1027" t="e">
        <f>(-#REF!*COS($F$18*PI()/180)*$F$21-#REF!*COS($I$18*PI()/180)*$I$21)*$N$99*$C$25*1000/9.81/$O$47*$D$193*#REF!-$N$47/$O$47*$C$20*$F$21</f>
        <v>#REF!</v>
      </c>
      <c r="O63" s="936" t="e">
        <f>(SQRT(((-#REF!*SIN($F$18*PI()/180)*$F$21+#REF!*SIN($I$18*PI()/180)*$I$21)*$C$25*1000)^2+(0.001*$C$25*1000*$F$21)^2)/$C$30+(-#REF!*COS($F$18*PI()/180)*$F$21-#REF!*COS($I$18*PI()/180)*$I$21)*$C$25*1000)/9.81*$O$99/$O$47*$F$193*#REF!-$N$47/$O$47*$C$20*$F$21</f>
        <v>#REF!</v>
      </c>
      <c r="P63" s="199" t="e">
        <f>(-#REF!*COS($F$18*PI()/180)*$F$21-#REF!*COS($I$18*PI()/180)*$I$21)*$N$99*$C$25*1000/9.81/$Q$47*$D$193*#REF!-$P$47/$Q$47*$C$20*$F$21</f>
        <v>#REF!</v>
      </c>
      <c r="Q63" s="164" t="e">
        <f>(SQRT(((-#REF!*SIN($F$18*PI()/180)*$F$21+#REF!*SIN($I$18*PI()/180)*$I$21)*$C$25*1000)^2+(0.001*$C$25*1000*$F$21)^2)/$C$30+(-#REF!*COS($F$18*PI()/180)*$F$21-#REF!*COS($I$18*PI()/180)*$I$21)*$C$25*1000)/9.81*$O$99/$Q$47*$F$193*#REF!-$P$47/$Q$47*$C$20*$F$21</f>
        <v>#REF!</v>
      </c>
      <c r="R63" s="199" t="e">
        <f>(-#REF!*COS($F$18*PI()/180)*$F$21-#REF!*COS($I$18*PI()/180)*$I$21)*$N$99*$C$25*1000/9.81/$S$47*$D$193*#REF!-$R$47/$S$47*$C$20*$F$21</f>
        <v>#REF!</v>
      </c>
      <c r="S63" s="164" t="e">
        <f>(SQRT(((-#REF!*SIN($F$18*PI()/180)*$F$21+#REF!*SIN($I$18*PI()/180)*$I$21)*$C$25*1000)^2+(0.001*$C$25*1000*$F$21)^2)/$C$30+(-#REF!*COS($F$18*PI()/180)*$F$21-#REF!*COS($I$18*PI()/180)*$I$21)*$C$25*1000)/9.81*$O$99/$S$47*$F$193*#REF!-$R$47/$S$47*$C$20*$F$21</f>
        <v>#REF!</v>
      </c>
      <c r="T63" s="199" t="e">
        <f>(-#REF!*COS($F$18*PI()/180)*$F$21-#REF!*COS($I$18*PI()/180)*$I$21)*$N$99*$C$25*1000/9.81/$U$47*$D$193*#REF!-$T$47/$U$47*$C$20*$F$21</f>
        <v>#REF!</v>
      </c>
      <c r="U63" s="164" t="e">
        <f>(SQRT(((-#REF!*SIN($F$18*PI()/180)*$F$21+#REF!*SIN($I$18*PI()/180)*$I$21)*$C$25*1000)^2+(0.001*$C$25*1000*$F$21)^2)/$C$30+(-#REF!*COS($F$18*PI()/180)*$F$21-#REF!*COS($I$18*PI()/180)*$I$21)*$C$25*1000)/9.81*$O$99/$U$47*$F$193*#REF!-$T$47/$U$47*$C$20*$F$21</f>
        <v>#REF!</v>
      </c>
      <c r="V63" s="199" t="e">
        <f>(-#REF!*COS($F$18*PI()/180)*$F$21-#REF!*COS($I$18*PI()/180)*$I$21)*$N$99*$C$25*1000/9.81/$W$47*$D$193*#REF!-$V$47/$W$47*$C$20*$F$21</f>
        <v>#REF!</v>
      </c>
      <c r="W63" s="164" t="e">
        <f>(SQRT(((-#REF!*SIN($F$18*PI()/180)*$F$21+#REF!*SIN($I$18*PI()/180)*$I$21)*$C$25*1000)^2+(0.001*$C$25*1000*$F$21)^2)/$C$30+(-#REF!*COS($F$18*PI()/180)*$F$21-#REF!*COS($I$18*PI()/180)*$I$21)*$C$25*1000)/9.81*$O$99/$W$47*$F$193*#REF!-$V$47/$W$47*$C$20*$F$21</f>
        <v>#REF!</v>
      </c>
      <c r="X63" s="199" t="e">
        <f>(-#REF!*COS($F$18*PI()/180)*$F$21-#REF!*COS($I$18*PI()/180)*$I$21)*$N$99*$C$25*1000/9.81/$Y$47*$D$193*#REF!-$X$47/$Y$47*$C$20*$F$21</f>
        <v>#REF!</v>
      </c>
      <c r="Y63" s="164" t="e">
        <f>(SQRT(((-#REF!*SIN($F$18*PI()/180)*$F$21+#REF!*SIN($I$18*PI()/180)*$I$21)*$C$25*1000)^2+(0.001*$C$25*1000*$F$21)^2)/$C$30+(-#REF!*COS($F$18*PI()/180)*$F$21-#REF!*COS($I$18*PI()/180)*$I$21)*$C$25*1000)/9.81*$O$99/$Y$47*$F$193*#REF!-$X$47/$Y$47*$C$20*$F$21</f>
        <v>#REF!</v>
      </c>
      <c r="Z63" s="199">
        <f ca="1">(-'int. presets cp_10d+wd'!J29*COS($F$18*PI()/180)*$F$21-'int. presets cp_10d+wd'!J38*COS($I$18*PI()/180)*$I$21)*$N$99*$C$25*1000/9.81/$AA$47*$D$193*'int. presets cp_10d+wd'!$J$246-$Z$47/$AA$47*$C$20*$F$21</f>
        <v>-0.83232072442488914</v>
      </c>
      <c r="AA63" s="1028">
        <f ca="1">(SQRT(((-'int. presets cp_10d+wd'!E29*SIN($F$18*PI()/180)*$F$21+'int. presets cp_10d+wd'!E38*SIN($I$18*PI()/180)*$I$21)*$C$25*1000)^2+(0.001*$C$25*1000*$F$21)^2)/$C$30+(-'int. presets cp_10d+wd'!E29*COS($F$18*PI()/180)*$F$21-'int. presets cp_10d+wd'!E38*COS($I$18*PI()/180)*$I$21)*$C$25*1000)/9.81*$O$99/$AA$47*$F$193*'int. presets cp_10d+wd'!$E$246-$Z$47/$AA$47*$C$20*$F$21</f>
        <v>16.975134218115699</v>
      </c>
      <c r="AB63" s="18"/>
      <c r="AC63" s="153"/>
      <c r="AD63" s="20"/>
      <c r="AE63" s="1482"/>
      <c r="AF63" s="1483"/>
      <c r="AG63" s="1569" t="str">
        <f>AL51</f>
        <v>Inner row
Interior modules</v>
      </c>
      <c r="AH63" s="1278"/>
      <c r="AI63" s="1278"/>
      <c r="AJ63" s="1278"/>
      <c r="AK63" s="1279"/>
      <c r="AL63" s="1277" t="str">
        <f>AL32</f>
        <v>Inner row
Interior modules</v>
      </c>
      <c r="AM63" s="1278"/>
      <c r="AN63" s="1278"/>
      <c r="AO63" s="1278"/>
      <c r="AP63" s="1279"/>
      <c r="AQ63" s="1331" t="str">
        <f>AQ32</f>
        <v>Inner row
1st-4th module</v>
      </c>
      <c r="AR63" s="1332"/>
      <c r="AS63" s="1332"/>
      <c r="AT63" s="1332"/>
      <c r="AU63" s="1333"/>
      <c r="AV63" s="1340" t="str">
        <f>AV32</f>
        <v>Inner row
Interior modules</v>
      </c>
      <c r="AW63" s="1341"/>
      <c r="AX63" s="1341"/>
      <c r="AY63" s="1341"/>
      <c r="AZ63" s="1342"/>
      <c r="BA63" s="1349" t="str">
        <f>BA32</f>
        <v>Inner row
1st-4th module</v>
      </c>
      <c r="BB63" s="1350"/>
      <c r="BC63" s="1350"/>
      <c r="BD63" s="1350"/>
      <c r="BE63" s="1351"/>
      <c r="BF63" s="1358" t="str">
        <f>BF32</f>
        <v>Inner row
Interior modules</v>
      </c>
      <c r="BG63" s="1359"/>
      <c r="BH63" s="1359"/>
      <c r="BI63" s="1359"/>
      <c r="BJ63" s="1360"/>
      <c r="BK63" s="1500" t="str">
        <f>BK32</f>
        <v>Inner row
1st-4th module</v>
      </c>
      <c r="BL63" s="1501"/>
      <c r="BM63" s="1501"/>
      <c r="BN63" s="1501"/>
      <c r="BO63" s="1502"/>
      <c r="BP63" s="1322" t="str">
        <f>BP43</f>
        <v>Inner row
Interior modules</v>
      </c>
      <c r="BQ63" s="1323"/>
      <c r="BR63" s="1323"/>
      <c r="BS63" s="1323"/>
      <c r="BT63" s="1324"/>
      <c r="BU63" s="1427" t="str">
        <f>BU43</f>
        <v>Inner row
1st-4th module</v>
      </c>
      <c r="BV63" s="1290"/>
      <c r="BW63" s="1290"/>
      <c r="BX63" s="1290"/>
      <c r="BY63" s="1428"/>
      <c r="BZ63" s="1482"/>
      <c r="CA63" s="1483"/>
      <c r="CB63" s="361"/>
      <c r="CC63" s="486"/>
      <c r="CD63" s="1"/>
      <c r="CE63" s="153"/>
      <c r="CF63" s="20"/>
      <c r="CG63" s="1482"/>
      <c r="CH63" s="1483"/>
      <c r="CI63" s="1289" t="str">
        <f t="shared" ref="CI63" si="49">BU63</f>
        <v>Inner row
1st-4th module</v>
      </c>
      <c r="CJ63" s="1290"/>
      <c r="CK63" s="1290"/>
      <c r="CL63" s="1290"/>
      <c r="CM63" s="1291"/>
      <c r="CN63" s="1322" t="str">
        <f t="shared" ref="CN63" si="50">BP63</f>
        <v>Inner row
Interior modules</v>
      </c>
      <c r="CO63" s="1323"/>
      <c r="CP63" s="1323"/>
      <c r="CQ63" s="1323"/>
      <c r="CR63" s="1324"/>
      <c r="CS63" s="1295" t="str">
        <f t="shared" ref="CS63" si="51">BK63</f>
        <v>Inner row
1st-4th module</v>
      </c>
      <c r="CT63" s="1296"/>
      <c r="CU63" s="1296"/>
      <c r="CV63" s="1296"/>
      <c r="CW63" s="1297"/>
      <c r="CX63" s="1358" t="str">
        <f t="shared" ref="CX63" si="52">BF63</f>
        <v>Inner row
Interior modules</v>
      </c>
      <c r="CY63" s="1359"/>
      <c r="CZ63" s="1359"/>
      <c r="DA63" s="1359"/>
      <c r="DB63" s="1360"/>
      <c r="DC63" s="1349" t="str">
        <f t="shared" ref="DC63" si="53">BA63</f>
        <v>Inner row
1st-4th module</v>
      </c>
      <c r="DD63" s="1350"/>
      <c r="DE63" s="1350"/>
      <c r="DF63" s="1350"/>
      <c r="DG63" s="1351"/>
      <c r="DH63" s="1340" t="str">
        <f t="shared" ref="DH63" si="54">AV63</f>
        <v>Inner row
Interior modules</v>
      </c>
      <c r="DI63" s="1341"/>
      <c r="DJ63" s="1341"/>
      <c r="DK63" s="1341"/>
      <c r="DL63" s="1342"/>
      <c r="DM63" s="1331" t="str">
        <f t="shared" ref="DM63" si="55">AQ63</f>
        <v>Inner row
1st-4th module</v>
      </c>
      <c r="DN63" s="1332"/>
      <c r="DO63" s="1332"/>
      <c r="DP63" s="1332"/>
      <c r="DQ63" s="1333"/>
      <c r="DR63" s="1277" t="str">
        <f t="shared" ref="DR63" si="56">AL63</f>
        <v>Inner row
Interior modules</v>
      </c>
      <c r="DS63" s="1278"/>
      <c r="DT63" s="1278"/>
      <c r="DU63" s="1278"/>
      <c r="DV63" s="1279"/>
      <c r="DW63" s="1277" t="str">
        <f t="shared" ref="DW63" si="57">AG63</f>
        <v>Inner row
Interior modules</v>
      </c>
      <c r="DX63" s="1278"/>
      <c r="DY63" s="1278"/>
      <c r="DZ63" s="1278"/>
      <c r="EA63" s="1286"/>
      <c r="EB63" s="1482"/>
      <c r="EC63" s="1483"/>
      <c r="ED63" s="361"/>
      <c r="EE63" s="486"/>
      <c r="EF63" s="1"/>
    </row>
    <row r="64" spans="1:136" s="75" customFormat="1" ht="13.5" customHeight="1" x14ac:dyDescent="0.2">
      <c r="B64" s="1580" t="s">
        <v>464</v>
      </c>
      <c r="C64" s="1581">
        <v>0</v>
      </c>
      <c r="D64" s="1582" t="s">
        <v>464</v>
      </c>
      <c r="E64" s="479" t="s">
        <v>461</v>
      </c>
      <c r="F64" s="1057" t="e">
        <f t="shared" si="39"/>
        <v>#REF!</v>
      </c>
      <c r="G64" s="1057" t="e">
        <f t="shared" si="24"/>
        <v>#REF!</v>
      </c>
      <c r="H64" s="1057" t="e">
        <f t="shared" si="25"/>
        <v>#REF!</v>
      </c>
      <c r="I64" s="1054" t="e">
        <f t="shared" si="26"/>
        <v>#REF!</v>
      </c>
      <c r="J64" s="1057" t="e">
        <f t="shared" si="27"/>
        <v>#REF!</v>
      </c>
      <c r="K64" s="1064" t="e">
        <f t="shared" si="28"/>
        <v>#REF!</v>
      </c>
      <c r="L64" s="1011">
        <f t="shared" ca="1" si="29"/>
        <v>16.975134218115699</v>
      </c>
      <c r="M64" s="940">
        <f t="shared" ca="1" si="30"/>
        <v>37.423720399942226</v>
      </c>
      <c r="N64" s="1025" t="e">
        <f>(-#REF!*COS($F$18*PI()/180)*$F$21-#REF!*COS($I$18*PI()/180)*$I$21)*$N$99*$C$25*1000/9.81/$O$47*$D$193*#REF!-$N$47/$O$47*$C$20*$F$21</f>
        <v>#REF!</v>
      </c>
      <c r="O64" s="75" t="e">
        <f>(SQRT(((-#REF!*SIN($F$18*PI()/180)*$F$21+#REF!*SIN($I$18*PI()/180)*$I$21)*$C$25*1000)^2+(0.001*$C$25*1000*$F$21)^2)/$C$30+(-#REF!*COS($F$18*PI()/180)*$F$21-#REF!*COS($I$18*PI()/180)*$I$21)*$C$25*1000)/9.81*$O$99/$O$47*$F$193*#REF!-$N$47/$O$47*$C$20*$F$21</f>
        <v>#REF!</v>
      </c>
      <c r="P64" s="161" t="e">
        <f>(-#REF!*COS($F$18*PI()/180)*$F$21-#REF!*COS($I$18*PI()/180)*$I$21)*$N$99*$C$25*1000/9.81/$Q$47*$D$193*#REF!-$P$47/$Q$47*$C$20*$F$21</f>
        <v>#REF!</v>
      </c>
      <c r="Q64" s="162" t="e">
        <f>(SQRT(((-#REF!*SIN($F$18*PI()/180)*$F$21+#REF!*SIN($I$18*PI()/180)*$I$21)*$C$25*1000)^2+(0.001*$C$25*1000*$F$21)^2)/$C$30+(-#REF!*COS($F$18*PI()/180)*$F$21-#REF!*COS($I$18*PI()/180)*$I$21)*$C$25*1000)/9.81*$O$99/$Q$47*$F$193*#REF!-$P$47/$Q$47*$C$20*$F$21</f>
        <v>#REF!</v>
      </c>
      <c r="R64" s="161" t="e">
        <f>(-#REF!*COS($F$18*PI()/180)*$F$21-#REF!*COS($I$18*PI()/180)*$I$21)*$N$99*$C$25*1000/9.81/$S$47*$D$193*#REF!-$R$47/$S$47*$C$20*$F$21</f>
        <v>#REF!</v>
      </c>
      <c r="S64" s="162" t="e">
        <f>(SQRT(((-#REF!*SIN($F$18*PI()/180)*$F$21+#REF!*SIN($I$18*PI()/180)*$I$21)*$C$25*1000)^2+(0.001*$C$25*1000*$F$21)^2)/$C$30+(-#REF!*COS($F$18*PI()/180)*$F$21-#REF!*COS($I$18*PI()/180)*$I$21)*$C$25*1000)/9.81*$O$99/$S$47*$F$193*#REF!-$R$47/$S$47*$C$20*$F$21</f>
        <v>#REF!</v>
      </c>
      <c r="T64" s="161" t="e">
        <f>(-#REF!*COS($F$18*PI()/180)*$F$21-#REF!*COS($I$18*PI()/180)*$I$21)*$N$99*$C$25*1000/9.81/$U$47*$D$193*#REF!-$T$47/$U$47*$C$20*$F$21</f>
        <v>#REF!</v>
      </c>
      <c r="U64" s="162" t="e">
        <f>(SQRT(((-#REF!*SIN($F$18*PI()/180)*$F$21+#REF!*SIN($I$18*PI()/180)*$I$21)*$C$25*1000)^2+(0.001*$C$25*1000*$F$21)^2)/$C$30+(-#REF!*COS($F$18*PI()/180)*$F$21-#REF!*COS($I$18*PI()/180)*$I$21)*$C$25*1000)/9.81*$O$99/$U$47*$F$193*#REF!-$T$47/$U$47*$C$20*$F$21</f>
        <v>#REF!</v>
      </c>
      <c r="V64" s="161" t="e">
        <f>(-#REF!*COS($F$18*PI()/180)*$F$21-#REF!*COS($I$18*PI()/180)*$I$21)*$N$99*$C$25*1000/9.81/$W$47*$D$193*#REF!-$V$47/$W$47*$C$20*$F$21</f>
        <v>#REF!</v>
      </c>
      <c r="W64" s="162" t="e">
        <f>(SQRT(((-#REF!*SIN($F$18*PI()/180)*$F$21+#REF!*SIN($I$18*PI()/180)*$I$21)*$C$25*1000)^2+(0.001*$C$25*1000*$F$21)^2)/$C$30+(-#REF!*COS($F$18*PI()/180)*$F$21-#REF!*COS($I$18*PI()/180)*$I$21)*$C$25*1000)/9.81*$O$99/$W$47*$F$193*#REF!-$V$47/$W$47*$C$20*$F$21</f>
        <v>#REF!</v>
      </c>
      <c r="X64" s="161" t="e">
        <f>(-#REF!*COS($F$18*PI()/180)*$F$21-#REF!*COS($I$18*PI()/180)*$I$21)*$N$99*$C$25*1000/9.81/$Y$47*$D$193*#REF!-$X$47/$Y$47*$C$20*$F$21</f>
        <v>#REF!</v>
      </c>
      <c r="Y64" s="162" t="e">
        <f>(SQRT(((-#REF!*SIN($F$18*PI()/180)*$F$21+#REF!*SIN($I$18*PI()/180)*$I$21)*$C$25*1000)^2+(0.001*$C$25*1000*$F$21)^2)/$C$30+(-#REF!*COS($F$18*PI()/180)*$F$21-#REF!*COS($I$18*PI()/180)*$I$21)*$C$25*1000)/9.81*$O$99/$Y$47*$F$193*#REF!-$X$47/$Y$47*$C$20*$F$21</f>
        <v>#REF!</v>
      </c>
      <c r="Z64" s="161">
        <f ca="1">(-'int. presets cp_10d+wd'!J30*COS($F$18*PI()/180)*$F$21-'int. presets cp_10d+wd'!J39*COS($I$18*PI()/180)*$I$21)*$N$99*$C$25*1000/9.81/$AA$47*$D$193*'int. presets cp_10d+wd'!$J$246-$Z$47/$AA$47*$C$20*$F$21</f>
        <v>-0.83232072442488914</v>
      </c>
      <c r="AA64" s="1030">
        <f ca="1">(SQRT(((-'int. presets cp_10d+wd'!E30*SIN($F$18*PI()/180)*$F$21+'int. presets cp_10d+wd'!E39*SIN($I$18*PI()/180)*$I$21)*$C$25*1000)^2+(0.001*$C$25*1000*$F$21)^2)/$C$30+(-'int. presets cp_10d+wd'!E30*COS($F$18*PI()/180)*$F$21-'int. presets cp_10d+wd'!E39*COS($I$18*PI()/180)*$I$21)*$C$25*1000)/9.81*$O$99/$AA$47*$F$193*'int. presets cp_10d+wd'!$E$246-$Z$47/$AA$47*$C$20*$F$21</f>
        <v>16.975134218115699</v>
      </c>
      <c r="AB64" s="18"/>
      <c r="AC64" s="153"/>
      <c r="AD64" s="20"/>
      <c r="AE64" s="1482"/>
      <c r="AF64" s="1483"/>
      <c r="AG64" s="1567"/>
      <c r="AH64" s="1281"/>
      <c r="AI64" s="1281"/>
      <c r="AJ64" s="1281"/>
      <c r="AK64" s="1282"/>
      <c r="AL64" s="1280"/>
      <c r="AM64" s="1281"/>
      <c r="AN64" s="1281"/>
      <c r="AO64" s="1281"/>
      <c r="AP64" s="1282"/>
      <c r="AQ64" s="1334"/>
      <c r="AR64" s="1335"/>
      <c r="AS64" s="1335"/>
      <c r="AT64" s="1335"/>
      <c r="AU64" s="1336"/>
      <c r="AV64" s="1343"/>
      <c r="AW64" s="1344"/>
      <c r="AX64" s="1344"/>
      <c r="AY64" s="1344"/>
      <c r="AZ64" s="1345"/>
      <c r="BA64" s="1352"/>
      <c r="BB64" s="1353"/>
      <c r="BC64" s="1353"/>
      <c r="BD64" s="1353"/>
      <c r="BE64" s="1354"/>
      <c r="BF64" s="1361"/>
      <c r="BG64" s="1362"/>
      <c r="BH64" s="1362"/>
      <c r="BI64" s="1362"/>
      <c r="BJ64" s="1363"/>
      <c r="BK64" s="1503"/>
      <c r="BL64" s="1504"/>
      <c r="BM64" s="1504"/>
      <c r="BN64" s="1504"/>
      <c r="BO64" s="1505"/>
      <c r="BP64" s="1328"/>
      <c r="BQ64" s="1329"/>
      <c r="BR64" s="1329"/>
      <c r="BS64" s="1329"/>
      <c r="BT64" s="1330"/>
      <c r="BU64" s="1495"/>
      <c r="BV64" s="1377"/>
      <c r="BW64" s="1377"/>
      <c r="BX64" s="1377"/>
      <c r="BY64" s="1496"/>
      <c r="BZ64" s="1482"/>
      <c r="CA64" s="1483"/>
      <c r="CB64" s="361"/>
      <c r="CC64" s="486"/>
      <c r="CD64" s="1"/>
      <c r="CE64" s="153"/>
      <c r="CF64" s="20"/>
      <c r="CG64" s="1482"/>
      <c r="CH64" s="1483"/>
      <c r="CI64" s="1376"/>
      <c r="CJ64" s="1377"/>
      <c r="CK64" s="1377"/>
      <c r="CL64" s="1377"/>
      <c r="CM64" s="1378"/>
      <c r="CN64" s="1328"/>
      <c r="CO64" s="1329"/>
      <c r="CP64" s="1329"/>
      <c r="CQ64" s="1329"/>
      <c r="CR64" s="1330"/>
      <c r="CS64" s="1298"/>
      <c r="CT64" s="1299"/>
      <c r="CU64" s="1299"/>
      <c r="CV64" s="1299"/>
      <c r="CW64" s="1300"/>
      <c r="CX64" s="1361"/>
      <c r="CY64" s="1362"/>
      <c r="CZ64" s="1362"/>
      <c r="DA64" s="1362"/>
      <c r="DB64" s="1363"/>
      <c r="DC64" s="1352"/>
      <c r="DD64" s="1353"/>
      <c r="DE64" s="1353"/>
      <c r="DF64" s="1353"/>
      <c r="DG64" s="1354"/>
      <c r="DH64" s="1343"/>
      <c r="DI64" s="1344"/>
      <c r="DJ64" s="1344"/>
      <c r="DK64" s="1344"/>
      <c r="DL64" s="1345"/>
      <c r="DM64" s="1334"/>
      <c r="DN64" s="1335"/>
      <c r="DO64" s="1335"/>
      <c r="DP64" s="1335"/>
      <c r="DQ64" s="1336"/>
      <c r="DR64" s="1280"/>
      <c r="DS64" s="1281"/>
      <c r="DT64" s="1281"/>
      <c r="DU64" s="1281"/>
      <c r="DV64" s="1282"/>
      <c r="DW64" s="1280"/>
      <c r="DX64" s="1281"/>
      <c r="DY64" s="1281"/>
      <c r="DZ64" s="1281"/>
      <c r="EA64" s="1287"/>
      <c r="EB64" s="1482"/>
      <c r="EC64" s="1483"/>
      <c r="ED64" s="361"/>
      <c r="EE64" s="486"/>
      <c r="EF64" s="1"/>
    </row>
    <row r="65" spans="2:136" s="75" customFormat="1" ht="13.5" customHeight="1" thickBot="1" x14ac:dyDescent="0.25">
      <c r="B65" s="1586" t="e">
        <v>#REF!</v>
      </c>
      <c r="C65" s="1587">
        <v>0</v>
      </c>
      <c r="D65" s="1588">
        <v>0</v>
      </c>
      <c r="E65" s="481" t="s">
        <v>462</v>
      </c>
      <c r="F65" s="1055" t="e">
        <f t="shared" si="39"/>
        <v>#REF!</v>
      </c>
      <c r="G65" s="1055" t="e">
        <f t="shared" si="24"/>
        <v>#REF!</v>
      </c>
      <c r="H65" s="1055" t="e">
        <f t="shared" si="25"/>
        <v>#REF!</v>
      </c>
      <c r="I65" s="1056" t="e">
        <f t="shared" si="26"/>
        <v>#REF!</v>
      </c>
      <c r="J65" s="1055" t="e">
        <f t="shared" si="27"/>
        <v>#REF!</v>
      </c>
      <c r="K65" s="1063" t="e">
        <f t="shared" si="28"/>
        <v>#REF!</v>
      </c>
      <c r="L65" s="1012">
        <f t="shared" ca="1" si="29"/>
        <v>16.975134218115699</v>
      </c>
      <c r="M65" s="941">
        <f t="shared" ca="1" si="30"/>
        <v>37.423720399942226</v>
      </c>
      <c r="N65" s="1027" t="e">
        <f>(-#REF!*COS($F$18*PI()/180)*$F$21-#REF!*COS($I$18*PI()/180)*$I$21)*$N$99*$C$25*1000/9.81/$O$47*$D$193*#REF!-$N$47/$O$47*$C$20*$F$21</f>
        <v>#REF!</v>
      </c>
      <c r="O65" s="936" t="e">
        <f>(SQRT(((-#REF!*SIN($F$18*PI()/180)*$F$21+#REF!*SIN($I$18*PI()/180)*$I$21)*$C$25*1000)^2+(0.001*$C$25*1000*$F$21)^2)/$C$30+(-#REF!*COS($F$18*PI()/180)*$F$21-#REF!*COS($I$18*PI()/180)*$I$21)*$C$25*1000)/9.81*$O$99/$O$47*$F$193*#REF!-$N$47/$O$47*$C$20*$F$21</f>
        <v>#REF!</v>
      </c>
      <c r="P65" s="199" t="e">
        <f>(-#REF!*COS($F$18*PI()/180)*$F$21-#REF!*COS($I$18*PI()/180)*$I$21)*$N$99*$C$25*1000/9.81/$Q$47*$D$193*#REF!-$P$47/$Q$47*$C$20*$F$21</f>
        <v>#REF!</v>
      </c>
      <c r="Q65" s="164" t="e">
        <f>(SQRT(((-#REF!*SIN($F$18*PI()/180)*$F$21+#REF!*SIN($I$18*PI()/180)*$I$21)*$C$25*1000)^2+(0.001*$C$25*1000*$F$21)^2)/$C$30+(-#REF!*COS($F$18*PI()/180)*$F$21-#REF!*COS($I$18*PI()/180)*$I$21)*$C$25*1000)/9.81*$O$99/$Q$47*$F$193*#REF!-$P$47/$Q$47*$C$20*$F$21</f>
        <v>#REF!</v>
      </c>
      <c r="R65" s="199" t="e">
        <f>(-#REF!*COS($F$18*PI()/180)*$F$21-#REF!*COS($I$18*PI()/180)*$I$21)*$N$99*$C$25*1000/9.81/$S$47*$D$193*#REF!-$R$47/$S$47*$C$20*$F$21</f>
        <v>#REF!</v>
      </c>
      <c r="S65" s="164" t="e">
        <f>(SQRT(((-#REF!*SIN($F$18*PI()/180)*$F$21+#REF!*SIN($I$18*PI()/180)*$I$21)*$C$25*1000)^2+(0.001*$C$25*1000*$F$21)^2)/$C$30+(-#REF!*COS($F$18*PI()/180)*$F$21-#REF!*COS($I$18*PI()/180)*$I$21)*$C$25*1000)/9.81*$O$99/$S$47*$F$193*#REF!-$R$47/$S$47*$C$20*$F$21</f>
        <v>#REF!</v>
      </c>
      <c r="T65" s="199" t="e">
        <f>(-#REF!*COS($F$18*PI()/180)*$F$21-#REF!*COS($I$18*PI()/180)*$I$21)*$N$99*$C$25*1000/9.81/$U$47*$D$193*#REF!-$T$47/$U$47*$C$20*$F$21</f>
        <v>#REF!</v>
      </c>
      <c r="U65" s="164" t="e">
        <f>(SQRT(((-#REF!*SIN($F$18*PI()/180)*$F$21+#REF!*SIN($I$18*PI()/180)*$I$21)*$C$25*1000)^2+(0.001*$C$25*1000*$F$21)^2)/$C$30+(-#REF!*COS($F$18*PI()/180)*$F$21-#REF!*COS($I$18*PI()/180)*$I$21)*$C$25*1000)/9.81*$O$99/$U$47*$F$193*#REF!-$T$47/$U$47*$C$20*$F$21</f>
        <v>#REF!</v>
      </c>
      <c r="V65" s="199" t="e">
        <f>(-#REF!*COS($F$18*PI()/180)*$F$21-#REF!*COS($I$18*PI()/180)*$I$21)*$N$99*$C$25*1000/9.81/$W$47*$D$193*#REF!-$V$47/$W$47*$C$20*$F$21</f>
        <v>#REF!</v>
      </c>
      <c r="W65" s="164" t="e">
        <f>(SQRT(((-#REF!*SIN($F$18*PI()/180)*$F$21+#REF!*SIN($I$18*PI()/180)*$I$21)*$C$25*1000)^2+(0.001*$C$25*1000*$F$21)^2)/$C$30+(-#REF!*COS($F$18*PI()/180)*$F$21-#REF!*COS($I$18*PI()/180)*$I$21)*$C$25*1000)/9.81*$O$99/$W$47*$F$193*#REF!-$V$47/$W$47*$C$20*$F$21</f>
        <v>#REF!</v>
      </c>
      <c r="X65" s="199" t="e">
        <f>(-#REF!*COS($F$18*PI()/180)*$F$21-#REF!*COS($I$18*PI()/180)*$I$21)*$N$99*$C$25*1000/9.81/$Y$47*$D$193*#REF!-$X$47/$Y$47*$C$20*$F$21</f>
        <v>#REF!</v>
      </c>
      <c r="Y65" s="164" t="e">
        <f>(SQRT(((-#REF!*SIN($F$18*PI()/180)*$F$21+#REF!*SIN($I$18*PI()/180)*$I$21)*$C$25*1000)^2+(0.001*$C$25*1000*$F$21)^2)/$C$30+(-#REF!*COS($F$18*PI()/180)*$F$21-#REF!*COS($I$18*PI()/180)*$I$21)*$C$25*1000)/9.81*$O$99/$Y$47*$F$193*#REF!-$X$47/$Y$47*$C$20*$F$21</f>
        <v>#REF!</v>
      </c>
      <c r="Z65" s="199">
        <f ca="1">(-'int. presets cp_10d+wd'!J31*COS($F$18*PI()/180)*$F$21-'int. presets cp_10d+wd'!J40*COS($I$18*PI()/180)*$I$21)*$N$99*$C$25*1000/9.81/$AA$47*$D$193*'int. presets cp_10d+wd'!$J$246-$Z$47/$AA$47*$C$20*$F$21</f>
        <v>-0.83232072442488914</v>
      </c>
      <c r="AA65" s="1028">
        <f ca="1">(SQRT(((-'int. presets cp_10d+wd'!E31*SIN($F$18*PI()/180)*$F$21+'int. presets cp_10d+wd'!E40*SIN($I$18*PI()/180)*$I$21)*$C$25*1000)^2+(0.001*$C$25*1000*$F$21)^2)/$C$30+(-'int. presets cp_10d+wd'!E31*COS($F$18*PI()/180)*$F$21-'int. presets cp_10d+wd'!E40*COS($I$18*PI()/180)*$I$21)*$C$25*1000)/9.81*$O$99/$AA$47*$F$193*'int. presets cp_10d+wd'!$E$246-$Z$47/$AA$47*$C$20*$F$21</f>
        <v>16.975134218115699</v>
      </c>
      <c r="AB65" s="18"/>
      <c r="AC65" s="153"/>
      <c r="AD65" s="20"/>
      <c r="AE65" s="1482"/>
      <c r="AF65" s="1483"/>
      <c r="AG65" s="1568"/>
      <c r="AH65" s="1284"/>
      <c r="AI65" s="1284"/>
      <c r="AJ65" s="1284"/>
      <c r="AK65" s="1285"/>
      <c r="AL65" s="1283"/>
      <c r="AM65" s="1284"/>
      <c r="AN65" s="1284"/>
      <c r="AO65" s="1284"/>
      <c r="AP65" s="1285"/>
      <c r="AQ65" s="1337"/>
      <c r="AR65" s="1338"/>
      <c r="AS65" s="1338"/>
      <c r="AT65" s="1338"/>
      <c r="AU65" s="1339"/>
      <c r="AV65" s="1346"/>
      <c r="AW65" s="1347"/>
      <c r="AX65" s="1347"/>
      <c r="AY65" s="1347"/>
      <c r="AZ65" s="1348"/>
      <c r="BA65" s="1355"/>
      <c r="BB65" s="1356"/>
      <c r="BC65" s="1356"/>
      <c r="BD65" s="1356"/>
      <c r="BE65" s="1357"/>
      <c r="BF65" s="1364"/>
      <c r="BG65" s="1365"/>
      <c r="BH65" s="1365"/>
      <c r="BI65" s="1365"/>
      <c r="BJ65" s="1366"/>
      <c r="BK65" s="1506"/>
      <c r="BL65" s="1507"/>
      <c r="BM65" s="1507"/>
      <c r="BN65" s="1507"/>
      <c r="BO65" s="1508"/>
      <c r="BP65" s="1325"/>
      <c r="BQ65" s="1326"/>
      <c r="BR65" s="1326"/>
      <c r="BS65" s="1326"/>
      <c r="BT65" s="1327"/>
      <c r="BU65" s="1429"/>
      <c r="BV65" s="1293"/>
      <c r="BW65" s="1293"/>
      <c r="BX65" s="1293"/>
      <c r="BY65" s="1430"/>
      <c r="BZ65" s="1482"/>
      <c r="CA65" s="1483"/>
      <c r="CB65" s="361"/>
      <c r="CC65" s="486"/>
      <c r="CD65" s="1"/>
      <c r="CE65" s="153"/>
      <c r="CF65" s="20"/>
      <c r="CG65" s="1482"/>
      <c r="CH65" s="1483"/>
      <c r="CI65" s="1292"/>
      <c r="CJ65" s="1293"/>
      <c r="CK65" s="1293"/>
      <c r="CL65" s="1293"/>
      <c r="CM65" s="1294"/>
      <c r="CN65" s="1325"/>
      <c r="CO65" s="1326"/>
      <c r="CP65" s="1326"/>
      <c r="CQ65" s="1326"/>
      <c r="CR65" s="1327"/>
      <c r="CS65" s="1301"/>
      <c r="CT65" s="1302"/>
      <c r="CU65" s="1302"/>
      <c r="CV65" s="1302"/>
      <c r="CW65" s="1303"/>
      <c r="CX65" s="1364"/>
      <c r="CY65" s="1365"/>
      <c r="CZ65" s="1365"/>
      <c r="DA65" s="1365"/>
      <c r="DB65" s="1366"/>
      <c r="DC65" s="1355"/>
      <c r="DD65" s="1356"/>
      <c r="DE65" s="1356"/>
      <c r="DF65" s="1356"/>
      <c r="DG65" s="1357"/>
      <c r="DH65" s="1346"/>
      <c r="DI65" s="1347"/>
      <c r="DJ65" s="1347"/>
      <c r="DK65" s="1347"/>
      <c r="DL65" s="1348"/>
      <c r="DM65" s="1337"/>
      <c r="DN65" s="1338"/>
      <c r="DO65" s="1338"/>
      <c r="DP65" s="1338"/>
      <c r="DQ65" s="1339"/>
      <c r="DR65" s="1283"/>
      <c r="DS65" s="1284"/>
      <c r="DT65" s="1284"/>
      <c r="DU65" s="1284"/>
      <c r="DV65" s="1285"/>
      <c r="DW65" s="1283"/>
      <c r="DX65" s="1284"/>
      <c r="DY65" s="1284"/>
      <c r="DZ65" s="1284"/>
      <c r="EA65" s="1288"/>
      <c r="EB65" s="1482"/>
      <c r="EC65" s="1483"/>
      <c r="ED65" s="361"/>
      <c r="EE65" s="486"/>
      <c r="EF65" s="1"/>
    </row>
    <row r="66" spans="2:136" s="75" customFormat="1" ht="13.5" customHeight="1" x14ac:dyDescent="0.2">
      <c r="B66" s="1580" t="s">
        <v>465</v>
      </c>
      <c r="C66" s="1581">
        <v>0</v>
      </c>
      <c r="D66" s="1582" t="s">
        <v>465</v>
      </c>
      <c r="E66" s="479" t="s">
        <v>461</v>
      </c>
      <c r="F66" s="1057" t="e">
        <f t="shared" si="39"/>
        <v>#REF!</v>
      </c>
      <c r="G66" s="1057" t="e">
        <f t="shared" si="24"/>
        <v>#REF!</v>
      </c>
      <c r="H66" s="1057" t="e">
        <f t="shared" si="25"/>
        <v>#REF!</v>
      </c>
      <c r="I66" s="1054" t="e">
        <f t="shared" si="26"/>
        <v>#REF!</v>
      </c>
      <c r="J66" s="1057" t="e">
        <f t="shared" si="27"/>
        <v>#REF!</v>
      </c>
      <c r="K66" s="1064" t="e">
        <f t="shared" si="28"/>
        <v>#REF!</v>
      </c>
      <c r="L66" s="1011">
        <f t="shared" ca="1" si="29"/>
        <v>16.975134218115699</v>
      </c>
      <c r="M66" s="940">
        <f t="shared" ca="1" si="30"/>
        <v>37.423720399942226</v>
      </c>
      <c r="N66" s="1025" t="e">
        <f>(-#REF!*COS($F$18*PI()/180)*$F$21-#REF!*COS($I$18*PI()/180)*$I$21)*$N$99*$C$25*1000/9.81/$O$47*$D$193*#REF!-$N$47/$O$47*$C$20*$F$21</f>
        <v>#REF!</v>
      </c>
      <c r="O66" s="75" t="e">
        <f>(SQRT(((-#REF!*SIN($F$18*PI()/180)*$F$21+#REF!*SIN($I$18*PI()/180)*$I$21)*$C$25*1000)^2+(0.001*$C$25*1000*$F$21)^2)/$C$30+(-#REF!*COS($F$18*PI()/180)*$F$21-#REF!*COS($I$18*PI()/180)*$I$21)*$C$25*1000)/9.81*$O$99/$O$47*$F$193*#REF!-$N$47/$O$47*$C$20*$F$21</f>
        <v>#REF!</v>
      </c>
      <c r="P66" s="161" t="e">
        <f>(-#REF!*COS($F$18*PI()/180)*$F$21-#REF!*COS($I$18*PI()/180)*$I$21)*$N$99*$C$25*1000/9.81/$Q$47*$D$193*#REF!-$P$47/$Q$47*$C$20*$F$21</f>
        <v>#REF!</v>
      </c>
      <c r="Q66" s="198" t="e">
        <f>(SQRT(((-#REF!*SIN($F$18*PI()/180)*$F$21+#REF!*SIN($I$18*PI()/180)*$I$21)*$C$25*1000)^2+(0.001*$C$25*1000*$F$21)^2)/$C$30+(-#REF!*COS($F$18*PI()/180)*$F$21-#REF!*COS($I$18*PI()/180)*$I$21)*$C$25*1000)/9.81*$O$99/$Q$47*$F$193*#REF!-$P$47/$Q$47*$C$20*$F$21</f>
        <v>#REF!</v>
      </c>
      <c r="R66" s="161" t="e">
        <f>(-#REF!*COS($F$18*PI()/180)*$F$21-#REF!*COS($I$18*PI()/180)*$I$21)*$N$99*$C$25*1000/9.81/$S$47*$D$193*#REF!-$R$47/$S$47*$C$20*$F$21</f>
        <v>#REF!</v>
      </c>
      <c r="S66" s="198" t="e">
        <f>(SQRT(((-#REF!*SIN($F$18*PI()/180)*$F$21+#REF!*SIN($I$18*PI()/180)*$I$21)*$C$25*1000)^2+(0.001*$C$25*1000*$F$21)^2)/$C$30+(-#REF!*COS($F$18*PI()/180)*$F$21-#REF!*COS($I$18*PI()/180)*$I$21)*$C$25*1000)/9.81*$O$99/$S$47*$F$193*#REF!-$R$47/$S$47*$C$20*$F$21</f>
        <v>#REF!</v>
      </c>
      <c r="T66" s="161" t="e">
        <f>(-#REF!*COS($F$18*PI()/180)*$F$21-#REF!*COS($I$18*PI()/180)*$I$21)*$N$99*$C$25*1000/9.81/$U$47*$D$193*#REF!-$T$47/$U$47*$C$20*$F$21</f>
        <v>#REF!</v>
      </c>
      <c r="U66" s="198" t="e">
        <f>(SQRT(((-#REF!*SIN($F$18*PI()/180)*$F$21+#REF!*SIN($I$18*PI()/180)*$I$21)*$C$25*1000)^2+(0.001*$C$25*1000*$F$21)^2)/$C$30+(-#REF!*COS($F$18*PI()/180)*$F$21-#REF!*COS($I$18*PI()/180)*$I$21)*$C$25*1000)/9.81*$O$99/$U$47*$F$193*#REF!-$T$47/$U$47*$C$20*$F$21</f>
        <v>#REF!</v>
      </c>
      <c r="V66" s="161" t="e">
        <f>(-#REF!*COS($F$18*PI()/180)*$F$21-#REF!*COS($I$18*PI()/180)*$I$21)*$N$99*$C$25*1000/9.81/$W$47*$D$193*#REF!-$V$47/$W$47*$C$20*$F$21</f>
        <v>#REF!</v>
      </c>
      <c r="W66" s="198" t="e">
        <f>(SQRT(((-#REF!*SIN($F$18*PI()/180)*$F$21+#REF!*SIN($I$18*PI()/180)*$I$21)*$C$25*1000)^2+(0.001*$C$25*1000*$F$21)^2)/$C$30+(-#REF!*COS($F$18*PI()/180)*$F$21-#REF!*COS($I$18*PI()/180)*$I$21)*$C$25*1000)/9.81*$O$99/$W$47*$F$193*#REF!-$V$47/$W$47*$C$20*$F$21</f>
        <v>#REF!</v>
      </c>
      <c r="X66" s="161" t="e">
        <f>(-#REF!*COS($F$18*PI()/180)*$F$21-#REF!*COS($I$18*PI()/180)*$I$21)*$N$99*$C$25*1000/9.81/$Y$47*$D$193*#REF!-$X$47/$Y$47*$C$20*$F$21</f>
        <v>#REF!</v>
      </c>
      <c r="Y66" s="198" t="e">
        <f>(SQRT(((-#REF!*SIN($F$18*PI()/180)*$F$21+#REF!*SIN($I$18*PI()/180)*$I$21)*$C$25*1000)^2+(0.001*$C$25*1000*$F$21)^2)/$C$30+(-#REF!*COS($F$18*PI()/180)*$F$21-#REF!*COS($I$18*PI()/180)*$I$21)*$C$25*1000)/9.81*$O$99/$Y$47*$F$193*#REF!-$X$47/$Y$47*$C$20*$F$21</f>
        <v>#REF!</v>
      </c>
      <c r="Z66" s="161">
        <f ca="1">(-'int. presets cp_10d+wd'!J32*COS($F$18*PI()/180)*$F$21-'int. presets cp_10d+wd'!J41*COS($I$18*PI()/180)*$I$21)*$N$99*$C$25*1000/9.81/$AA$47*$D$193*'int. presets cp_10d+wd'!$J$246-$Z$47/$AA$47*$C$20*$F$21</f>
        <v>-0.83232072442488914</v>
      </c>
      <c r="AA66" s="1026">
        <f ca="1">(SQRT(((-'int. presets cp_10d+wd'!E32*SIN($F$18*PI()/180)*$F$21+'int. presets cp_10d+wd'!E41*SIN($I$18*PI()/180)*$I$21)*$C$25*1000)^2+(0.001*$C$25*1000*$F$21)^2)/$C$30+(-'int. presets cp_10d+wd'!E32*COS($F$18*PI()/180)*$F$21-'int. presets cp_10d+wd'!E41*COS($I$18*PI()/180)*$I$21)*$C$25*1000)/9.81*$O$99/$AA$47*$F$193*'int. presets cp_10d+wd'!$E$246-$Z$47/$AA$47*$C$20*$F$21</f>
        <v>16.975134218115699</v>
      </c>
      <c r="AB66" s="18"/>
      <c r="AC66" s="153"/>
      <c r="AD66" s="20"/>
      <c r="AE66" s="1482"/>
      <c r="AF66" s="1483"/>
      <c r="AG66" s="1569" t="str">
        <f>AL66</f>
        <v>South row
Interior modules</v>
      </c>
      <c r="AH66" s="1278"/>
      <c r="AI66" s="1278"/>
      <c r="AJ66" s="1278"/>
      <c r="AK66" s="1279"/>
      <c r="AL66" s="1277" t="str">
        <f>CONCATENATE(B145,CHAR(10),E146)</f>
        <v>South row
Interior modules</v>
      </c>
      <c r="AM66" s="1278"/>
      <c r="AN66" s="1278"/>
      <c r="AO66" s="1278"/>
      <c r="AP66" s="1279"/>
      <c r="AQ66" s="1331" t="str">
        <f>CONCATENATE(B145,CHAR(10),E145)</f>
        <v>South row
1st-4th module</v>
      </c>
      <c r="AR66" s="1332"/>
      <c r="AS66" s="1332"/>
      <c r="AT66" s="1332"/>
      <c r="AU66" s="1333"/>
      <c r="AV66" s="1340" t="str">
        <f>CONCATENATE(B136,CHAR(10),E137)</f>
        <v>South row
Interior modules</v>
      </c>
      <c r="AW66" s="1341"/>
      <c r="AX66" s="1341"/>
      <c r="AY66" s="1341"/>
      <c r="AZ66" s="1342"/>
      <c r="BA66" s="1349" t="str">
        <f>CONCATENATE(B136,CHAR(10),E136)</f>
        <v>South row
1st-4th module</v>
      </c>
      <c r="BB66" s="1350"/>
      <c r="BC66" s="1350"/>
      <c r="BD66" s="1350"/>
      <c r="BE66" s="1351"/>
      <c r="BF66" s="1358" t="str">
        <f>CONCATENATE(B127,CHAR(10),E128)</f>
        <v>South row
Interior modules</v>
      </c>
      <c r="BG66" s="1359"/>
      <c r="BH66" s="1359"/>
      <c r="BI66" s="1359"/>
      <c r="BJ66" s="1360"/>
      <c r="BK66" s="1500" t="str">
        <f>CONCATENATE(B127,CHAR(10),E127)</f>
        <v>South row
1st-4th module</v>
      </c>
      <c r="BL66" s="1501"/>
      <c r="BM66" s="1501"/>
      <c r="BN66" s="1501"/>
      <c r="BO66" s="1502"/>
      <c r="BP66" s="1322" t="str">
        <f>CONCATENATE(B118,CHAR(10),E119)</f>
        <v>South row
Interior modules</v>
      </c>
      <c r="BQ66" s="1323"/>
      <c r="BR66" s="1323"/>
      <c r="BS66" s="1323"/>
      <c r="BT66" s="1324"/>
      <c r="BU66" s="1427" t="str">
        <f>CONCATENATE(B118,CHAR(10),E118)</f>
        <v>South row
1st-4th module</v>
      </c>
      <c r="BV66" s="1290"/>
      <c r="BW66" s="1290"/>
      <c r="BX66" s="1290"/>
      <c r="BY66" s="1428"/>
      <c r="BZ66" s="1482"/>
      <c r="CA66" s="1483"/>
      <c r="CB66" s="361"/>
      <c r="CC66" s="486"/>
      <c r="CD66" s="1"/>
      <c r="CE66" s="153"/>
      <c r="CF66" s="20"/>
      <c r="CG66" s="1482"/>
      <c r="CH66" s="1483"/>
      <c r="CI66" s="1289" t="str">
        <f t="shared" ref="CI66" si="58">BU66</f>
        <v>South row
1st-4th module</v>
      </c>
      <c r="CJ66" s="1290"/>
      <c r="CK66" s="1290"/>
      <c r="CL66" s="1290"/>
      <c r="CM66" s="1291"/>
      <c r="CN66" s="1322" t="str">
        <f t="shared" ref="CN66" si="59">BP66</f>
        <v>South row
Interior modules</v>
      </c>
      <c r="CO66" s="1323"/>
      <c r="CP66" s="1323"/>
      <c r="CQ66" s="1323"/>
      <c r="CR66" s="1324"/>
      <c r="CS66" s="1295" t="str">
        <f t="shared" ref="CS66" si="60">BK66</f>
        <v>South row
1st-4th module</v>
      </c>
      <c r="CT66" s="1296"/>
      <c r="CU66" s="1296"/>
      <c r="CV66" s="1296"/>
      <c r="CW66" s="1297"/>
      <c r="CX66" s="1358" t="str">
        <f t="shared" ref="CX66" si="61">BF66</f>
        <v>South row
Interior modules</v>
      </c>
      <c r="CY66" s="1359"/>
      <c r="CZ66" s="1359"/>
      <c r="DA66" s="1359"/>
      <c r="DB66" s="1360"/>
      <c r="DC66" s="1349" t="str">
        <f t="shared" ref="DC66" si="62">BA66</f>
        <v>South row
1st-4th module</v>
      </c>
      <c r="DD66" s="1350"/>
      <c r="DE66" s="1350"/>
      <c r="DF66" s="1350"/>
      <c r="DG66" s="1351"/>
      <c r="DH66" s="1340" t="str">
        <f t="shared" ref="DH66" si="63">AV66</f>
        <v>South row
Interior modules</v>
      </c>
      <c r="DI66" s="1341"/>
      <c r="DJ66" s="1341"/>
      <c r="DK66" s="1341"/>
      <c r="DL66" s="1342"/>
      <c r="DM66" s="1331" t="str">
        <f t="shared" ref="DM66" si="64">AQ66</f>
        <v>South row
1st-4th module</v>
      </c>
      <c r="DN66" s="1332"/>
      <c r="DO66" s="1332"/>
      <c r="DP66" s="1332"/>
      <c r="DQ66" s="1333"/>
      <c r="DR66" s="1277" t="str">
        <f t="shared" ref="DR66" si="65">AL66</f>
        <v>South row
Interior modules</v>
      </c>
      <c r="DS66" s="1278"/>
      <c r="DT66" s="1278"/>
      <c r="DU66" s="1278"/>
      <c r="DV66" s="1279"/>
      <c r="DW66" s="1277" t="str">
        <f t="shared" ref="DW66" si="66">AG66</f>
        <v>South row
Interior modules</v>
      </c>
      <c r="DX66" s="1278"/>
      <c r="DY66" s="1278"/>
      <c r="DZ66" s="1278"/>
      <c r="EA66" s="1286"/>
      <c r="EB66" s="1482"/>
      <c r="EC66" s="1483"/>
      <c r="ED66" s="361"/>
      <c r="EE66" s="486"/>
      <c r="EF66" s="1"/>
    </row>
    <row r="67" spans="2:136" s="75" customFormat="1" ht="13.5" customHeight="1" thickBot="1" x14ac:dyDescent="0.25">
      <c r="B67" s="1583" t="e">
        <v>#REF!</v>
      </c>
      <c r="C67" s="1584">
        <v>0</v>
      </c>
      <c r="D67" s="1585">
        <v>0</v>
      </c>
      <c r="E67" s="989" t="s">
        <v>462</v>
      </c>
      <c r="F67" s="1055" t="e">
        <f t="shared" si="39"/>
        <v>#REF!</v>
      </c>
      <c r="G67" s="1055" t="e">
        <f t="shared" si="24"/>
        <v>#REF!</v>
      </c>
      <c r="H67" s="1055" t="e">
        <f t="shared" si="25"/>
        <v>#REF!</v>
      </c>
      <c r="I67" s="1056" t="e">
        <f t="shared" si="26"/>
        <v>#REF!</v>
      </c>
      <c r="J67" s="1055" t="e">
        <f t="shared" si="27"/>
        <v>#REF!</v>
      </c>
      <c r="K67" s="1063" t="e">
        <f t="shared" si="28"/>
        <v>#REF!</v>
      </c>
      <c r="L67" s="1013">
        <f t="shared" ca="1" si="29"/>
        <v>16.975134218115699</v>
      </c>
      <c r="M67" s="990">
        <f t="shared" ca="1" si="30"/>
        <v>37.423720399942226</v>
      </c>
      <c r="N67" s="1029" t="e">
        <f>(-#REF!*COS($F$18*PI()/180)*$F$21-#REF!*COS($I$18*PI()/180)*$I$21)*$N$99*$C$25*1000/9.81/$O$47*$D$193*#REF!-$N$47/$O$47*$C$20*$F$21</f>
        <v>#REF!</v>
      </c>
      <c r="O67" s="991" t="e">
        <f>(SQRT(((-#REF!*SIN($F$18*PI()/180)*$F$21+#REF!*SIN($I$18*PI()/180)*$I$21)*$C$25*1000)^2+(0.001*$C$25*1000*$F$21)^2)/$C$30+(-#REF!*COS($F$18*PI()/180)*$F$21-#REF!*COS($I$18*PI()/180)*$I$21)*$C$25*1000)/9.81*$O$99/$O$47*$F$193*#REF!-$N$47/$O$47*$C$20*$F$21</f>
        <v>#REF!</v>
      </c>
      <c r="P67" s="161" t="e">
        <f>(-#REF!*COS($F$18*PI()/180)*$F$21-#REF!*COS($I$18*PI()/180)*$I$21)*$N$99*$C$25*1000/9.81/$Q$47*$D$193*#REF!-$P$47/$Q$47*$C$20*$F$21</f>
        <v>#REF!</v>
      </c>
      <c r="Q67" s="162" t="e">
        <f>(SQRT(((-#REF!*SIN($F$18*PI()/180)*$F$21+#REF!*SIN($I$18*PI()/180)*$I$21)*$C$25*1000)^2+(0.001*$C$25*1000*$F$21)^2)/$C$30+(-#REF!*COS($F$18*PI()/180)*$F$21-#REF!*COS($I$18*PI()/180)*$I$21)*$C$25*1000)/9.81*$O$99/$Q$47*$F$193*#REF!-$P$47/$Q$47*$C$20*$F$21</f>
        <v>#REF!</v>
      </c>
      <c r="R67" s="161" t="e">
        <f>(-#REF!*COS($F$18*PI()/180)*$F$21-#REF!*COS($I$18*PI()/180)*$I$21)*$N$99*$C$25*1000/9.81/$S$47*$D$193*#REF!-$R$47/$S$47*$C$20*$F$21</f>
        <v>#REF!</v>
      </c>
      <c r="S67" s="162" t="e">
        <f>(SQRT(((-#REF!*SIN($F$18*PI()/180)*$F$21+#REF!*SIN($I$18*PI()/180)*$I$21)*$C$25*1000)^2+(0.001*$C$25*1000*$F$21)^2)/$C$30+(-#REF!*COS($F$18*PI()/180)*$F$21-#REF!*COS($I$18*PI()/180)*$I$21)*$C$25*1000)/9.81*$O$99/$S$47*$F$193*#REF!-$R$47/$S$47*$C$20*$F$21</f>
        <v>#REF!</v>
      </c>
      <c r="T67" s="161" t="e">
        <f>(-#REF!*COS($F$18*PI()/180)*$F$21-#REF!*COS($I$18*PI()/180)*$I$21)*$N$99*$C$25*1000/9.81/$U$47*$D$193*#REF!-$T$47/$U$47*$C$20*$F$21</f>
        <v>#REF!</v>
      </c>
      <c r="U67" s="162" t="e">
        <f>(SQRT(((-#REF!*SIN($F$18*PI()/180)*$F$21+#REF!*SIN($I$18*PI()/180)*$I$21)*$C$25*1000)^2+(0.001*$C$25*1000*$F$21)^2)/$C$30+(-#REF!*COS($F$18*PI()/180)*$F$21-#REF!*COS($I$18*PI()/180)*$I$21)*$C$25*1000)/9.81*$O$99/$U$47*$F$193*#REF!-$T$47/$U$47*$C$20*$F$21</f>
        <v>#REF!</v>
      </c>
      <c r="V67" s="161" t="e">
        <f>(-#REF!*COS($F$18*PI()/180)*$F$21-#REF!*COS($I$18*PI()/180)*$I$21)*$N$99*$C$25*1000/9.81/$W$47*$D$193*#REF!-$V$47/$W$47*$C$20*$F$21</f>
        <v>#REF!</v>
      </c>
      <c r="W67" s="162" t="e">
        <f>(SQRT(((-#REF!*SIN($F$18*PI()/180)*$F$21+#REF!*SIN($I$18*PI()/180)*$I$21)*$C$25*1000)^2+(0.001*$C$25*1000*$F$21)^2)/$C$30+(-#REF!*COS($F$18*PI()/180)*$F$21-#REF!*COS($I$18*PI()/180)*$I$21)*$C$25*1000)/9.81*$O$99/$W$47*$F$193*#REF!-$V$47/$W$47*$C$20*$F$21</f>
        <v>#REF!</v>
      </c>
      <c r="X67" s="161" t="e">
        <f>(-#REF!*COS($F$18*PI()/180)*$F$21-#REF!*COS($I$18*PI()/180)*$I$21)*$N$99*$C$25*1000/9.81/$Y$47*$D$193*#REF!-$X$47/$Y$47*$C$20*$F$21</f>
        <v>#REF!</v>
      </c>
      <c r="Y67" s="162" t="e">
        <f>(SQRT(((-#REF!*SIN($F$18*PI()/180)*$F$21+#REF!*SIN($I$18*PI()/180)*$I$21)*$C$25*1000)^2+(0.001*$C$25*1000*$F$21)^2)/$C$30+(-#REF!*COS($F$18*PI()/180)*$F$21-#REF!*COS($I$18*PI()/180)*$I$21)*$C$25*1000)/9.81*$O$99/$Y$47*$F$193*#REF!-$X$47/$Y$47*$C$20*$F$21</f>
        <v>#REF!</v>
      </c>
      <c r="Z67" s="161">
        <f ca="1">(-'int. presets cp_10d+wd'!J33*COS($F$18*PI()/180)*$F$21-'int. presets cp_10d+wd'!J42*COS($I$18*PI()/180)*$I$21)*$N$99*$C$25*1000/9.81/$AA$47*$D$193*'int. presets cp_10d+wd'!$J$246-$Z$47/$AA$47*$C$20*$F$21</f>
        <v>-0.83232072442488914</v>
      </c>
      <c r="AA67" s="1030">
        <f ca="1">(SQRT(((-'int. presets cp_10d+wd'!E33*SIN($F$18*PI()/180)*$F$21+'int. presets cp_10d+wd'!E42*SIN($I$18*PI()/180)*$I$21)*$C$25*1000)^2+(0.001*$C$25*1000*$F$21)^2)/$C$30+(-'int. presets cp_10d+wd'!E33*COS($F$18*PI()/180)*$F$21-'int. presets cp_10d+wd'!E42*COS($I$18*PI()/180)*$I$21)*$C$25*1000)/9.81*$O$99/$AA$47*$F$193*'int. presets cp_10d+wd'!$E$246-$Z$47/$AA$47*$C$20*$F$21</f>
        <v>16.975134218115699</v>
      </c>
      <c r="AB67" s="18"/>
      <c r="AC67" s="153"/>
      <c r="AD67" s="20"/>
      <c r="AE67" s="1482"/>
      <c r="AF67" s="1483"/>
      <c r="AG67" s="1567"/>
      <c r="AH67" s="1281"/>
      <c r="AI67" s="1281"/>
      <c r="AJ67" s="1281"/>
      <c r="AK67" s="1282"/>
      <c r="AL67" s="1280"/>
      <c r="AM67" s="1281"/>
      <c r="AN67" s="1281"/>
      <c r="AO67" s="1281"/>
      <c r="AP67" s="1282"/>
      <c r="AQ67" s="1334"/>
      <c r="AR67" s="1335"/>
      <c r="AS67" s="1335"/>
      <c r="AT67" s="1335"/>
      <c r="AU67" s="1336"/>
      <c r="AV67" s="1343"/>
      <c r="AW67" s="1344"/>
      <c r="AX67" s="1344"/>
      <c r="AY67" s="1344"/>
      <c r="AZ67" s="1345"/>
      <c r="BA67" s="1352"/>
      <c r="BB67" s="1353"/>
      <c r="BC67" s="1353"/>
      <c r="BD67" s="1353"/>
      <c r="BE67" s="1354"/>
      <c r="BF67" s="1361"/>
      <c r="BG67" s="1362"/>
      <c r="BH67" s="1362"/>
      <c r="BI67" s="1362"/>
      <c r="BJ67" s="1363"/>
      <c r="BK67" s="1503"/>
      <c r="BL67" s="1504"/>
      <c r="BM67" s="1504"/>
      <c r="BN67" s="1504"/>
      <c r="BO67" s="1505"/>
      <c r="BP67" s="1328"/>
      <c r="BQ67" s="1329"/>
      <c r="BR67" s="1329"/>
      <c r="BS67" s="1329"/>
      <c r="BT67" s="1330"/>
      <c r="BU67" s="1495"/>
      <c r="BV67" s="1377"/>
      <c r="BW67" s="1377"/>
      <c r="BX67" s="1377"/>
      <c r="BY67" s="1496"/>
      <c r="BZ67" s="1482"/>
      <c r="CA67" s="1483"/>
      <c r="CB67" s="361"/>
      <c r="CC67" s="486"/>
      <c r="CD67" s="1"/>
      <c r="CE67" s="153"/>
      <c r="CF67" s="20"/>
      <c r="CG67" s="1482"/>
      <c r="CH67" s="1483"/>
      <c r="CI67" s="1376"/>
      <c r="CJ67" s="1377"/>
      <c r="CK67" s="1377"/>
      <c r="CL67" s="1377"/>
      <c r="CM67" s="1378"/>
      <c r="CN67" s="1328"/>
      <c r="CO67" s="1329"/>
      <c r="CP67" s="1329"/>
      <c r="CQ67" s="1329"/>
      <c r="CR67" s="1330"/>
      <c r="CS67" s="1298"/>
      <c r="CT67" s="1299"/>
      <c r="CU67" s="1299"/>
      <c r="CV67" s="1299"/>
      <c r="CW67" s="1300"/>
      <c r="CX67" s="1361"/>
      <c r="CY67" s="1362"/>
      <c r="CZ67" s="1362"/>
      <c r="DA67" s="1362"/>
      <c r="DB67" s="1363"/>
      <c r="DC67" s="1352"/>
      <c r="DD67" s="1353"/>
      <c r="DE67" s="1353"/>
      <c r="DF67" s="1353"/>
      <c r="DG67" s="1354"/>
      <c r="DH67" s="1343"/>
      <c r="DI67" s="1344"/>
      <c r="DJ67" s="1344"/>
      <c r="DK67" s="1344"/>
      <c r="DL67" s="1345"/>
      <c r="DM67" s="1334"/>
      <c r="DN67" s="1335"/>
      <c r="DO67" s="1335"/>
      <c r="DP67" s="1335"/>
      <c r="DQ67" s="1336"/>
      <c r="DR67" s="1280"/>
      <c r="DS67" s="1281"/>
      <c r="DT67" s="1281"/>
      <c r="DU67" s="1281"/>
      <c r="DV67" s="1282"/>
      <c r="DW67" s="1280"/>
      <c r="DX67" s="1281"/>
      <c r="DY67" s="1281"/>
      <c r="DZ67" s="1281"/>
      <c r="EA67" s="1287"/>
      <c r="EB67" s="1482"/>
      <c r="EC67" s="1483"/>
      <c r="ED67" s="361"/>
      <c r="EE67" s="486"/>
      <c r="EF67" s="1"/>
    </row>
    <row r="68" spans="2:136" s="75" customFormat="1" ht="13.5" customHeight="1" thickTop="1" thickBot="1" x14ac:dyDescent="0.25">
      <c r="B68" s="1658" t="s">
        <v>341</v>
      </c>
      <c r="C68" s="1659"/>
      <c r="D68" s="1659"/>
      <c r="E68" s="1659"/>
      <c r="F68" s="1659"/>
      <c r="G68" s="1659"/>
      <c r="H68" s="1659"/>
      <c r="I68" s="1659"/>
      <c r="J68" s="1659"/>
      <c r="K68" s="1659"/>
      <c r="L68" s="1660"/>
      <c r="M68" s="1048"/>
      <c r="N68" s="1006"/>
      <c r="O68" s="1007"/>
      <c r="P68" s="1007"/>
      <c r="Q68" s="1007"/>
      <c r="R68" s="1007"/>
      <c r="S68" s="1007"/>
      <c r="T68" s="1007"/>
      <c r="U68" s="1007"/>
      <c r="V68" s="1007"/>
      <c r="W68" s="1007"/>
      <c r="X68" s="1007"/>
      <c r="Y68" s="1007"/>
      <c r="Z68" s="1007"/>
      <c r="AA68" s="1010"/>
      <c r="AB68" s="18"/>
      <c r="AC68" s="492"/>
      <c r="AD68" s="20"/>
      <c r="AE68" s="1484"/>
      <c r="AF68" s="1485"/>
      <c r="AG68" s="1708"/>
      <c r="AH68" s="1438"/>
      <c r="AI68" s="1438"/>
      <c r="AJ68" s="1438"/>
      <c r="AK68" s="1439"/>
      <c r="AL68" s="1437"/>
      <c r="AM68" s="1438"/>
      <c r="AN68" s="1438"/>
      <c r="AO68" s="1438"/>
      <c r="AP68" s="1439"/>
      <c r="AQ68" s="1541"/>
      <c r="AR68" s="1542"/>
      <c r="AS68" s="1542"/>
      <c r="AT68" s="1542"/>
      <c r="AU68" s="1543"/>
      <c r="AV68" s="1520"/>
      <c r="AW68" s="1521"/>
      <c r="AX68" s="1521"/>
      <c r="AY68" s="1521"/>
      <c r="AZ68" s="1522"/>
      <c r="BA68" s="1517"/>
      <c r="BB68" s="1518"/>
      <c r="BC68" s="1518"/>
      <c r="BD68" s="1518"/>
      <c r="BE68" s="1519"/>
      <c r="BF68" s="1514"/>
      <c r="BG68" s="1515"/>
      <c r="BH68" s="1515"/>
      <c r="BI68" s="1515"/>
      <c r="BJ68" s="1516"/>
      <c r="BK68" s="1570"/>
      <c r="BL68" s="1571"/>
      <c r="BM68" s="1571"/>
      <c r="BN68" s="1571"/>
      <c r="BO68" s="1572"/>
      <c r="BP68" s="1497"/>
      <c r="BQ68" s="1498"/>
      <c r="BR68" s="1498"/>
      <c r="BS68" s="1498"/>
      <c r="BT68" s="1499"/>
      <c r="BU68" s="1509"/>
      <c r="BV68" s="1380"/>
      <c r="BW68" s="1380"/>
      <c r="BX68" s="1380"/>
      <c r="BY68" s="1510"/>
      <c r="BZ68" s="1484"/>
      <c r="CA68" s="1485"/>
      <c r="CB68" s="361"/>
      <c r="CC68" s="486"/>
      <c r="CE68" s="492"/>
      <c r="CF68" s="20"/>
      <c r="CG68" s="1484"/>
      <c r="CH68" s="1485"/>
      <c r="CI68" s="1379"/>
      <c r="CJ68" s="1380"/>
      <c r="CK68" s="1380"/>
      <c r="CL68" s="1380"/>
      <c r="CM68" s="1381"/>
      <c r="CN68" s="1497"/>
      <c r="CO68" s="1498"/>
      <c r="CP68" s="1498"/>
      <c r="CQ68" s="1498"/>
      <c r="CR68" s="1499"/>
      <c r="CS68" s="1511"/>
      <c r="CT68" s="1512"/>
      <c r="CU68" s="1512"/>
      <c r="CV68" s="1512"/>
      <c r="CW68" s="1513"/>
      <c r="CX68" s="1514"/>
      <c r="CY68" s="1515"/>
      <c r="CZ68" s="1515"/>
      <c r="DA68" s="1515"/>
      <c r="DB68" s="1516"/>
      <c r="DC68" s="1517"/>
      <c r="DD68" s="1518"/>
      <c r="DE68" s="1518"/>
      <c r="DF68" s="1518"/>
      <c r="DG68" s="1519"/>
      <c r="DH68" s="1520"/>
      <c r="DI68" s="1521"/>
      <c r="DJ68" s="1521"/>
      <c r="DK68" s="1521"/>
      <c r="DL68" s="1522"/>
      <c r="DM68" s="1541"/>
      <c r="DN68" s="1542"/>
      <c r="DO68" s="1542"/>
      <c r="DP68" s="1542"/>
      <c r="DQ68" s="1543"/>
      <c r="DR68" s="1437"/>
      <c r="DS68" s="1438"/>
      <c r="DT68" s="1438"/>
      <c r="DU68" s="1438"/>
      <c r="DV68" s="1439"/>
      <c r="DW68" s="1437"/>
      <c r="DX68" s="1438"/>
      <c r="DY68" s="1438"/>
      <c r="DZ68" s="1438"/>
      <c r="EA68" s="1440"/>
      <c r="EB68" s="1484"/>
      <c r="EC68" s="1485"/>
      <c r="ED68" s="361"/>
      <c r="EE68" s="486"/>
    </row>
    <row r="69" spans="2:136" s="75" customFormat="1" ht="13.5" customHeight="1" thickTop="1" x14ac:dyDescent="0.2">
      <c r="B69" s="1580" t="s">
        <v>460</v>
      </c>
      <c r="C69" s="1581">
        <v>0</v>
      </c>
      <c r="D69" s="1582">
        <v>0</v>
      </c>
      <c r="E69" s="350" t="s">
        <v>461</v>
      </c>
      <c r="F69" s="1053" t="e">
        <f t="shared" ref="F69:F76" si="67">MAX(N69,O69)</f>
        <v>#REF!</v>
      </c>
      <c r="G69" s="1053" t="e">
        <f t="shared" si="24"/>
        <v>#REF!</v>
      </c>
      <c r="H69" s="1053" t="e">
        <f t="shared" si="25"/>
        <v>#REF!</v>
      </c>
      <c r="I69" s="1061" t="e">
        <f t="shared" si="26"/>
        <v>#REF!</v>
      </c>
      <c r="J69" s="1053" t="e">
        <f t="shared" si="27"/>
        <v>#REF!</v>
      </c>
      <c r="K69" s="1062" t="e">
        <f t="shared" si="28"/>
        <v>#REF!</v>
      </c>
      <c r="L69" s="1011">
        <f t="shared" ca="1" si="29"/>
        <v>10.51966914151923</v>
      </c>
      <c r="M69" s="940">
        <f t="shared" ca="1" si="30"/>
        <v>23.191872982776125</v>
      </c>
      <c r="N69" s="1035" t="e">
        <f>(-#REF!*COS($F$18*PI()/180)*$F$21-#REF!*COS($I$18*PI()/180)*$I$21)*$N$99*$C$25*1000/9.81/$O$47*$D$193*#REF!-$N$47/$O$47*$C$20*$F$21</f>
        <v>#REF!</v>
      </c>
      <c r="O69" s="75" t="e">
        <f>(SQRT(((-#REF!*SIN($F$18*PI()/180)*$F$21+#REF!*SIN($I$18*PI()/180)*$I$21)*$C$25*1000)^2+(0.001*$C$25*1000*$F$21)^2)/$C$30+(-#REF!*COS($F$18*PI()/180)*$F$21-#REF!*COS($I$18*PI()/180)*$I$21)*$C$25*1000)/9.81*$O$99/$O$47*$F$193*#REF!-$N$47/$O$47*$C$20*$F$21</f>
        <v>#REF!</v>
      </c>
      <c r="P69" s="181" t="e">
        <f>(-#REF!*COS($F$18*PI()/180)*$F$21-#REF!*COS($I$18*PI()/180)*$I$21)*$N$99*$C$25*1000/9.81/$Q$47*$D$193*#REF!-$P$47/$Q$47*$C$20*$F$21</f>
        <v>#REF!</v>
      </c>
      <c r="Q69" s="198" t="e">
        <f>(SQRT(((-#REF!*SIN($F$18*PI()/180)*$F$21+#REF!*SIN($I$18*PI()/180)*$I$21)*$C$25*1000)^2+(0.001*$C$25*1000*$F$21)^2)/$C$30+(-#REF!*COS($F$18*PI()/180)*$F$21-#REF!*COS($I$18*PI()/180)*$I$21)*$C$25*1000)/9.81*$O$99/$Q$47*$F$193*#REF!-$P$47/$Q$47*$C$20*$F$21</f>
        <v>#REF!</v>
      </c>
      <c r="R69" s="181" t="e">
        <f>(-#REF!*COS($F$18*PI()/180)*$F$21-#REF!*COS($I$18*PI()/180)*$I$21)*$N$99*$C$25*1000/9.81/$S$47*$D$193*#REF!-$R$47/$S$47*$C$20*$F$21</f>
        <v>#REF!</v>
      </c>
      <c r="S69" s="198" t="e">
        <f>(SQRT(((-#REF!*SIN($F$18*PI()/180)*$F$21+#REF!*SIN($I$18*PI()/180)*$I$21)*$C$25*1000)^2+(0.001*$C$25*1000*$F$21)^2)/$C$30+(-#REF!*COS($F$18*PI()/180)*$F$21-#REF!*COS($I$18*PI()/180)*$I$21)*$C$25*1000)/9.81*$O$99/$S$47*$F$193*#REF!-$R$47/$S$47*$C$20*$F$21</f>
        <v>#REF!</v>
      </c>
      <c r="T69" s="181" t="e">
        <f>(-#REF!*COS($F$18*PI()/180)*$F$21-#REF!*COS($I$18*PI()/180)*$I$21)*$N$99*$C$25*1000/9.81/$U$47*$D$193*#REF!-$T$47/$U$47*$C$20*$F$21</f>
        <v>#REF!</v>
      </c>
      <c r="U69" s="198" t="e">
        <f>(SQRT(((-#REF!*SIN($F$18*PI()/180)*$F$21+#REF!*SIN($I$18*PI()/180)*$I$21)*$C$25*1000)^2+(0.001*$C$25*1000*$F$21)^2)/$C$30+(-#REF!*COS($F$18*PI()/180)*$F$21-#REF!*COS($I$18*PI()/180)*$I$21)*$C$25*1000)/9.81*$O$99/$U$47*$F$193*#REF!-$T$47/$U$47*$C$20*$F$21</f>
        <v>#REF!</v>
      </c>
      <c r="V69" s="181" t="e">
        <f>(-#REF!*COS($F$18*PI()/180)*$F$21-#REF!*COS($I$18*PI()/180)*$I$21)*$N$99*$C$25*1000/9.81/$W$47*$D$193*#REF!-$V$47/$W$47*$C$20*$F$21</f>
        <v>#REF!</v>
      </c>
      <c r="W69" s="198" t="e">
        <f>(SQRT(((-#REF!*SIN($F$18*PI()/180)*$F$21+#REF!*SIN($I$18*PI()/180)*$I$21)*$C$25*1000)^2+(0.001*$C$25*1000*$F$21)^2)/$C$30+(-#REF!*COS($F$18*PI()/180)*$F$21-#REF!*COS($I$18*PI()/180)*$I$21)*$C$25*1000)/9.81*$O$99/$W$47*$F$193*#REF!-$V$47/$W$47*$C$20*$F$21</f>
        <v>#REF!</v>
      </c>
      <c r="X69" s="181" t="e">
        <f>(-#REF!*COS($F$18*PI()/180)*$F$21-#REF!*COS($I$18*PI()/180)*$I$21)*$N$99*$C$25*1000/9.81/$Y$47*$D$193*#REF!-$X$47/$Y$47*$C$20*$F$21</f>
        <v>#REF!</v>
      </c>
      <c r="Y69" s="198" t="e">
        <f>(SQRT(((-#REF!*SIN($F$18*PI()/180)*$F$21+#REF!*SIN($I$18*PI()/180)*$I$21)*$C$25*1000)^2+(0.001*$C$25*1000*$F$21)^2)/$C$30+(-#REF!*COS($F$18*PI()/180)*$F$21-#REF!*COS($I$18*PI()/180)*$I$21)*$C$25*1000)/9.81*$O$99/$Y$47*$F$193*#REF!-$Y$47/$Y$47*$C$20*$F$21</f>
        <v>#REF!</v>
      </c>
      <c r="Z69" s="181">
        <f ca="1">(-'int. presets cp_10d+wd'!K26*COS($F$18*PI()/180)*$F$21-'int. presets cp_10d+wd'!K35*COS($I$18*PI()/180)*$I$21)*$N$99*$C$25*1000/9.81/$AA$47*$D$193*'int. presets cp_10d+wd'!$K$246-$Z$47/$AA$47*$C$20*$F$21</f>
        <v>-1.5644550172993448</v>
      </c>
      <c r="AA69" s="1026">
        <f ca="1">(SQRT(((-'int. presets cp_10d+wd'!F26*SIN($F$18*PI()/180)*$F$21+'int. presets cp_10d+wd'!F35*SIN($I$18*PI()/180)*$I$21)*$C$25*1000)^2+(0.001*$C$25*1000*$F$21)^2)/$C$30+(-'int. presets cp_10d+wd'!F26*COS($F$18*PI()/180)*$F$21-'int. presets cp_10d+wd'!F35*COS($I$18*PI()/180)*$I$21)*$C$25*1000)/9.81*$O$99/$AA$47*$F$193*'int. presets cp_10d+wd'!$F$246-$Z$47/$AA$47*$C$20*$F$21</f>
        <v>10.51966914151923</v>
      </c>
      <c r="AB69" s="18"/>
      <c r="AC69" s="1444" t="str">
        <f>AC27</f>
        <v>setback a</v>
      </c>
      <c r="AD69" s="19"/>
      <c r="AE69" s="369"/>
      <c r="AF69" s="179"/>
      <c r="AG69" s="1446" t="s">
        <v>449</v>
      </c>
      <c r="AH69" s="1447"/>
      <c r="AI69" s="1447"/>
      <c r="AJ69" s="1447"/>
      <c r="AK69" s="1447"/>
      <c r="AL69" s="1447"/>
      <c r="AM69" s="1447"/>
      <c r="AN69" s="1447"/>
      <c r="AO69" s="1447"/>
      <c r="AP69" s="1447"/>
      <c r="AQ69" s="1447"/>
      <c r="AR69" s="1447"/>
      <c r="AS69" s="1447"/>
      <c r="AT69" s="1447"/>
      <c r="AU69" s="1447"/>
      <c r="AV69" s="1447"/>
      <c r="AW69" s="1447"/>
      <c r="AX69" s="1447"/>
      <c r="AY69" s="1447"/>
      <c r="AZ69" s="1447"/>
      <c r="BA69" s="1447"/>
      <c r="BB69" s="1447"/>
      <c r="BC69" s="1447"/>
      <c r="BD69" s="1447"/>
      <c r="BE69" s="1447"/>
      <c r="BF69" s="1447"/>
      <c r="BG69" s="1447"/>
      <c r="BH69" s="1447"/>
      <c r="BI69" s="1447"/>
      <c r="BJ69" s="1447"/>
      <c r="BK69" s="1447"/>
      <c r="BL69" s="1447"/>
      <c r="BM69" s="1447"/>
      <c r="BN69" s="1447"/>
      <c r="BO69" s="1447"/>
      <c r="BP69" s="1447"/>
      <c r="BQ69" s="1447"/>
      <c r="BR69" s="1447"/>
      <c r="BS69" s="1447"/>
      <c r="BT69" s="1447"/>
      <c r="BU69" s="1447"/>
      <c r="BV69" s="1447"/>
      <c r="BW69" s="1447"/>
      <c r="BX69" s="1447"/>
      <c r="BY69" s="1448"/>
      <c r="BZ69" s="19"/>
      <c r="CA69" s="370"/>
      <c r="CB69" s="361"/>
      <c r="CC69" s="486"/>
      <c r="CE69" s="1444" t="str">
        <f>CE27</f>
        <v>setback a</v>
      </c>
      <c r="CF69" s="19"/>
      <c r="CG69" s="369"/>
      <c r="CH69" s="179"/>
      <c r="CI69" s="1446" t="s">
        <v>449</v>
      </c>
      <c r="CJ69" s="1447"/>
      <c r="CK69" s="1447"/>
      <c r="CL69" s="1447"/>
      <c r="CM69" s="1447"/>
      <c r="CN69" s="1447"/>
      <c r="CO69" s="1447"/>
      <c r="CP69" s="1447"/>
      <c r="CQ69" s="1447"/>
      <c r="CR69" s="1447"/>
      <c r="CS69" s="1447"/>
      <c r="CT69" s="1447"/>
      <c r="CU69" s="1447"/>
      <c r="CV69" s="1447"/>
      <c r="CW69" s="1447"/>
      <c r="CX69" s="1447"/>
      <c r="CY69" s="1447"/>
      <c r="CZ69" s="1447"/>
      <c r="DA69" s="1447"/>
      <c r="DB69" s="1447"/>
      <c r="DC69" s="1447"/>
      <c r="DD69" s="1447"/>
      <c r="DE69" s="1447"/>
      <c r="DF69" s="1447"/>
      <c r="DG69" s="1447"/>
      <c r="DH69" s="1447"/>
      <c r="DI69" s="1447"/>
      <c r="DJ69" s="1447"/>
      <c r="DK69" s="1447"/>
      <c r="DL69" s="1447"/>
      <c r="DM69" s="1447"/>
      <c r="DN69" s="1447"/>
      <c r="DO69" s="1447"/>
      <c r="DP69" s="1447"/>
      <c r="DQ69" s="1447"/>
      <c r="DR69" s="1447"/>
      <c r="DS69" s="1447"/>
      <c r="DT69" s="1447"/>
      <c r="DU69" s="1447"/>
      <c r="DV69" s="1447"/>
      <c r="DW69" s="1447"/>
      <c r="DX69" s="1447"/>
      <c r="DY69" s="1447"/>
      <c r="DZ69" s="1447"/>
      <c r="EA69" s="1448"/>
      <c r="EB69" s="19"/>
      <c r="EC69" s="370"/>
      <c r="ED69" s="361"/>
      <c r="EE69" s="486"/>
    </row>
    <row r="70" spans="2:136" s="75" customFormat="1" ht="13.5" customHeight="1" thickBot="1" x14ac:dyDescent="0.25">
      <c r="B70" s="1586">
        <v>0</v>
      </c>
      <c r="C70" s="1587">
        <v>0</v>
      </c>
      <c r="D70" s="1588">
        <v>0</v>
      </c>
      <c r="E70" s="344" t="s">
        <v>462</v>
      </c>
      <c r="F70" s="1055" t="e">
        <f t="shared" si="67"/>
        <v>#REF!</v>
      </c>
      <c r="G70" s="1055" t="e">
        <f t="shared" si="24"/>
        <v>#REF!</v>
      </c>
      <c r="H70" s="1055" t="e">
        <f t="shared" si="25"/>
        <v>#REF!</v>
      </c>
      <c r="I70" s="1056" t="e">
        <f t="shared" si="26"/>
        <v>#REF!</v>
      </c>
      <c r="J70" s="1055" t="e">
        <f t="shared" si="27"/>
        <v>#REF!</v>
      </c>
      <c r="K70" s="1063" t="e">
        <f t="shared" si="28"/>
        <v>#REF!</v>
      </c>
      <c r="L70" s="1012">
        <f t="shared" ca="1" si="29"/>
        <v>10.51966914151923</v>
      </c>
      <c r="M70" s="941">
        <f t="shared" ca="1" si="30"/>
        <v>23.191872982776125</v>
      </c>
      <c r="N70" s="1027" t="e">
        <f>(-#REF!*COS($F$18*PI()/180)*$F$21-#REF!*COS($I$18*PI()/180)*$I$21)*$N$99*$C$25*1000/9.81/$O$47*$D$193*#REF!-$N$47/$O$47*$C$20*$F$21</f>
        <v>#REF!</v>
      </c>
      <c r="O70" s="936" t="e">
        <f>(SQRT(((-#REF!*SIN($F$18*PI()/180)*$F$21+#REF!*SIN($I$18*PI()/180)*$I$21)*$C$25*1000)^2+(0.001*$C$25*1000*$F$21)^2)/$C$30+(-#REF!*COS($F$18*PI()/180)*$F$21-#REF!*COS($I$18*PI()/180)*$I$21)*$C$25*1000)/9.81*$O$99/$O$47*$F$193*#REF!-$N$47/$O$47*$C$20*$F$21</f>
        <v>#REF!</v>
      </c>
      <c r="P70" s="199" t="e">
        <f>(-#REF!*COS($F$18*PI()/180)*$F$21-#REF!*COS($I$18*PI()/180)*$I$21)*$N$99*$C$25*1000/9.81/$Q$47*$D$193*#REF!-$P$47/$Q$47*$C$20*$F$21</f>
        <v>#REF!</v>
      </c>
      <c r="Q70" s="164" t="e">
        <f>(SQRT(((-#REF!*SIN($F$18*PI()/180)*$F$21+#REF!*SIN($I$18*PI()/180)*$I$21)*$C$25*1000)^2+(0.001*$C$25*1000*$F$21)^2)/$C$30+(-#REF!*COS($F$18*PI()/180)*$F$21-#REF!*COS($I$18*PI()/180)*$I$21)*$C$25*1000)/9.81*$O$99/$Q$47*$F$193*#REF!-$P$47/$Q$47*$C$20*$F$21</f>
        <v>#REF!</v>
      </c>
      <c r="R70" s="199" t="e">
        <f>(-#REF!*COS($F$18*PI()/180)*$F$21-#REF!*COS($I$18*PI()/180)*$I$21)*$N$99*$C$25*1000/9.81/$S$47*$D$193*#REF!-$R$47/$S$47*$C$20*$F$21</f>
        <v>#REF!</v>
      </c>
      <c r="S70" s="164" t="e">
        <f>(SQRT(((-#REF!*SIN($F$18*PI()/180)*$F$21+#REF!*SIN($I$18*PI()/180)*$I$21)*$C$25*1000)^2+(0.001*$C$25*1000*$F$21)^2)/$C$30+(-#REF!*COS($F$18*PI()/180)*$F$21-#REF!*COS($I$18*PI()/180)*$I$21)*$C$25*1000)/9.81*$O$99/$S$47*$F$193*#REF!-$R$47/$S$47*$C$20*$F$21</f>
        <v>#REF!</v>
      </c>
      <c r="T70" s="199" t="e">
        <f>(-#REF!*COS($F$18*PI()/180)*$F$21-#REF!*COS($I$18*PI()/180)*$I$21)*$N$99*$C$25*1000/9.81/$U$47*$D$193*#REF!-$T$47/$U$47*$C$20*$F$21</f>
        <v>#REF!</v>
      </c>
      <c r="U70" s="164" t="e">
        <f>(SQRT(((-#REF!*SIN($F$18*PI()/180)*$F$21+#REF!*SIN($I$18*PI()/180)*$I$21)*$C$25*1000)^2+(0.001*$C$25*1000*$F$21)^2)/$C$30+(-#REF!*COS($F$18*PI()/180)*$F$21-#REF!*COS($I$18*PI()/180)*$I$21)*$C$25*1000)/9.81*$O$99/$U$47*$F$193*#REF!-$T$47/$U$47*$C$20*$F$21</f>
        <v>#REF!</v>
      </c>
      <c r="V70" s="199" t="e">
        <f>(-#REF!*COS($F$18*PI()/180)*$F$21-#REF!*COS($I$18*PI()/180)*$I$21)*$N$99*$C$25*1000/9.81/$W$47*$D$193*#REF!-$V$47/$W$47*$C$20*$F$21</f>
        <v>#REF!</v>
      </c>
      <c r="W70" s="164" t="e">
        <f>(SQRT(((-#REF!*SIN($F$18*PI()/180)*$F$21+#REF!*SIN($I$18*PI()/180)*$I$21)*$C$25*1000)^2+(0.001*$C$25*1000*$F$21)^2)/$C$30+(-#REF!*COS($F$18*PI()/180)*$F$21-#REF!*COS($I$18*PI()/180)*$I$21)*$C$25*1000)/9.81*$O$99/$W$47*$F$193*#REF!-$V$47/$W$47*$C$20*$F$21</f>
        <v>#REF!</v>
      </c>
      <c r="X70" s="199" t="e">
        <f>(-#REF!*COS($F$18*PI()/180)*$F$21-#REF!*COS($I$18*PI()/180)*$I$21)*$N$99*$C$25*1000/9.81/$Y$47*$D$193*#REF!-$X$47/$Y$47*$C$20*$F$21</f>
        <v>#REF!</v>
      </c>
      <c r="Y70" s="164" t="e">
        <f>(SQRT(((-#REF!*SIN($F$18*PI()/180)*$F$21+#REF!*SIN($I$18*PI()/180)*$I$21)*$C$25*1000)^2+(0.001*$C$25*1000*$F$21)^2)/$C$30+(-#REF!*COS($F$18*PI()/180)*$F$21-#REF!*COS($I$18*PI()/180)*$I$21)*$C$25*1000)/9.81*$O$99/$Y$47*$F$193*#REF!-$Y$47/$Y$47*$C$20*$F$21</f>
        <v>#REF!</v>
      </c>
      <c r="Z70" s="199">
        <f ca="1">(-'int. presets cp_10d+wd'!K27*COS($F$18*PI()/180)*$F$21-'int. presets cp_10d+wd'!K36*COS($I$18*PI()/180)*$I$21)*$N$99*$C$25*1000/9.81/$AA$47*$D$193*'int. presets cp_10d+wd'!$K$246-$Z$47/$AA$47*$C$20*$F$21</f>
        <v>-2.7999968213626403</v>
      </c>
      <c r="AA70" s="1028">
        <f ca="1">(SQRT(((-'int. presets cp_10d+wd'!F27*SIN($F$18*PI()/180)*$F$21+'int. presets cp_10d+wd'!F36*SIN($I$18*PI()/180)*$I$21)*$C$25*1000)^2+(0.001*$C$25*1000*$F$21)^2)/$C$30+(-'int. presets cp_10d+wd'!F27*COS($F$18*PI()/180)*$F$21-'int. presets cp_10d+wd'!F36*COS($I$18*PI()/180)*$I$21)*$C$25*1000)/9.81*$O$99/$AA$47*$F$193*'int. presets cp_10d+wd'!$F$246-$Z$47/$AA$47*$C$20*$F$21</f>
        <v>10.51966914151923</v>
      </c>
      <c r="AB70" s="18"/>
      <c r="AC70" s="1445"/>
      <c r="AD70" s="19"/>
      <c r="AE70" s="371"/>
      <c r="AF70" s="372"/>
      <c r="AG70" s="1449"/>
      <c r="AH70" s="1450"/>
      <c r="AI70" s="1450"/>
      <c r="AJ70" s="1450"/>
      <c r="AK70" s="1450"/>
      <c r="AL70" s="1450"/>
      <c r="AM70" s="1450"/>
      <c r="AN70" s="1450"/>
      <c r="AO70" s="1450"/>
      <c r="AP70" s="1450"/>
      <c r="AQ70" s="1450"/>
      <c r="AR70" s="1450"/>
      <c r="AS70" s="1450"/>
      <c r="AT70" s="1450"/>
      <c r="AU70" s="1450"/>
      <c r="AV70" s="1450"/>
      <c r="AW70" s="1450"/>
      <c r="AX70" s="1450"/>
      <c r="AY70" s="1450"/>
      <c r="AZ70" s="1450"/>
      <c r="BA70" s="1450"/>
      <c r="BB70" s="1450"/>
      <c r="BC70" s="1450"/>
      <c r="BD70" s="1450"/>
      <c r="BE70" s="1450"/>
      <c r="BF70" s="1450"/>
      <c r="BG70" s="1450"/>
      <c r="BH70" s="1450"/>
      <c r="BI70" s="1450"/>
      <c r="BJ70" s="1450"/>
      <c r="BK70" s="1450"/>
      <c r="BL70" s="1450"/>
      <c r="BM70" s="1450"/>
      <c r="BN70" s="1450"/>
      <c r="BO70" s="1450"/>
      <c r="BP70" s="1450"/>
      <c r="BQ70" s="1450"/>
      <c r="BR70" s="1450"/>
      <c r="BS70" s="1450"/>
      <c r="BT70" s="1450"/>
      <c r="BU70" s="1450"/>
      <c r="BV70" s="1450"/>
      <c r="BW70" s="1450"/>
      <c r="BX70" s="1450"/>
      <c r="BY70" s="1451"/>
      <c r="BZ70" s="373"/>
      <c r="CA70" s="374"/>
      <c r="CB70" s="362"/>
      <c r="CC70" s="487"/>
      <c r="CE70" s="1445"/>
      <c r="CF70" s="19"/>
      <c r="CG70" s="371"/>
      <c r="CH70" s="372"/>
      <c r="CI70" s="1449"/>
      <c r="CJ70" s="1450"/>
      <c r="CK70" s="1450"/>
      <c r="CL70" s="1450"/>
      <c r="CM70" s="1450"/>
      <c r="CN70" s="1450"/>
      <c r="CO70" s="1450"/>
      <c r="CP70" s="1450"/>
      <c r="CQ70" s="1450"/>
      <c r="CR70" s="1450"/>
      <c r="CS70" s="1450"/>
      <c r="CT70" s="1450"/>
      <c r="CU70" s="1450"/>
      <c r="CV70" s="1450"/>
      <c r="CW70" s="1450"/>
      <c r="CX70" s="1450"/>
      <c r="CY70" s="1450"/>
      <c r="CZ70" s="1450"/>
      <c r="DA70" s="1450"/>
      <c r="DB70" s="1450"/>
      <c r="DC70" s="1450"/>
      <c r="DD70" s="1450"/>
      <c r="DE70" s="1450"/>
      <c r="DF70" s="1450"/>
      <c r="DG70" s="1450"/>
      <c r="DH70" s="1450"/>
      <c r="DI70" s="1450"/>
      <c r="DJ70" s="1450"/>
      <c r="DK70" s="1450"/>
      <c r="DL70" s="1450"/>
      <c r="DM70" s="1450"/>
      <c r="DN70" s="1450"/>
      <c r="DO70" s="1450"/>
      <c r="DP70" s="1450"/>
      <c r="DQ70" s="1450"/>
      <c r="DR70" s="1450"/>
      <c r="DS70" s="1450"/>
      <c r="DT70" s="1450"/>
      <c r="DU70" s="1450"/>
      <c r="DV70" s="1450"/>
      <c r="DW70" s="1450"/>
      <c r="DX70" s="1450"/>
      <c r="DY70" s="1450"/>
      <c r="DZ70" s="1450"/>
      <c r="EA70" s="1451"/>
      <c r="EB70" s="373"/>
      <c r="EC70" s="374"/>
      <c r="ED70" s="362"/>
      <c r="EE70" s="487"/>
    </row>
    <row r="71" spans="2:136" s="75" customFormat="1" ht="13.5" customHeight="1" thickTop="1" x14ac:dyDescent="0.2">
      <c r="B71" s="1580" t="s">
        <v>463</v>
      </c>
      <c r="C71" s="1581">
        <v>0</v>
      </c>
      <c r="D71" s="1582" t="s">
        <v>463</v>
      </c>
      <c r="E71" s="348" t="s">
        <v>461</v>
      </c>
      <c r="F71" s="1057" t="e">
        <f t="shared" si="67"/>
        <v>#REF!</v>
      </c>
      <c r="G71" s="1057" t="e">
        <f t="shared" si="24"/>
        <v>#REF!</v>
      </c>
      <c r="H71" s="1057" t="e">
        <f t="shared" si="25"/>
        <v>#REF!</v>
      </c>
      <c r="I71" s="1054" t="e">
        <f t="shared" si="26"/>
        <v>#REF!</v>
      </c>
      <c r="J71" s="1057" t="e">
        <f t="shared" si="27"/>
        <v>#REF!</v>
      </c>
      <c r="K71" s="1064" t="e">
        <f t="shared" si="28"/>
        <v>#REF!</v>
      </c>
      <c r="L71" s="1011">
        <f t="shared" ca="1" si="29"/>
        <v>10.51966914151923</v>
      </c>
      <c r="M71" s="940">
        <f t="shared" ca="1" si="30"/>
        <v>23.191872982776125</v>
      </c>
      <c r="N71" s="1025" t="e">
        <f>(-#REF!*COS($F$18*PI()/180)*$F$21-#REF!*COS($I$18*PI()/180)*$I$21)*$N$99*$C$25*1000/9.81/$O$47*$D$193*#REF!-$N$47/$O$47*$C$20*$F$21</f>
        <v>#REF!</v>
      </c>
      <c r="O71" s="75" t="e">
        <f>(SQRT(((-#REF!*SIN($F$18*PI()/180)*$F$21+#REF!*SIN($I$18*PI()/180)*$I$21)*$C$25*1000)^2+(0.001*$C$25*1000*$F$21)^2)/$C$30+(-#REF!*COS($F$18*PI()/180)*$F$21-#REF!*COS($I$18*PI()/180)*$I$21)*$C$25*1000)/9.81*$O$99/$O$47*$F$193*#REF!-$N$47/$O$47*$C$20*$F$21</f>
        <v>#REF!</v>
      </c>
      <c r="P71" s="161" t="e">
        <f>(-#REF!*COS($F$18*PI()/180)*$F$21-#REF!*COS($I$18*PI()/180)*$I$21)*$N$99*$C$25*1000/9.81/$Q$47*$D$193*#REF!-$P$47/$Q$47*$C$20*$F$21</f>
        <v>#REF!</v>
      </c>
      <c r="Q71" s="162" t="e">
        <f>(SQRT(((-#REF!*SIN($F$18*PI()/180)*$F$21+#REF!*SIN($I$18*PI()/180)*$I$21)*$C$25*1000)^2+(0.001*$C$25*1000*$F$21)^2)/$C$30+(-#REF!*COS($F$18*PI()/180)*$F$21-#REF!*COS($I$18*PI()/180)*$I$21)*$C$25*1000)/9.81*$O$99/$Q$47*$F$193*#REF!-$P$47/$Q$47*$C$20*$F$21</f>
        <v>#REF!</v>
      </c>
      <c r="R71" s="161" t="e">
        <f>(-#REF!*COS($F$18*PI()/180)*$F$21-#REF!*COS($I$18*PI()/180)*$I$21)*$N$99*$C$25*1000/9.81/$S$47*$D$193*#REF!-$R$47/$S$47*$C$20*$F$21</f>
        <v>#REF!</v>
      </c>
      <c r="S71" s="162" t="e">
        <f>(SQRT(((-#REF!*SIN($F$18*PI()/180)*$F$21+#REF!*SIN($I$18*PI()/180)*$I$21)*$C$25*1000)^2+(0.001*$C$25*1000*$F$21)^2)/$C$30+(-#REF!*COS($F$18*PI()/180)*$F$21-#REF!*COS($I$18*PI()/180)*$I$21)*$C$25*1000)/9.81*$O$99/$S$47*$F$193*#REF!-$R$47/$S$47*$C$20*$F$21</f>
        <v>#REF!</v>
      </c>
      <c r="T71" s="161" t="e">
        <f>(-#REF!*COS($F$18*PI()/180)*$F$21-#REF!*COS($I$18*PI()/180)*$I$21)*$N$99*$C$25*1000/9.81/$U$47*$D$193*#REF!-$T$47/$U$47*$C$20*$F$21</f>
        <v>#REF!</v>
      </c>
      <c r="U71" s="162" t="e">
        <f>(SQRT(((-#REF!*SIN($F$18*PI()/180)*$F$21+#REF!*SIN($I$18*PI()/180)*$I$21)*$C$25*1000)^2+(0.001*$C$25*1000*$F$21)^2)/$C$30+(-#REF!*COS($F$18*PI()/180)*$F$21-#REF!*COS($I$18*PI()/180)*$I$21)*$C$25*1000)/9.81*$O$99/$U$47*$F$193*#REF!-$T$47/$U$47*$C$20*$F$21</f>
        <v>#REF!</v>
      </c>
      <c r="V71" s="161" t="e">
        <f>(-#REF!*COS($F$18*PI()/180)*$F$21-#REF!*COS($I$18*PI()/180)*$I$21)*$N$99*$C$25*1000/9.81/$W$47*$D$193*#REF!-$V$47/$W$47*$C$20*$F$21</f>
        <v>#REF!</v>
      </c>
      <c r="W71" s="162" t="e">
        <f>(SQRT(((-#REF!*SIN($F$18*PI()/180)*$F$21+#REF!*SIN($I$18*PI()/180)*$I$21)*$C$25*1000)^2+(0.001*$C$25*1000*$F$21)^2)/$C$30+(-#REF!*COS($F$18*PI()/180)*$F$21-#REF!*COS($I$18*PI()/180)*$I$21)*$C$25*1000)/9.81*$O$99/$W$47*$F$193*#REF!-$V$47/$W$47*$C$20*$F$21</f>
        <v>#REF!</v>
      </c>
      <c r="X71" s="161" t="e">
        <f>(-#REF!*COS($F$18*PI()/180)*$F$21-#REF!*COS($I$18*PI()/180)*$I$21)*$N$99*$C$25*1000/9.81/$Y$47*$D$193*#REF!-$X$47/$Y$47*$C$20*$F$21</f>
        <v>#REF!</v>
      </c>
      <c r="Y71" s="162" t="e">
        <f>(SQRT(((-#REF!*SIN($F$18*PI()/180)*$F$21+#REF!*SIN($I$18*PI()/180)*$I$21)*$C$25*1000)^2+(0.001*$C$25*1000*$F$21)^2)/$C$30+(-#REF!*COS($F$18*PI()/180)*$F$21-#REF!*COS($I$18*PI()/180)*$I$21)*$C$25*1000)/9.81*$O$99/$Y$47*$F$193*#REF!-$Y$47/$Y$47*$C$20*$F$21</f>
        <v>#REF!</v>
      </c>
      <c r="Z71" s="161">
        <f ca="1">(-'int. presets cp_10d+wd'!K28*COS($F$18*PI()/180)*$F$21-'int. presets cp_10d+wd'!K37*COS($I$18*PI()/180)*$I$21)*$N$99*$C$25*1000/9.81/$AA$47*$D$193*'int. presets cp_10d+wd'!$K$246-$Z$47/$AA$47*$C$20*$F$21</f>
        <v>-5.6027026370271535</v>
      </c>
      <c r="AA71" s="1030">
        <f ca="1">(SQRT(((-'int. presets cp_10d+wd'!F28*SIN($F$18*PI()/180)*$F$21+'int. presets cp_10d+wd'!F37*SIN($I$18*PI()/180)*$I$21)*$C$25*1000)^2+(0.001*$C$25*1000*$F$21)^2)/$C$30+(-'int. presets cp_10d+wd'!F28*COS($F$18*PI()/180)*$F$21-'int. presets cp_10d+wd'!F37*COS($I$18*PI()/180)*$I$21)*$C$25*1000)/9.81*$O$99/$AA$47*$F$193*'int. presets cp_10d+wd'!$F$246-$Z$47/$AA$47*$C$20*$F$21</f>
        <v>10.51966914151923</v>
      </c>
      <c r="AB71" s="18"/>
      <c r="AC71" s="167"/>
      <c r="AD71" s="20"/>
      <c r="AE71" s="354"/>
      <c r="AF71" s="19"/>
      <c r="AG71" s="476"/>
      <c r="AH71" s="477"/>
      <c r="AI71" s="477"/>
      <c r="AJ71" s="477"/>
      <c r="AK71" s="477"/>
      <c r="AL71" s="489"/>
      <c r="AM71" s="477"/>
      <c r="AN71" s="477"/>
      <c r="AO71" s="477"/>
      <c r="AP71" s="477"/>
      <c r="AQ71" s="1240" t="s">
        <v>450</v>
      </c>
      <c r="AR71" s="1241"/>
      <c r="AS71" s="1241"/>
      <c r="AT71" s="1241"/>
      <c r="AU71" s="1242"/>
      <c r="AV71" s="489"/>
      <c r="AW71" s="477"/>
      <c r="AX71" s="477"/>
      <c r="AY71" s="477"/>
      <c r="AZ71" s="477"/>
      <c r="BA71" s="1240" t="s">
        <v>450</v>
      </c>
      <c r="BB71" s="1241"/>
      <c r="BC71" s="1241"/>
      <c r="BD71" s="1241"/>
      <c r="BE71" s="1242"/>
      <c r="BF71" s="489"/>
      <c r="BG71" s="489"/>
      <c r="BH71" s="489"/>
      <c r="BI71" s="489"/>
      <c r="BJ71" s="489"/>
      <c r="BK71" s="1240" t="s">
        <v>450</v>
      </c>
      <c r="BL71" s="1241"/>
      <c r="BM71" s="1241"/>
      <c r="BN71" s="1241"/>
      <c r="BO71" s="1242"/>
      <c r="BP71" s="515"/>
      <c r="BQ71" s="516"/>
      <c r="BR71" s="516"/>
      <c r="BS71" s="516"/>
      <c r="BT71" s="516"/>
      <c r="BU71" s="516"/>
      <c r="BV71" s="516"/>
      <c r="BW71" s="516"/>
      <c r="BX71" s="516"/>
      <c r="BY71" s="516"/>
      <c r="BZ71" s="516"/>
      <c r="CA71" s="523"/>
      <c r="CB71" s="38"/>
      <c r="CE71" s="167"/>
      <c r="CF71" s="20"/>
      <c r="CG71" s="515"/>
      <c r="CH71" s="516"/>
      <c r="CI71" s="516"/>
      <c r="CJ71" s="516"/>
      <c r="CK71" s="516"/>
      <c r="CL71" s="516"/>
      <c r="CM71" s="516"/>
      <c r="CN71" s="516"/>
      <c r="CO71" s="516"/>
      <c r="CP71" s="516"/>
      <c r="CQ71" s="516"/>
      <c r="CR71" s="523"/>
      <c r="CS71" s="1240" t="s">
        <v>450</v>
      </c>
      <c r="CT71" s="1241"/>
      <c r="CU71" s="1241"/>
      <c r="CV71" s="1241"/>
      <c r="CW71" s="1242"/>
      <c r="CX71" s="489"/>
      <c r="CY71" s="477"/>
      <c r="CZ71" s="477"/>
      <c r="DA71" s="477"/>
      <c r="DB71" s="477"/>
      <c r="DC71" s="1240" t="s">
        <v>450</v>
      </c>
      <c r="DD71" s="1241"/>
      <c r="DE71" s="1241"/>
      <c r="DF71" s="1241"/>
      <c r="DG71" s="1242"/>
      <c r="DH71" s="489"/>
      <c r="DI71" s="489"/>
      <c r="DJ71" s="489"/>
      <c r="DK71" s="489"/>
      <c r="DL71" s="489"/>
      <c r="DM71" s="1240" t="s">
        <v>450</v>
      </c>
      <c r="DN71" s="1241"/>
      <c r="DO71" s="1241"/>
      <c r="DP71" s="1241"/>
      <c r="DQ71" s="1242"/>
      <c r="DR71" s="489"/>
      <c r="DS71" s="489"/>
      <c r="DT71" s="489"/>
      <c r="EB71" s="494"/>
      <c r="EC71" s="495"/>
      <c r="ED71" s="38"/>
    </row>
    <row r="72" spans="2:136" s="75" customFormat="1" ht="13.5" customHeight="1" thickBot="1" x14ac:dyDescent="0.25">
      <c r="B72" s="1586" t="e">
        <v>#REF!</v>
      </c>
      <c r="C72" s="1587">
        <v>0</v>
      </c>
      <c r="D72" s="1588">
        <v>0</v>
      </c>
      <c r="E72" s="344" t="s">
        <v>462</v>
      </c>
      <c r="F72" s="1055" t="e">
        <f t="shared" si="67"/>
        <v>#REF!</v>
      </c>
      <c r="G72" s="1055" t="e">
        <f t="shared" si="24"/>
        <v>#REF!</v>
      </c>
      <c r="H72" s="1055" t="e">
        <f t="shared" si="25"/>
        <v>#REF!</v>
      </c>
      <c r="I72" s="1056" t="e">
        <f t="shared" si="26"/>
        <v>#REF!</v>
      </c>
      <c r="J72" s="1055" t="e">
        <f t="shared" si="27"/>
        <v>#REF!</v>
      </c>
      <c r="K72" s="1063" t="e">
        <f t="shared" si="28"/>
        <v>#REF!</v>
      </c>
      <c r="L72" s="1012">
        <f t="shared" ca="1" si="29"/>
        <v>10.51966914151923</v>
      </c>
      <c r="M72" s="941">
        <f t="shared" ca="1" si="30"/>
        <v>23.191872982776125</v>
      </c>
      <c r="N72" s="1027" t="e">
        <f>(-#REF!*COS($F$18*PI()/180)*$F$21-#REF!*COS($I$18*PI()/180)*$I$21)*$N$99*$C$25*1000/9.81/$O$47*$D$193*#REF!-$N$47/$O$47*$C$20*$F$21</f>
        <v>#REF!</v>
      </c>
      <c r="O72" s="936" t="e">
        <f>(SQRT(((-#REF!*SIN($F$18*PI()/180)*$F$21+#REF!*SIN($I$18*PI()/180)*$I$21)*$C$25*1000)^2+(0.001*$C$25*1000*$F$21)^2)/$C$30+(-#REF!*COS($F$18*PI()/180)*$F$21-#REF!*COS($I$18*PI()/180)*$I$21)*$C$25*1000)/9.81*$O$99/$O$47*$F$193*#REF!-$N$47/$O$47*$C$20*$F$21</f>
        <v>#REF!</v>
      </c>
      <c r="P72" s="199" t="e">
        <f>(-#REF!*COS($F$18*PI()/180)*$F$21-#REF!*COS($I$18*PI()/180)*$I$21)*$N$99*$C$25*1000/9.81/$Q$47*$D$193*#REF!-$P$47/$Q$47*$C$20*$F$21</f>
        <v>#REF!</v>
      </c>
      <c r="Q72" s="164" t="e">
        <f>(SQRT(((-#REF!*SIN($F$18*PI()/180)*$F$21+#REF!*SIN($I$18*PI()/180)*$I$21)*$C$25*1000)^2+(0.001*$C$25*1000*$F$21)^2)/$C$30+(-#REF!*COS($F$18*PI()/180)*$F$21-#REF!*COS($I$18*PI()/180)*$I$21)*$C$25*1000)/9.81*$O$99/$Q$47*$F$193*#REF!-$P$47/$Q$47*$C$20*$F$21</f>
        <v>#REF!</v>
      </c>
      <c r="R72" s="199" t="e">
        <f>(-#REF!*COS($F$18*PI()/180)*$F$21-#REF!*COS($I$18*PI()/180)*$I$21)*$N$99*$C$25*1000/9.81/$S$47*$D$193*#REF!-$R$47/$S$47*$C$20*$F$21</f>
        <v>#REF!</v>
      </c>
      <c r="S72" s="164" t="e">
        <f>(SQRT(((-#REF!*SIN($F$18*PI()/180)*$F$21+#REF!*SIN($I$18*PI()/180)*$I$21)*$C$25*1000)^2+(0.001*$C$25*1000*$F$21)^2)/$C$30+(-#REF!*COS($F$18*PI()/180)*$F$21-#REF!*COS($I$18*PI()/180)*$I$21)*$C$25*1000)/9.81*$O$99/$S$47*$F$193*#REF!-$R$47/$S$47*$C$20*$F$21</f>
        <v>#REF!</v>
      </c>
      <c r="T72" s="199" t="e">
        <f>(-#REF!*COS($F$18*PI()/180)*$F$21-#REF!*COS($I$18*PI()/180)*$I$21)*$N$99*$C$25*1000/9.81/$U$47*$D$193*#REF!-$T$47/$U$47*$C$20*$F$21</f>
        <v>#REF!</v>
      </c>
      <c r="U72" s="164" t="e">
        <f>(SQRT(((-#REF!*SIN($F$18*PI()/180)*$F$21+#REF!*SIN($I$18*PI()/180)*$I$21)*$C$25*1000)^2+(0.001*$C$25*1000*$F$21)^2)/$C$30+(-#REF!*COS($F$18*PI()/180)*$F$21-#REF!*COS($I$18*PI()/180)*$I$21)*$C$25*1000)/9.81*$O$99/$U$47*$F$193*#REF!-$T$47/$U$47*$C$20*$F$21</f>
        <v>#REF!</v>
      </c>
      <c r="V72" s="199" t="e">
        <f>(-#REF!*COS($F$18*PI()/180)*$F$21-#REF!*COS($I$18*PI()/180)*$I$21)*$N$99*$C$25*1000/9.81/$W$47*$D$193*#REF!-$V$47/$W$47*$C$20*$F$21</f>
        <v>#REF!</v>
      </c>
      <c r="W72" s="164" t="e">
        <f>(SQRT(((-#REF!*SIN($F$18*PI()/180)*$F$21+#REF!*SIN($I$18*PI()/180)*$I$21)*$C$25*1000)^2+(0.001*$C$25*1000*$F$21)^2)/$C$30+(-#REF!*COS($F$18*PI()/180)*$F$21-#REF!*COS($I$18*PI()/180)*$I$21)*$C$25*1000)/9.81*$O$99/$W$47*$F$193*#REF!-$V$47/$W$47*$C$20*$F$21</f>
        <v>#REF!</v>
      </c>
      <c r="X72" s="199" t="e">
        <f>(-#REF!*COS($F$18*PI()/180)*$F$21-#REF!*COS($I$18*PI()/180)*$I$21)*$N$99*$C$25*1000/9.81/$Y$47*$D$193*#REF!-$X$47/$Y$47*$C$20*$F$21</f>
        <v>#REF!</v>
      </c>
      <c r="Y72" s="164" t="e">
        <f>(SQRT(((-#REF!*SIN($F$18*PI()/180)*$F$21+#REF!*SIN($I$18*PI()/180)*$I$21)*$C$25*1000)^2+(0.001*$C$25*1000*$F$21)^2)/$C$30+(-#REF!*COS($F$18*PI()/180)*$F$21-#REF!*COS($I$18*PI()/180)*$I$21)*$C$25*1000)/9.81*$O$99/$Y$47*$F$193*#REF!-$Y$47/$Y$47*$C$20*$F$21</f>
        <v>#REF!</v>
      </c>
      <c r="Z72" s="199">
        <f ca="1">(-'int. presets cp_10d+wd'!K29*COS($F$18*PI()/180)*$F$21-'int. presets cp_10d+wd'!K38*COS($I$18*PI()/180)*$I$21)*$N$99*$C$25*1000/9.81/$AA$47*$D$193*'int. presets cp_10d+wd'!$K$246-$Z$47/$AA$47*$C$20*$F$21</f>
        <v>-5.6027026370271535</v>
      </c>
      <c r="AA72" s="1028">
        <f ca="1">(SQRT(((-'int. presets cp_10d+wd'!F29*SIN($F$18*PI()/180)*$F$21+'int. presets cp_10d+wd'!F38*SIN($I$18*PI()/180)*$I$21)*$C$25*1000)^2+(0.001*$C$25*1000*$F$21)^2)/$C$30+(-'int. presets cp_10d+wd'!F29*COS($F$18*PI()/180)*$F$21-'int. presets cp_10d+wd'!F38*COS($I$18*PI()/180)*$I$21)*$C$25*1000)/9.81*$O$99/$AA$47*$F$193*'int. presets cp_10d+wd'!$F$246-$Z$47/$AA$47*$C$20*$F$21</f>
        <v>10.51966914151923</v>
      </c>
      <c r="AB72" s="18"/>
      <c r="AC72" s="20"/>
      <c r="AD72" s="20"/>
      <c r="AE72" s="354"/>
      <c r="AF72" s="19"/>
      <c r="AG72" s="474"/>
      <c r="AH72" s="475"/>
      <c r="AI72" s="475"/>
      <c r="AJ72" s="475"/>
      <c r="AK72" s="475"/>
      <c r="AL72" s="475"/>
      <c r="AM72" s="475"/>
      <c r="AN72" s="475"/>
      <c r="AO72" s="475"/>
      <c r="AP72" s="475"/>
      <c r="AQ72" s="1243"/>
      <c r="AR72" s="1244"/>
      <c r="AS72" s="1244"/>
      <c r="AT72" s="1244"/>
      <c r="AU72" s="1245"/>
      <c r="AV72" s="475"/>
      <c r="AW72" s="475"/>
      <c r="AX72" s="475"/>
      <c r="AY72" s="475"/>
      <c r="AZ72" s="475"/>
      <c r="BA72" s="1243"/>
      <c r="BB72" s="1244"/>
      <c r="BC72" s="1244"/>
      <c r="BD72" s="1244"/>
      <c r="BE72" s="1245"/>
      <c r="BF72" s="475"/>
      <c r="BG72" s="475"/>
      <c r="BH72" s="475"/>
      <c r="BI72" s="475"/>
      <c r="BJ72" s="475"/>
      <c r="BK72" s="1243"/>
      <c r="BL72" s="1244"/>
      <c r="BM72" s="1244"/>
      <c r="BN72" s="1244"/>
      <c r="BO72" s="1245"/>
      <c r="BP72" s="517"/>
      <c r="BQ72" s="518"/>
      <c r="BR72" s="518"/>
      <c r="BS72" s="518"/>
      <c r="BT72" s="518"/>
      <c r="BU72" s="518"/>
      <c r="BV72" s="518"/>
      <c r="BW72" s="518"/>
      <c r="BX72" s="518"/>
      <c r="BY72" s="518"/>
      <c r="BZ72" s="518"/>
      <c r="CA72" s="522"/>
      <c r="CB72" s="23"/>
      <c r="CE72" s="20"/>
      <c r="CF72" s="20"/>
      <c r="CG72" s="517"/>
      <c r="CH72" s="518"/>
      <c r="CI72" s="518"/>
      <c r="CJ72" s="518"/>
      <c r="CK72" s="518"/>
      <c r="CL72" s="518"/>
      <c r="CM72" s="518"/>
      <c r="CN72" s="518"/>
      <c r="CO72" s="518"/>
      <c r="CP72" s="518"/>
      <c r="CQ72" s="518"/>
      <c r="CR72" s="522"/>
      <c r="CS72" s="1243"/>
      <c r="CT72" s="1244"/>
      <c r="CU72" s="1244"/>
      <c r="CV72" s="1244"/>
      <c r="CW72" s="1245"/>
      <c r="CX72" s="475"/>
      <c r="CY72" s="475"/>
      <c r="CZ72" s="475"/>
      <c r="DA72" s="475"/>
      <c r="DB72" s="475"/>
      <c r="DC72" s="1243"/>
      <c r="DD72" s="1244"/>
      <c r="DE72" s="1244"/>
      <c r="DF72" s="1244"/>
      <c r="DG72" s="1245"/>
      <c r="DH72" s="475"/>
      <c r="DI72" s="475"/>
      <c r="DJ72" s="475"/>
      <c r="DK72" s="475"/>
      <c r="DL72" s="475"/>
      <c r="DM72" s="1243"/>
      <c r="DN72" s="1244"/>
      <c r="DO72" s="1244"/>
      <c r="DP72" s="1244"/>
      <c r="DQ72" s="1245"/>
      <c r="DR72" s="475"/>
      <c r="DS72" s="475"/>
      <c r="DT72" s="475"/>
      <c r="EB72" s="496"/>
      <c r="EC72" s="497"/>
      <c r="ED72" s="23"/>
    </row>
    <row r="73" spans="2:136" s="75" customFormat="1" ht="13.5" customHeight="1" x14ac:dyDescent="0.25">
      <c r="B73" s="1580" t="s">
        <v>464</v>
      </c>
      <c r="C73" s="1581">
        <v>0</v>
      </c>
      <c r="D73" s="1582" t="s">
        <v>464</v>
      </c>
      <c r="E73" s="348" t="s">
        <v>461</v>
      </c>
      <c r="F73" s="1057" t="e">
        <f t="shared" si="67"/>
        <v>#REF!</v>
      </c>
      <c r="G73" s="1057" t="e">
        <f t="shared" si="24"/>
        <v>#REF!</v>
      </c>
      <c r="H73" s="1057" t="e">
        <f t="shared" si="25"/>
        <v>#REF!</v>
      </c>
      <c r="I73" s="1054" t="e">
        <f t="shared" si="26"/>
        <v>#REF!</v>
      </c>
      <c r="J73" s="1057" t="e">
        <f t="shared" si="27"/>
        <v>#REF!</v>
      </c>
      <c r="K73" s="1064" t="e">
        <f t="shared" si="28"/>
        <v>#REF!</v>
      </c>
      <c r="L73" s="1011">
        <f t="shared" ca="1" si="29"/>
        <v>10.51966914151923</v>
      </c>
      <c r="M73" s="940">
        <f t="shared" ca="1" si="30"/>
        <v>23.191872982776125</v>
      </c>
      <c r="N73" s="1025" t="e">
        <f>(-#REF!*COS($F$18*PI()/180)*$F$21-#REF!*COS($I$18*PI()/180)*$I$21)*$N$99*$C$25*1000/9.81/$O$47*$D$193*#REF!-$N$47/$O$47*$C$20*$F$21</f>
        <v>#REF!</v>
      </c>
      <c r="O73" s="75" t="e">
        <f>(SQRT(((-#REF!*SIN($F$18*PI()/180)*$F$21+#REF!*SIN($I$18*PI()/180)*$I$21)*$C$25*1000)^2+(0.001*$C$25*1000*$F$21)^2)/$C$30+(-#REF!*COS($F$18*PI()/180)*$F$21-#REF!*COS($I$18*PI()/180)*$I$21)*$C$25*1000)/9.81*$O$99/$O$47*$F$193*#REF!-$N$47/$O$47*$C$20*$F$21</f>
        <v>#REF!</v>
      </c>
      <c r="P73" s="161" t="e">
        <f>(-#REF!*COS($F$18*PI()/180)*$F$21-#REF!*COS($I$18*PI()/180)*$I$21)*$N$99*$C$25*1000/9.81/$Q$47*$D$193*#REF!-$P$47/$Q$47*$C$20*$F$21</f>
        <v>#REF!</v>
      </c>
      <c r="Q73" s="162" t="e">
        <f>(SQRT(((-#REF!*SIN($F$18*PI()/180)*$F$21+#REF!*SIN($I$18*PI()/180)*$I$21)*$C$25*1000)^2+(0.001*$C$25*1000*$F$21)^2)/$C$30+(-#REF!*COS($F$18*PI()/180)*$F$21-#REF!*COS($I$18*PI()/180)*$I$21)*$C$25*1000)/9.81*$O$99/$Q$47*$F$193*#REF!-$P$47/$Q$47*$C$20*$F$21</f>
        <v>#REF!</v>
      </c>
      <c r="R73" s="161" t="e">
        <f>(-#REF!*COS($F$18*PI()/180)*$F$21-#REF!*COS($I$18*PI()/180)*$I$21)*$N$99*$C$25*1000/9.81/$S$47*$D$193*#REF!-$R$47/$S$47*$C$20*$F$21</f>
        <v>#REF!</v>
      </c>
      <c r="S73" s="162" t="e">
        <f>(SQRT(((-#REF!*SIN($F$18*PI()/180)*$F$21+#REF!*SIN($I$18*PI()/180)*$I$21)*$C$25*1000)^2+(0.001*$C$25*1000*$F$21)^2)/$C$30+(-#REF!*COS($F$18*PI()/180)*$F$21-#REF!*COS($I$18*PI()/180)*$I$21)*$C$25*1000)/9.81*$O$99/$S$47*$F$193*#REF!-$R$47/$S$47*$C$20*$F$21</f>
        <v>#REF!</v>
      </c>
      <c r="T73" s="161" t="e">
        <f>(-#REF!*COS($F$18*PI()/180)*$F$21-#REF!*COS($I$18*PI()/180)*$I$21)*$N$99*$C$25*1000/9.81/$U$47*$D$193*#REF!-$T$47/$U$47*$C$20*$F$21</f>
        <v>#REF!</v>
      </c>
      <c r="U73" s="162" t="e">
        <f>(SQRT(((-#REF!*SIN($F$18*PI()/180)*$F$21+#REF!*SIN($I$18*PI()/180)*$I$21)*$C$25*1000)^2+(0.001*$C$25*1000*$F$21)^2)/$C$30+(-#REF!*COS($F$18*PI()/180)*$F$21-#REF!*COS($I$18*PI()/180)*$I$21)*$C$25*1000)/9.81*$O$99/$U$47*$F$193*#REF!-$T$47/$U$47*$C$20*$F$21</f>
        <v>#REF!</v>
      </c>
      <c r="V73" s="161" t="e">
        <f>(-#REF!*COS($F$18*PI()/180)*$F$21-#REF!*COS($I$18*PI()/180)*$I$21)*$N$99*$C$25*1000/9.81/$W$47*$D$193*#REF!-$V$47/$W$47*$C$20*$F$21</f>
        <v>#REF!</v>
      </c>
      <c r="W73" s="162" t="e">
        <f>(SQRT(((-#REF!*SIN($F$18*PI()/180)*$F$21+#REF!*SIN($I$18*PI()/180)*$I$21)*$C$25*1000)^2+(0.001*$C$25*1000*$F$21)^2)/$C$30+(-#REF!*COS($F$18*PI()/180)*$F$21-#REF!*COS($I$18*PI()/180)*$I$21)*$C$25*1000)/9.81*$O$99/$W$47*$F$193*#REF!-$V$47/$W$47*$C$20*$F$21</f>
        <v>#REF!</v>
      </c>
      <c r="X73" s="161" t="e">
        <f>(-#REF!*COS($F$18*PI()/180)*$F$21-#REF!*COS($I$18*PI()/180)*$I$21)*$N$99*$C$25*1000/9.81/$Y$47*$D$193*#REF!-$X$47/$Y$47*$C$20*$F$21</f>
        <v>#REF!</v>
      </c>
      <c r="Y73" s="162" t="e">
        <f>(SQRT(((-#REF!*SIN($F$18*PI()/180)*$F$21+#REF!*SIN($I$18*PI()/180)*$I$21)*$C$25*1000)^2+(0.001*$C$25*1000*$F$21)^2)/$C$30+(-#REF!*COS($F$18*PI()/180)*$F$21-#REF!*COS($I$18*PI()/180)*$I$21)*$C$25*1000)/9.81*$O$99/$Y$47*$F$193*#REF!-$Y$47/$Y$47*$C$20*$F$21</f>
        <v>#REF!</v>
      </c>
      <c r="Z73" s="161">
        <f ca="1">(-'int. presets cp_10d+wd'!K30*COS($F$18*PI()/180)*$F$21-'int. presets cp_10d+wd'!K39*COS($I$18*PI()/180)*$I$21)*$N$99*$C$25*1000/9.81/$AA$47*$D$193*'int. presets cp_10d+wd'!$K$246-$Z$47/$AA$47*$C$20*$F$21</f>
        <v>-5.6027026370271535</v>
      </c>
      <c r="AA73" s="1030">
        <f ca="1">(SQRT(((-'int. presets cp_10d+wd'!F30*SIN($F$18*PI()/180)*$F$21+'int. presets cp_10d+wd'!F39*SIN($I$18*PI()/180)*$I$21)*$C$25*1000)^2+(0.001*$C$25*1000*$F$21)^2)/$C$30+(-'int. presets cp_10d+wd'!F30*COS($F$18*PI()/180)*$F$21-'int. presets cp_10d+wd'!F39*COS($I$18*PI()/180)*$I$21)*$C$25*1000)/9.81*$O$99/$AA$47*$F$193*'int. presets cp_10d+wd'!$F$246-$Z$47/$AA$47*$C$20*$F$21</f>
        <v>10.51966914151923</v>
      </c>
      <c r="AB73" s="18"/>
      <c r="AC73" s="20"/>
      <c r="AD73" s="20"/>
      <c r="AE73" s="355"/>
      <c r="AF73" s="48"/>
      <c r="AG73" s="472"/>
      <c r="AH73" s="473"/>
      <c r="AI73" s="473"/>
      <c r="AJ73" s="473"/>
      <c r="AK73" s="473"/>
      <c r="AL73" s="473"/>
      <c r="AM73" s="473"/>
      <c r="AN73" s="473"/>
      <c r="AO73" s="473"/>
      <c r="AP73" s="473"/>
      <c r="AQ73" s="1246"/>
      <c r="AR73" s="1247"/>
      <c r="AS73" s="1247"/>
      <c r="AT73" s="1247"/>
      <c r="AU73" s="1248"/>
      <c r="AV73" s="473"/>
      <c r="AW73" s="473"/>
      <c r="AX73" s="473"/>
      <c r="AY73" s="473"/>
      <c r="AZ73" s="473"/>
      <c r="BA73" s="1246"/>
      <c r="BB73" s="1247"/>
      <c r="BC73" s="1247"/>
      <c r="BD73" s="1247"/>
      <c r="BE73" s="1248"/>
      <c r="BF73" s="473"/>
      <c r="BG73" s="473"/>
      <c r="BH73" s="473"/>
      <c r="BI73" s="473"/>
      <c r="BJ73" s="473"/>
      <c r="BK73" s="1246"/>
      <c r="BL73" s="1247"/>
      <c r="BM73" s="1247"/>
      <c r="BN73" s="1247"/>
      <c r="BO73" s="1248"/>
      <c r="BP73" s="519"/>
      <c r="BQ73" s="520"/>
      <c r="BR73" s="520"/>
      <c r="BS73" s="520"/>
      <c r="BT73" s="520"/>
      <c r="BU73" s="520"/>
      <c r="BV73" s="520"/>
      <c r="BW73" s="520"/>
      <c r="BX73" s="520"/>
      <c r="BY73" s="520"/>
      <c r="BZ73" s="520"/>
      <c r="CA73" s="521"/>
      <c r="CB73" s="18"/>
      <c r="CE73" s="20"/>
      <c r="CF73" s="20"/>
      <c r="CG73" s="519"/>
      <c r="CH73" s="520"/>
      <c r="CI73" s="520"/>
      <c r="CJ73" s="520"/>
      <c r="CK73" s="520"/>
      <c r="CL73" s="520"/>
      <c r="CM73" s="520"/>
      <c r="CN73" s="520"/>
      <c r="CO73" s="520"/>
      <c r="CP73" s="520"/>
      <c r="CQ73" s="520"/>
      <c r="CR73" s="521"/>
      <c r="CS73" s="1246"/>
      <c r="CT73" s="1247"/>
      <c r="CU73" s="1247"/>
      <c r="CV73" s="1247"/>
      <c r="CW73" s="1248"/>
      <c r="CX73" s="473"/>
      <c r="CY73" s="473"/>
      <c r="CZ73" s="473"/>
      <c r="DA73" s="473"/>
      <c r="DB73" s="473"/>
      <c r="DC73" s="1246"/>
      <c r="DD73" s="1247"/>
      <c r="DE73" s="1247"/>
      <c r="DF73" s="1247"/>
      <c r="DG73" s="1248"/>
      <c r="DH73" s="473"/>
      <c r="DI73" s="473"/>
      <c r="DJ73" s="473"/>
      <c r="DK73" s="473"/>
      <c r="DL73" s="473"/>
      <c r="DM73" s="1246"/>
      <c r="DN73" s="1247"/>
      <c r="DO73" s="1247"/>
      <c r="DP73" s="1247"/>
      <c r="DQ73" s="1248"/>
      <c r="DR73" s="473"/>
      <c r="DS73" s="473"/>
      <c r="DT73" s="473"/>
      <c r="EB73" s="498"/>
      <c r="EC73" s="499"/>
      <c r="ED73" s="18"/>
    </row>
    <row r="74" spans="2:136" s="75" customFormat="1" ht="13.5" customHeight="1" thickBot="1" x14ac:dyDescent="0.25">
      <c r="B74" s="1586" t="e">
        <v>#REF!</v>
      </c>
      <c r="C74" s="1587">
        <v>0</v>
      </c>
      <c r="D74" s="1588">
        <v>0</v>
      </c>
      <c r="E74" s="344" t="s">
        <v>462</v>
      </c>
      <c r="F74" s="1055" t="e">
        <f t="shared" si="67"/>
        <v>#REF!</v>
      </c>
      <c r="G74" s="1055" t="e">
        <f t="shared" si="24"/>
        <v>#REF!</v>
      </c>
      <c r="H74" s="1055" t="e">
        <f t="shared" si="25"/>
        <v>#REF!</v>
      </c>
      <c r="I74" s="1056" t="e">
        <f t="shared" si="26"/>
        <v>#REF!</v>
      </c>
      <c r="J74" s="1055" t="e">
        <f t="shared" si="27"/>
        <v>#REF!</v>
      </c>
      <c r="K74" s="1063" t="e">
        <f t="shared" si="28"/>
        <v>#REF!</v>
      </c>
      <c r="L74" s="1012">
        <f t="shared" ca="1" si="29"/>
        <v>10.51966914151923</v>
      </c>
      <c r="M74" s="941">
        <f t="shared" ca="1" si="30"/>
        <v>23.191872982776125</v>
      </c>
      <c r="N74" s="1027" t="e">
        <f>(-#REF!*COS($F$18*PI()/180)*$F$21-#REF!*COS($I$18*PI()/180)*$I$21)*$N$99*$C$25*1000/9.81/$O$47*$D$193*#REF!-$N$47/$O$47*$C$20*$F$21</f>
        <v>#REF!</v>
      </c>
      <c r="O74" s="936" t="e">
        <f>(SQRT(((-#REF!*SIN($F$18*PI()/180)*$F$21+#REF!*SIN($I$18*PI()/180)*$I$21)*$C$25*1000)^2+(0.001*$C$25*1000*$F$21)^2)/$C$30+(-#REF!*COS($F$18*PI()/180)*$F$21-#REF!*COS($I$18*PI()/180)*$I$21)*$C$25*1000)/9.81*$O$99/$O$47*$F$193*#REF!-$N$47/$O$47*$C$20*$F$21</f>
        <v>#REF!</v>
      </c>
      <c r="P74" s="199" t="e">
        <f>(-#REF!*COS($F$18*PI()/180)*$F$21-#REF!*COS($I$18*PI()/180)*$I$21)*$N$99*$C$25*1000/9.81/$Q$47*$D$193*#REF!-$P$47/$Q$47*$C$20*$F$21</f>
        <v>#REF!</v>
      </c>
      <c r="Q74" s="164" t="e">
        <f>(SQRT(((-#REF!*SIN($F$18*PI()/180)*$F$21+#REF!*SIN($I$18*PI()/180)*$I$21)*$C$25*1000)^2+(0.001*$C$25*1000*$F$21)^2)/$C$30+(-#REF!*COS($F$18*PI()/180)*$F$21-#REF!*COS($I$18*PI()/180)*$I$21)*$C$25*1000)/9.81*$O$99/$Q$47*$F$193*#REF!-$P$47/$Q$47*$C$20*$F$21</f>
        <v>#REF!</v>
      </c>
      <c r="R74" s="199" t="e">
        <f>(-#REF!*COS($F$18*PI()/180)*$F$21-#REF!*COS($I$18*PI()/180)*$I$21)*$N$99*$C$25*1000/9.81/$S$47*$D$193*#REF!-$R$47/$S$47*$C$20*$F$21</f>
        <v>#REF!</v>
      </c>
      <c r="S74" s="164" t="e">
        <f>(SQRT(((-#REF!*SIN($F$18*PI()/180)*$F$21+#REF!*SIN($I$18*PI()/180)*$I$21)*$C$25*1000)^2+(0.001*$C$25*1000*$F$21)^2)/$C$30+(-#REF!*COS($F$18*PI()/180)*$F$21-#REF!*COS($I$18*PI()/180)*$I$21)*$C$25*1000)/9.81*$O$99/$S$47*$F$193*#REF!-$R$47/$S$47*$C$20*$F$21</f>
        <v>#REF!</v>
      </c>
      <c r="T74" s="199" t="e">
        <f>(-#REF!*COS($F$18*PI()/180)*$F$21-#REF!*COS($I$18*PI()/180)*$I$21)*$N$99*$C$25*1000/9.81/$U$47*$D$193*#REF!-$T$47/$U$47*$C$20*$F$21</f>
        <v>#REF!</v>
      </c>
      <c r="U74" s="164" t="e">
        <f>(SQRT(((-#REF!*SIN($F$18*PI()/180)*$F$21+#REF!*SIN($I$18*PI()/180)*$I$21)*$C$25*1000)^2+(0.001*$C$25*1000*$F$21)^2)/$C$30+(-#REF!*COS($F$18*PI()/180)*$F$21-#REF!*COS($I$18*PI()/180)*$I$21)*$C$25*1000)/9.81*$O$99/$U$47*$F$193*#REF!-$T$47/$U$47*$C$20*$F$21</f>
        <v>#REF!</v>
      </c>
      <c r="V74" s="199" t="e">
        <f>(-#REF!*COS($F$18*PI()/180)*$F$21-#REF!*COS($I$18*PI()/180)*$I$21)*$N$99*$C$25*1000/9.81/$W$47*$D$193*#REF!-$V$47/$W$47*$C$20*$F$21</f>
        <v>#REF!</v>
      </c>
      <c r="W74" s="164" t="e">
        <f>(SQRT(((-#REF!*SIN($F$18*PI()/180)*$F$21+#REF!*SIN($I$18*PI()/180)*$I$21)*$C$25*1000)^2+(0.001*$C$25*1000*$F$21)^2)/$C$30+(-#REF!*COS($F$18*PI()/180)*$F$21-#REF!*COS($I$18*PI()/180)*$I$21)*$C$25*1000)/9.81*$O$99/$W$47*$F$193*#REF!-$V$47/$W$47*$C$20*$F$21</f>
        <v>#REF!</v>
      </c>
      <c r="X74" s="199" t="e">
        <f>(-#REF!*COS($F$18*PI()/180)*$F$21-#REF!*COS($I$18*PI()/180)*$I$21)*$N$99*$C$25*1000/9.81/$Y$47*$D$193*#REF!-$X$47/$Y$47*$C$20*$F$21</f>
        <v>#REF!</v>
      </c>
      <c r="Y74" s="164" t="e">
        <f>(SQRT(((-#REF!*SIN($F$18*PI()/180)*$F$21+#REF!*SIN($I$18*PI()/180)*$I$21)*$C$25*1000)^2+(0.001*$C$25*1000*$F$21)^2)/$C$30+(-#REF!*COS($F$18*PI()/180)*$F$21-#REF!*COS($I$18*PI()/180)*$I$21)*$C$25*1000)/9.81*$O$99/$Y$47*$F$193*#REF!-$Y$47/$Y$47*$C$20*$F$21</f>
        <v>#REF!</v>
      </c>
      <c r="Z74" s="199">
        <f ca="1">(-'int. presets cp_10d+wd'!K31*COS($F$18*PI()/180)*$F$21-'int. presets cp_10d+wd'!K40*COS($I$18*PI()/180)*$I$21)*$N$99*$C$25*1000/9.81/$AA$47*$D$193*'int. presets cp_10d+wd'!$K$246-$Z$47/$AA$47*$C$20*$F$21</f>
        <v>-5.6027026370271535</v>
      </c>
      <c r="AA74" s="1028">
        <f ca="1">(SQRT(((-'int. presets cp_10d+wd'!F31*SIN($F$18*PI()/180)*$F$21+'int. presets cp_10d+wd'!F40*SIN($I$18*PI()/180)*$I$21)*$C$25*1000)^2+(0.001*$C$25*1000*$F$21)^2)/$C$30+(-'int. presets cp_10d+wd'!F31*COS($F$18*PI()/180)*$F$21-'int. presets cp_10d+wd'!F40*COS($I$18*PI()/180)*$I$21)*$C$25*1000)/9.81*$O$99/$AA$47*$F$193*'int. presets cp_10d+wd'!$F$246-$Z$47/$AA$47*$C$20*$F$21</f>
        <v>10.51966914151923</v>
      </c>
      <c r="AB74" s="18"/>
      <c r="AE74" s="1255">
        <f>IF(60&lt;('building data'!$C$20),MAX(0,'building data'!$C$20-60),0)</f>
        <v>31.439999999999998</v>
      </c>
      <c r="AF74" s="1256"/>
      <c r="AG74" s="1256"/>
      <c r="AH74" s="1256"/>
      <c r="AI74" s="1256"/>
      <c r="AJ74" s="1256"/>
      <c r="AK74" s="1256"/>
      <c r="AL74" s="1256"/>
      <c r="AM74" s="1256"/>
      <c r="AN74" s="1256"/>
      <c r="AO74" s="1256"/>
      <c r="AP74" s="1256"/>
      <c r="AQ74" s="1256"/>
      <c r="AR74" s="1256"/>
      <c r="AS74" s="1256"/>
      <c r="AT74" s="1256"/>
      <c r="AU74" s="1257"/>
      <c r="AV74" s="1255">
        <f>IF(60&lt;('building data'!$C$20),20,MAX('building data'!$C$20-40,0))</f>
        <v>20</v>
      </c>
      <c r="AW74" s="1256"/>
      <c r="AX74" s="1256"/>
      <c r="AY74" s="1256"/>
      <c r="AZ74" s="1256"/>
      <c r="BA74" s="1256"/>
      <c r="BB74" s="1256"/>
      <c r="BC74" s="1256"/>
      <c r="BD74" s="1256"/>
      <c r="BE74" s="1257"/>
      <c r="BF74" s="1255">
        <f>IF(40&lt;('building data'!$C$20),20,MAX('building data'!$C$20-20,0))</f>
        <v>20</v>
      </c>
      <c r="BG74" s="1256"/>
      <c r="BH74" s="1256"/>
      <c r="BI74" s="1256"/>
      <c r="BJ74" s="1256"/>
      <c r="BK74" s="1256"/>
      <c r="BL74" s="1256"/>
      <c r="BM74" s="1256"/>
      <c r="BN74" s="1256"/>
      <c r="BO74" s="1257"/>
      <c r="BP74" s="1267">
        <f>IF(20&lt;('building data'!$C$20),20,('building data'!$C$20))</f>
        <v>20</v>
      </c>
      <c r="BQ74" s="1268"/>
      <c r="BR74" s="1268"/>
      <c r="BS74" s="1268"/>
      <c r="BT74" s="1268"/>
      <c r="BU74" s="1268"/>
      <c r="BV74" s="1268"/>
      <c r="BW74" s="1268"/>
      <c r="BX74" s="1268"/>
      <c r="BY74" s="1268"/>
      <c r="BZ74" s="1268"/>
      <c r="CA74" s="1269"/>
      <c r="CG74" s="1267">
        <f>IF(20&lt;('building data'!$C$20),20,('building data'!$C$20))</f>
        <v>20</v>
      </c>
      <c r="CH74" s="1268"/>
      <c r="CI74" s="1268"/>
      <c r="CJ74" s="1268"/>
      <c r="CK74" s="1268"/>
      <c r="CL74" s="1268"/>
      <c r="CM74" s="1268"/>
      <c r="CN74" s="1268"/>
      <c r="CO74" s="1268"/>
      <c r="CP74" s="1268"/>
      <c r="CQ74" s="1268"/>
      <c r="CR74" s="1269"/>
      <c r="CS74" s="1258">
        <f>IF(40&lt;('building data'!$C$20),20,MAX('building data'!$C$20-20,0))</f>
        <v>20</v>
      </c>
      <c r="CT74" s="1259"/>
      <c r="CU74" s="1259"/>
      <c r="CV74" s="1259"/>
      <c r="CW74" s="1259"/>
      <c r="CX74" s="1259"/>
      <c r="CY74" s="1259"/>
      <c r="CZ74" s="1259"/>
      <c r="DA74" s="1259"/>
      <c r="DB74" s="1260"/>
      <c r="DC74" s="1258">
        <f>IF(60&lt;('building data'!$C$20),20,MAX('building data'!$C$20-40,0))</f>
        <v>20</v>
      </c>
      <c r="DD74" s="1259"/>
      <c r="DE74" s="1259"/>
      <c r="DF74" s="1259"/>
      <c r="DG74" s="1259"/>
      <c r="DH74" s="1259"/>
      <c r="DI74" s="1259"/>
      <c r="DJ74" s="1259"/>
      <c r="DK74" s="1259"/>
      <c r="DL74" s="1260"/>
      <c r="DM74" s="1258">
        <f>IF(60&lt;('building data'!$C$20),MAX(0,'building data'!$C$20-60),0)</f>
        <v>31.439999999999998</v>
      </c>
      <c r="DN74" s="1259"/>
      <c r="DO74" s="1259"/>
      <c r="DP74" s="1259"/>
      <c r="DQ74" s="1259"/>
      <c r="DR74" s="1259"/>
      <c r="DS74" s="1259"/>
      <c r="DT74" s="1259"/>
      <c r="DU74" s="1259"/>
      <c r="DV74" s="1259"/>
      <c r="DW74" s="1259"/>
      <c r="DX74" s="1259"/>
      <c r="DY74" s="1259"/>
      <c r="DZ74" s="1259"/>
      <c r="EA74" s="1259"/>
      <c r="EB74" s="1259"/>
      <c r="EC74" s="1260"/>
    </row>
    <row r="75" spans="2:136" s="75" customFormat="1" ht="13.5" customHeight="1" x14ac:dyDescent="0.2">
      <c r="B75" s="1580" t="s">
        <v>465</v>
      </c>
      <c r="C75" s="1581">
        <v>0</v>
      </c>
      <c r="D75" s="1582" t="s">
        <v>465</v>
      </c>
      <c r="E75" s="348" t="s">
        <v>461</v>
      </c>
      <c r="F75" s="1057" t="e">
        <f t="shared" si="67"/>
        <v>#REF!</v>
      </c>
      <c r="G75" s="1057" t="e">
        <f t="shared" si="24"/>
        <v>#REF!</v>
      </c>
      <c r="H75" s="1057" t="e">
        <f t="shared" si="25"/>
        <v>#REF!</v>
      </c>
      <c r="I75" s="1054" t="e">
        <f t="shared" si="26"/>
        <v>#REF!</v>
      </c>
      <c r="J75" s="1057" t="e">
        <f t="shared" si="27"/>
        <v>#REF!</v>
      </c>
      <c r="K75" s="1064" t="e">
        <f t="shared" si="28"/>
        <v>#REF!</v>
      </c>
      <c r="L75" s="1011">
        <f t="shared" ca="1" si="29"/>
        <v>10.51966914151923</v>
      </c>
      <c r="M75" s="940">
        <f t="shared" ca="1" si="30"/>
        <v>23.191872982776125</v>
      </c>
      <c r="N75" s="1025" t="e">
        <f>(-#REF!*COS($F$18*PI()/180)*$F$21-#REF!*COS($I$18*PI()/180)*$I$21)*$N$99*$C$25*1000/9.81/$O$47*$D$193*#REF!-$N$47/$O$47*$C$20*$F$21</f>
        <v>#REF!</v>
      </c>
      <c r="O75" s="75" t="e">
        <f>(SQRT(((-#REF!*SIN($F$18*PI()/180)*$F$21+#REF!*SIN($I$18*PI()/180)*$I$21)*$C$25*1000)^2+(0.001*$C$25*1000*$F$21)^2)/$C$30+(-#REF!*COS($F$18*PI()/180)*$F$21-#REF!*COS($I$18*PI()/180)*$I$21)*$C$25*1000)/9.81*$O$99/$O$47*$F$193*#REF!-$N$47/$O$47*$C$20*$F$21</f>
        <v>#REF!</v>
      </c>
      <c r="P75" s="161" t="e">
        <f>(-#REF!*COS($F$18*PI()/180)*$F$21-#REF!*COS($I$18*PI()/180)*$I$21)*$N$99*$C$25*1000/9.81/$Q$47*$D$193*#REF!-$P$47/$Q$47*$C$20*$F$21</f>
        <v>#REF!</v>
      </c>
      <c r="Q75" s="198" t="e">
        <f>(SQRT(((-#REF!*SIN($F$18*PI()/180)*$F$21+#REF!*SIN($I$18*PI()/180)*$I$21)*$C$25*1000)^2+(0.001*$C$25*1000*$F$21)^2)/$C$30+(-#REF!*COS($F$18*PI()/180)*$F$21-#REF!*COS($I$18*PI()/180)*$I$21)*$C$25*1000)/9.81*$O$99/$Q$47*$F$193*#REF!-$P$47/$Q$47*$C$20*$F$21</f>
        <v>#REF!</v>
      </c>
      <c r="R75" s="161" t="e">
        <f>(-#REF!*COS($F$18*PI()/180)*$F$21-#REF!*COS($I$18*PI()/180)*$I$21)*$N$99*$C$25*1000/9.81/$S$47*$D$193*#REF!-$R$47/$S$47*$C$20*$F$21</f>
        <v>#REF!</v>
      </c>
      <c r="S75" s="198" t="e">
        <f>(SQRT(((-#REF!*SIN($F$18*PI()/180)*$F$21+#REF!*SIN($I$18*PI()/180)*$I$21)*$C$25*1000)^2+(0.001*$C$25*1000*$F$21)^2)/$C$30+(-#REF!*COS($F$18*PI()/180)*$F$21-#REF!*COS($I$18*PI()/180)*$I$21)*$C$25*1000)/9.81*$O$99/$S$47*$F$193*#REF!-$R$47/$S$47*$C$20*$F$21</f>
        <v>#REF!</v>
      </c>
      <c r="T75" s="161" t="e">
        <f>(-#REF!*COS($F$18*PI()/180)*$F$21-#REF!*COS($I$18*PI()/180)*$I$21)*$N$99*$C$25*1000/9.81/$U$47*$D$193*#REF!-$T$47/$U$47*$C$20*$F$21</f>
        <v>#REF!</v>
      </c>
      <c r="U75" s="198" t="e">
        <f>(SQRT(((-#REF!*SIN($F$18*PI()/180)*$F$21+#REF!*SIN($I$18*PI()/180)*$I$21)*$C$25*1000)^2+(0.001*$C$25*1000*$F$21)^2)/$C$30+(-#REF!*COS($F$18*PI()/180)*$F$21-#REF!*COS($I$18*PI()/180)*$I$21)*$C$25*1000)/9.81*$O$99/$U$47*$F$193*#REF!-$T$47/$U$47*$C$20*$F$21</f>
        <v>#REF!</v>
      </c>
      <c r="V75" s="161" t="e">
        <f>(-#REF!*COS($F$18*PI()/180)*$F$21-#REF!*COS($I$18*PI()/180)*$I$21)*$N$99*$C$25*1000/9.81/$W$47*$D$193*#REF!-$V$47/$W$47*$C$20*$F$21</f>
        <v>#REF!</v>
      </c>
      <c r="W75" s="198" t="e">
        <f>(SQRT(((-#REF!*SIN($F$18*PI()/180)*$F$21+#REF!*SIN($I$18*PI()/180)*$I$21)*$C$25*1000)^2+(0.001*$C$25*1000*$F$21)^2)/$C$30+(-#REF!*COS($F$18*PI()/180)*$F$21-#REF!*COS($I$18*PI()/180)*$I$21)*$C$25*1000)/9.81*$O$99/$W$47*$F$193*#REF!-$V$47/$W$47*$C$20*$F$21</f>
        <v>#REF!</v>
      </c>
      <c r="X75" s="161" t="e">
        <f>(-#REF!*COS($F$18*PI()/180)*$F$21-#REF!*COS($I$18*PI()/180)*$I$21)*$N$99*$C$25*1000/9.81/$Y$47*$D$193*#REF!-$X$47/$Y$47*$C$20*$F$21</f>
        <v>#REF!</v>
      </c>
      <c r="Y75" s="198" t="e">
        <f>(SQRT(((-#REF!*SIN($F$18*PI()/180)*$F$21+#REF!*SIN($I$18*PI()/180)*$I$21)*$C$25*1000)^2+(0.001*$C$25*1000*$F$21)^2)/$C$30+(-#REF!*COS($F$18*PI()/180)*$F$21-#REF!*COS($I$18*PI()/180)*$I$21)*$C$25*1000)/9.81*$O$99/$Y$47*$F$193*#REF!-$Y$47/$Y$47*$C$20*$F$21</f>
        <v>#REF!</v>
      </c>
      <c r="Z75" s="161">
        <f ca="1">(-'int. presets cp_10d+wd'!K32*COS($F$18*PI()/180)*$F$21-'int. presets cp_10d+wd'!K41*COS($I$18*PI()/180)*$I$21)*$N$99*$C$25*1000/9.81/$AA$47*$D$193*'int. presets cp_10d+wd'!$K$246-$Z$47/$AA$47*$C$20*$F$21</f>
        <v>-3.8086132802946508</v>
      </c>
      <c r="AA75" s="1026">
        <f ca="1">(SQRT(((-'int. presets cp_10d+wd'!F32*SIN($F$18*PI()/180)*$F$21+'int. presets cp_10d+wd'!F41*SIN($I$18*PI()/180)*$I$21)*$C$25*1000)^2+(0.001*$C$25*1000*$F$21)^2)/$C$30+(-'int. presets cp_10d+wd'!F32*COS($F$18*PI()/180)*$F$21-'int. presets cp_10d+wd'!F41*COS($I$18*PI()/180)*$I$21)*$C$25*1000)/9.81*$O$99/$AA$47*$F$193*'int. presets cp_10d+wd'!$F$246-$Z$47/$AA$47*$C$20*$F$21</f>
        <v>10.51966914151923</v>
      </c>
      <c r="AB75" s="18"/>
      <c r="AE75" s="1252" t="s">
        <v>0</v>
      </c>
      <c r="AF75" s="1253"/>
      <c r="AG75" s="1253"/>
      <c r="AH75" s="1253"/>
      <c r="AI75" s="1253"/>
      <c r="AJ75" s="1253"/>
      <c r="AK75" s="1253"/>
      <c r="AL75" s="1253"/>
      <c r="AM75" s="1253"/>
      <c r="AN75" s="1253"/>
      <c r="AO75" s="1253"/>
      <c r="AP75" s="1253"/>
      <c r="AQ75" s="1253"/>
      <c r="AR75" s="1253"/>
      <c r="AS75" s="1253"/>
      <c r="AT75" s="1253"/>
      <c r="AU75" s="1254"/>
      <c r="AV75" s="1252" t="s">
        <v>0</v>
      </c>
      <c r="AW75" s="1253"/>
      <c r="AX75" s="1253"/>
      <c r="AY75" s="1253"/>
      <c r="AZ75" s="1253"/>
      <c r="BA75" s="1253"/>
      <c r="BB75" s="1253"/>
      <c r="BC75" s="1253"/>
      <c r="BD75" s="1253"/>
      <c r="BE75" s="1254"/>
      <c r="BF75" s="1261" t="s">
        <v>0</v>
      </c>
      <c r="BG75" s="1262"/>
      <c r="BH75" s="1262"/>
      <c r="BI75" s="1262"/>
      <c r="BJ75" s="1262"/>
      <c r="BK75" s="1262"/>
      <c r="BL75" s="1262"/>
      <c r="BM75" s="1262"/>
      <c r="BN75" s="1262"/>
      <c r="BO75" s="1263"/>
      <c r="BP75" s="1270" t="s">
        <v>0</v>
      </c>
      <c r="BQ75" s="1271"/>
      <c r="BR75" s="1271"/>
      <c r="BS75" s="1271"/>
      <c r="BT75" s="1271"/>
      <c r="BU75" s="1271"/>
      <c r="BV75" s="1271"/>
      <c r="BW75" s="1271"/>
      <c r="BX75" s="1271"/>
      <c r="BY75" s="1271"/>
      <c r="BZ75" s="1271"/>
      <c r="CA75" s="1272"/>
      <c r="CG75" s="1270" t="s">
        <v>0</v>
      </c>
      <c r="CH75" s="1271"/>
      <c r="CI75" s="1271"/>
      <c r="CJ75" s="1271"/>
      <c r="CK75" s="1271"/>
      <c r="CL75" s="1271"/>
      <c r="CM75" s="1271"/>
      <c r="CN75" s="1271"/>
      <c r="CO75" s="1271"/>
      <c r="CP75" s="1271"/>
      <c r="CQ75" s="1271"/>
      <c r="CR75" s="1272"/>
      <c r="CS75" s="1261" t="s">
        <v>0</v>
      </c>
      <c r="CT75" s="1262"/>
      <c r="CU75" s="1262"/>
      <c r="CV75" s="1262"/>
      <c r="CW75" s="1262"/>
      <c r="CX75" s="1262"/>
      <c r="CY75" s="1262"/>
      <c r="CZ75" s="1262"/>
      <c r="DA75" s="1262"/>
      <c r="DB75" s="1263"/>
      <c r="DC75" s="1252" t="s">
        <v>0</v>
      </c>
      <c r="DD75" s="1253"/>
      <c r="DE75" s="1253"/>
      <c r="DF75" s="1253"/>
      <c r="DG75" s="1253"/>
      <c r="DH75" s="1253"/>
      <c r="DI75" s="1253"/>
      <c r="DJ75" s="1253"/>
      <c r="DK75" s="1253"/>
      <c r="DL75" s="1254"/>
      <c r="DM75" s="1252" t="s">
        <v>0</v>
      </c>
      <c r="DN75" s="1253"/>
      <c r="DO75" s="1253"/>
      <c r="DP75" s="1253"/>
      <c r="DQ75" s="1253"/>
      <c r="DR75" s="1253"/>
      <c r="DS75" s="1253"/>
      <c r="DT75" s="1253"/>
      <c r="DU75" s="1253"/>
      <c r="DV75" s="1253"/>
      <c r="DW75" s="1253"/>
      <c r="DX75" s="1253"/>
      <c r="DY75" s="1253"/>
      <c r="DZ75" s="1253"/>
      <c r="EA75" s="1253"/>
      <c r="EB75" s="1253"/>
      <c r="EC75" s="1254"/>
    </row>
    <row r="76" spans="2:136" s="75" customFormat="1" ht="13.5" customHeight="1" thickBot="1" x14ac:dyDescent="0.25">
      <c r="B76" s="1583" t="e">
        <v>#REF!</v>
      </c>
      <c r="C76" s="1584">
        <v>0</v>
      </c>
      <c r="D76" s="1585">
        <v>0</v>
      </c>
      <c r="E76" s="992" t="s">
        <v>462</v>
      </c>
      <c r="F76" s="1055" t="e">
        <f t="shared" si="67"/>
        <v>#REF!</v>
      </c>
      <c r="G76" s="1055" t="e">
        <f t="shared" si="24"/>
        <v>#REF!</v>
      </c>
      <c r="H76" s="1055" t="e">
        <f t="shared" si="25"/>
        <v>#REF!</v>
      </c>
      <c r="I76" s="1056" t="e">
        <f t="shared" si="26"/>
        <v>#REF!</v>
      </c>
      <c r="J76" s="1055" t="e">
        <f t="shared" si="27"/>
        <v>#REF!</v>
      </c>
      <c r="K76" s="1063" t="e">
        <f t="shared" si="28"/>
        <v>#REF!</v>
      </c>
      <c r="L76" s="1013">
        <f t="shared" ca="1" si="29"/>
        <v>10.51966914151923</v>
      </c>
      <c r="M76" s="990">
        <f t="shared" ca="1" si="30"/>
        <v>23.191872982776125</v>
      </c>
      <c r="N76" s="1029" t="e">
        <f>(-#REF!*COS($F$18*PI()/180)*$F$21-#REF!*COS($I$18*PI()/180)*$I$21)*$N$99*$C$25*1000/9.81/$O$47*$D$193*#REF!-$N$47/$O$47*$C$20*$F$21</f>
        <v>#REF!</v>
      </c>
      <c r="O76" s="991" t="e">
        <f>(SQRT(((-#REF!*SIN($F$18*PI()/180)*$F$21+#REF!*SIN($I$18*PI()/180)*$I$21)*$C$25*1000)^2+(0.001*$C$25*1000*$F$21)^2)/$C$30+(-#REF!*COS($F$18*PI()/180)*$F$21-#REF!*COS($I$18*PI()/180)*$I$21)*$C$25*1000)/9.81*$O$99/$O$47*$F$193*#REF!-$N$47/$O$47*$C$20*$F$21</f>
        <v>#REF!</v>
      </c>
      <c r="P76" s="161" t="e">
        <f>(-#REF!*COS($F$18*PI()/180)*$F$21-#REF!*COS($I$18*PI()/180)*$I$21)*$N$99*$C$25*1000/9.81/$Q$47*$D$193*#REF!-$P$47/$Q$47*$C$20*$F$21</f>
        <v>#REF!</v>
      </c>
      <c r="Q76" s="162" t="e">
        <f>(SQRT(((-#REF!*SIN($F$18*PI()/180)*$F$21+#REF!*SIN($I$18*PI()/180)*$I$21)*$C$25*1000)^2+(0.001*$C$25*1000*$F$21)^2)/$C$30+(-#REF!*COS($F$18*PI()/180)*$F$21-#REF!*COS($I$18*PI()/180)*$I$21)*$C$25*1000)/9.81*$O$99/$Q$47*$F$193*#REF!-$P$47/$Q$47*$C$20*$F$21</f>
        <v>#REF!</v>
      </c>
      <c r="R76" s="161" t="e">
        <f>(-#REF!*COS($F$18*PI()/180)*$F$21-#REF!*COS($I$18*PI()/180)*$I$21)*$N$99*$C$25*1000/9.81/$S$47*$D$193*#REF!-$R$47/$S$47*$C$20*$F$21</f>
        <v>#REF!</v>
      </c>
      <c r="S76" s="162" t="e">
        <f>(SQRT(((-#REF!*SIN($F$18*PI()/180)*$F$21+#REF!*SIN($I$18*PI()/180)*$I$21)*$C$25*1000)^2+(0.001*$C$25*1000*$F$21)^2)/$C$30+(-#REF!*COS($F$18*PI()/180)*$F$21-#REF!*COS($I$18*PI()/180)*$I$21)*$C$25*1000)/9.81*$O$99/$S$47*$F$193*#REF!-$R$47/$S$47*$C$20*$F$21</f>
        <v>#REF!</v>
      </c>
      <c r="T76" s="161" t="e">
        <f>(-#REF!*COS($F$18*PI()/180)*$F$21-#REF!*COS($I$18*PI()/180)*$I$21)*$N$99*$C$25*1000/9.81/$U$47*$D$193*#REF!-$T$47/$U$47*$C$20*$F$21</f>
        <v>#REF!</v>
      </c>
      <c r="U76" s="162" t="e">
        <f>(SQRT(((-#REF!*SIN($F$18*PI()/180)*$F$21+#REF!*SIN($I$18*PI()/180)*$I$21)*$C$25*1000)^2+(0.001*$C$25*1000*$F$21)^2)/$C$30+(-#REF!*COS($F$18*PI()/180)*$F$21-#REF!*COS($I$18*PI()/180)*$I$21)*$C$25*1000)/9.81*$O$99/$U$47*$F$193*#REF!-$T$47/$U$47*$C$20*$F$21</f>
        <v>#REF!</v>
      </c>
      <c r="V76" s="161" t="e">
        <f>(-#REF!*COS($F$18*PI()/180)*$F$21-#REF!*COS($I$18*PI()/180)*$I$21)*$N$99*$C$25*1000/9.81/$W$47*$D$193*#REF!-$V$47/$W$47*$C$20*$F$21</f>
        <v>#REF!</v>
      </c>
      <c r="W76" s="162" t="e">
        <f>(SQRT(((-#REF!*SIN($F$18*PI()/180)*$F$21+#REF!*SIN($I$18*PI()/180)*$I$21)*$C$25*1000)^2+(0.001*$C$25*1000*$F$21)^2)/$C$30+(-#REF!*COS($F$18*PI()/180)*$F$21-#REF!*COS($I$18*PI()/180)*$I$21)*$C$25*1000)/9.81*$O$99/$W$47*$F$193*#REF!-$V$47/$W$47*$C$20*$F$21</f>
        <v>#REF!</v>
      </c>
      <c r="X76" s="161" t="e">
        <f>(-#REF!*COS($F$18*PI()/180)*$F$21-#REF!*COS($I$18*PI()/180)*$I$21)*$N$99*$C$25*1000/9.81/$Y$47*$D$193*#REF!-$X$47/$Y$47*$C$20*$F$21</f>
        <v>#REF!</v>
      </c>
      <c r="Y76" s="162" t="e">
        <f>(SQRT(((-#REF!*SIN($F$18*PI()/180)*$F$21+#REF!*SIN($I$18*PI()/180)*$I$21)*$C$25*1000)^2+(0.001*$C$25*1000*$F$21)^2)/$C$30+(-#REF!*COS($F$18*PI()/180)*$F$21-#REF!*COS($I$18*PI()/180)*$I$21)*$C$25*1000)/9.81*$O$99/$Y$47*$F$193*#REF!-$Y$47/$Y$47*$C$20*$F$21</f>
        <v>#REF!</v>
      </c>
      <c r="Z76" s="161">
        <f ca="1">(-'int. presets cp_10d+wd'!K33*COS($F$18*PI()/180)*$F$21-'int. presets cp_10d+wd'!K42*COS($I$18*PI()/180)*$I$21)*$N$99*$C$25*1000/9.81/$AA$47*$D$193*'int. presets cp_10d+wd'!$K$246-$Z$47/$AA$47*$C$20*$F$21</f>
        <v>-5.6027026370271535</v>
      </c>
      <c r="AA76" s="1030">
        <f ca="1">(SQRT(((-'int. presets cp_10d+wd'!F33*SIN($F$18*PI()/180)*$F$21+'int. presets cp_10d+wd'!F42*SIN($I$18*PI()/180)*$I$21)*$C$25*1000)^2+(0.001*$C$25*1000*$F$21)^2)/$C$30+(-'int. presets cp_10d+wd'!F33*COS($F$18*PI()/180)*$F$21-'int. presets cp_10d+wd'!F42*COS($I$18*PI()/180)*$I$21)*$C$25*1000)/9.81*$O$99/$AA$47*$F$193*'int. presets cp_10d+wd'!$F$246-$Z$47/$AA$47*$C$20*$F$21</f>
        <v>10.51966914151923</v>
      </c>
      <c r="AB76" s="18"/>
      <c r="AC76" s="163"/>
      <c r="AE76" s="1249" t="s">
        <v>47</v>
      </c>
      <c r="AF76" s="1250"/>
      <c r="AG76" s="1250"/>
      <c r="AH76" s="1250"/>
      <c r="AI76" s="1250"/>
      <c r="AJ76" s="1250"/>
      <c r="AK76" s="1250"/>
      <c r="AL76" s="1250"/>
      <c r="AM76" s="1250"/>
      <c r="AN76" s="1250"/>
      <c r="AO76" s="1250"/>
      <c r="AP76" s="1250"/>
      <c r="AQ76" s="1250"/>
      <c r="AR76" s="1250"/>
      <c r="AS76" s="1250"/>
      <c r="AT76" s="1250"/>
      <c r="AU76" s="1251"/>
      <c r="AV76" s="1249" t="s">
        <v>75</v>
      </c>
      <c r="AW76" s="1250"/>
      <c r="AX76" s="1250"/>
      <c r="AY76" s="1250"/>
      <c r="AZ76" s="1250"/>
      <c r="BA76" s="1250"/>
      <c r="BB76" s="1250"/>
      <c r="BC76" s="1250"/>
      <c r="BD76" s="1250"/>
      <c r="BE76" s="1251"/>
      <c r="BF76" s="1264" t="s">
        <v>77</v>
      </c>
      <c r="BG76" s="1265"/>
      <c r="BH76" s="1265"/>
      <c r="BI76" s="1265"/>
      <c r="BJ76" s="1265"/>
      <c r="BK76" s="1265"/>
      <c r="BL76" s="1265"/>
      <c r="BM76" s="1265"/>
      <c r="BN76" s="1265"/>
      <c r="BO76" s="1266"/>
      <c r="BP76" s="1273" t="s">
        <v>79</v>
      </c>
      <c r="BQ76" s="1274"/>
      <c r="BR76" s="1274"/>
      <c r="BS76" s="1274"/>
      <c r="BT76" s="1274"/>
      <c r="BU76" s="1274"/>
      <c r="BV76" s="1274"/>
      <c r="BW76" s="1274"/>
      <c r="BX76" s="1274"/>
      <c r="BY76" s="1274"/>
      <c r="BZ76" s="1274"/>
      <c r="CA76" s="1275"/>
      <c r="CG76" s="1273" t="s">
        <v>79</v>
      </c>
      <c r="CH76" s="1274"/>
      <c r="CI76" s="1274"/>
      <c r="CJ76" s="1274"/>
      <c r="CK76" s="1274"/>
      <c r="CL76" s="1274"/>
      <c r="CM76" s="1274"/>
      <c r="CN76" s="1274"/>
      <c r="CO76" s="1274"/>
      <c r="CP76" s="1274"/>
      <c r="CQ76" s="1274"/>
      <c r="CR76" s="1275"/>
      <c r="CS76" s="1264" t="s">
        <v>77</v>
      </c>
      <c r="CT76" s="1265"/>
      <c r="CU76" s="1265"/>
      <c r="CV76" s="1265"/>
      <c r="CW76" s="1265"/>
      <c r="CX76" s="1265"/>
      <c r="CY76" s="1265"/>
      <c r="CZ76" s="1265"/>
      <c r="DA76" s="1265"/>
      <c r="DB76" s="1266"/>
      <c r="DC76" s="1249" t="s">
        <v>75</v>
      </c>
      <c r="DD76" s="1250"/>
      <c r="DE76" s="1250"/>
      <c r="DF76" s="1250"/>
      <c r="DG76" s="1250"/>
      <c r="DH76" s="1250"/>
      <c r="DI76" s="1250"/>
      <c r="DJ76" s="1250"/>
      <c r="DK76" s="1250"/>
      <c r="DL76" s="1251"/>
      <c r="DM76" s="1249" t="s">
        <v>47</v>
      </c>
      <c r="DN76" s="1250"/>
      <c r="DO76" s="1250"/>
      <c r="DP76" s="1250"/>
      <c r="DQ76" s="1250"/>
      <c r="DR76" s="1250"/>
      <c r="DS76" s="1250"/>
      <c r="DT76" s="1250"/>
      <c r="DU76" s="1250"/>
      <c r="DV76" s="1250"/>
      <c r="DW76" s="1250"/>
      <c r="DX76" s="1250"/>
      <c r="DY76" s="1250"/>
      <c r="DZ76" s="1250"/>
      <c r="EA76" s="1250"/>
      <c r="EB76" s="1250"/>
      <c r="EC76" s="1251"/>
    </row>
    <row r="77" spans="2:136" s="75" customFormat="1" ht="13.5" customHeight="1" thickTop="1" thickBot="1" x14ac:dyDescent="0.25">
      <c r="B77" s="1658" t="s">
        <v>342</v>
      </c>
      <c r="C77" s="1659"/>
      <c r="D77" s="1659"/>
      <c r="E77" s="1659"/>
      <c r="F77" s="1659"/>
      <c r="G77" s="1659"/>
      <c r="H77" s="1659"/>
      <c r="I77" s="1659"/>
      <c r="J77" s="1659"/>
      <c r="K77" s="1659"/>
      <c r="L77" s="1660"/>
      <c r="M77" s="1048"/>
      <c r="N77" s="1006"/>
      <c r="O77" s="1007"/>
      <c r="P77" s="1007"/>
      <c r="Q77" s="1007"/>
      <c r="R77" s="1007"/>
      <c r="S77" s="1007"/>
      <c r="T77" s="1007"/>
      <c r="U77" s="1007"/>
      <c r="V77" s="1007"/>
      <c r="W77" s="1007"/>
      <c r="X77" s="1007"/>
      <c r="Y77" s="1007"/>
      <c r="Z77" s="1007"/>
      <c r="AA77" s="1010"/>
      <c r="AB77" s="18"/>
      <c r="AC77" s="163"/>
    </row>
    <row r="78" spans="2:136" s="75" customFormat="1" ht="13.5" customHeight="1" x14ac:dyDescent="0.2">
      <c r="B78" s="1580" t="s">
        <v>460</v>
      </c>
      <c r="C78" s="1581">
        <v>0</v>
      </c>
      <c r="D78" s="1582">
        <v>0</v>
      </c>
      <c r="E78" s="545" t="s">
        <v>461</v>
      </c>
      <c r="F78" s="1053" t="e">
        <f t="shared" ref="F78:F85" si="68">MAX(N78,O78)</f>
        <v>#REF!</v>
      </c>
      <c r="G78" s="1053" t="e">
        <f t="shared" si="24"/>
        <v>#REF!</v>
      </c>
      <c r="H78" s="1053" t="e">
        <f t="shared" si="25"/>
        <v>#REF!</v>
      </c>
      <c r="I78" s="1061" t="e">
        <f t="shared" si="26"/>
        <v>#REF!</v>
      </c>
      <c r="J78" s="1053" t="e">
        <f t="shared" si="27"/>
        <v>#REF!</v>
      </c>
      <c r="K78" s="1062" t="e">
        <f t="shared" si="28"/>
        <v>#REF!</v>
      </c>
      <c r="L78" s="1011">
        <f t="shared" ca="1" si="29"/>
        <v>7.7280772369809014</v>
      </c>
      <c r="M78" s="940">
        <f t="shared" ca="1" si="30"/>
        <v>17.037473638192832</v>
      </c>
      <c r="N78" s="1035" t="e">
        <f>(-#REF!*COS($F$18*PI()/180)*$F$21-#REF!*COS($I$18*PI()/180)*$I$21)*$N$99*$C$25*1000/9.81/$O$47*$D$193*#REF!-$N$47/$O$47*$C$20*$F$21</f>
        <v>#REF!</v>
      </c>
      <c r="O78" s="75" t="e">
        <f>(SQRT(((-#REF!*SIN($F$18*PI()/180)*$F$21+#REF!*SIN($I$18*PI()/180)*$I$21)*$C$25*1000)^2+(0.001*$C$25*1000*$F$21)^2)/$C$30+(-#REF!*COS($F$18*PI()/180)*$F$21-#REF!*COS($I$18*PI()/180)*$I$21)*$C$25*1000)/9.81*$O$99/$O$47*$F$193*#REF!-$N$47/$O$47*$C$20*$F$21</f>
        <v>#REF!</v>
      </c>
      <c r="P78" s="181" t="e">
        <f>(-#REF!*COS($F$18*PI()/180)*$F$21-#REF!*COS($I$18*PI()/180)*$I$21)*$N$99*$C$25*1000/9.81/$Q$47*$D$193*#REF!-$P$47/$Q$47*$C$20*$F$21</f>
        <v>#REF!</v>
      </c>
      <c r="Q78" s="198" t="e">
        <f>(SQRT(((-#REF!*SIN($F$18*PI()/180)*$F$21+#REF!*SIN($I$18*PI()/180)*$I$21)*$C$25*1000)^2+(0.001*$C$25*1000*$F$21)^2)/$C$30+(-#REF!*COS($F$18*PI()/180)*$F$21-#REF!*COS($I$18*PI()/180)*$I$21)*$C$25*1000)/9.81*$O$99/$Q$47*$F$193*#REF!-$P$47/$Q$47*$C$20*$F$21</f>
        <v>#REF!</v>
      </c>
      <c r="R78" s="181" t="e">
        <f>(-#REF!*COS($F$18*PI()/180)*$F$21-#REF!*COS($I$18*PI()/180)*$I$21)*$N$99*$C$25*1000/9.81/$S$47*$D$193*#REF!-$R$47/$S$47*$C$20*$F$21</f>
        <v>#REF!</v>
      </c>
      <c r="S78" s="198" t="e">
        <f>(SQRT(((-#REF!*SIN($F$18*PI()/180)*$F$21+#REF!*SIN($I$18*PI()/180)*$I$21)*$C$25*1000)^2+(0.001*$C$25*1000*$F$21)^2)/$C$30+(-#REF!*COS($F$18*PI()/180)*$F$21-#REF!*COS($I$18*PI()/180)*$I$21)*$C$25*1000)/9.81*$O$99/$S$47*$F$193*#REF!-$R$47/$S$47*$C$20*$F$21</f>
        <v>#REF!</v>
      </c>
      <c r="T78" s="181" t="e">
        <f>(-#REF!*COS($F$18*PI()/180)*$F$21-#REF!*COS($I$18*PI()/180)*$I$21)*$N$99*$C$25*1000/9.81/$U$47*$D$193*#REF!-$T$47/$U$47*$C$20*$F$21</f>
        <v>#REF!</v>
      </c>
      <c r="U78" s="198" t="e">
        <f>(SQRT(((-#REF!*SIN($F$18*PI()/180)*$F$21+#REF!*SIN($I$18*PI()/180)*$I$21)*$C$25*1000)^2+(0.001*$C$25*1000*$F$21)^2)/$C$30+(-#REF!*COS($F$18*PI()/180)*$F$21-#REF!*COS($I$18*PI()/180)*$I$21)*$C$25*1000)/9.81*$O$99/$U$47*$F$193*#REF!-$T$47/$U$47*$C$20*$F$21</f>
        <v>#REF!</v>
      </c>
      <c r="V78" s="181" t="e">
        <f>(-#REF!*COS($F$18*PI()/180)*$F$21-#REF!*COS($I$18*PI()/180)*$I$21)*$N$99*$C$25*1000/9.81/$W$47*$D$193*#REF!-$V$47/$W$47*$C$20*$F$21</f>
        <v>#REF!</v>
      </c>
      <c r="W78" s="198" t="e">
        <f>(SQRT(((-#REF!*SIN($F$18*PI()/180)*$F$21+#REF!*SIN($I$18*PI()/180)*$I$21)*$C$25*1000)^2+(0.001*$C$25*1000*$F$21)^2)/$C$30+(-#REF!*COS($F$18*PI()/180)*$F$21-#REF!*COS($I$18*PI()/180)*$I$21)*$C$25*1000)/9.81*$O$99/$W$47*$F$193*#REF!-$V$47/$W$47*$C$20*$F$21</f>
        <v>#REF!</v>
      </c>
      <c r="X78" s="181" t="e">
        <f>(-#REF!*COS($F$18*PI()/180)*$F$21-#REF!*COS($I$18*PI()/180)*$I$21)*$N$99*$C$25*1000/9.81/$Y$47*$D$193*#REF!-$X$47/$Y$47*$C$20*$F$21</f>
        <v>#REF!</v>
      </c>
      <c r="Y78" s="198" t="e">
        <f>(SQRT(((-#REF!*SIN($F$18*PI()/180)*$F$21+#REF!*SIN($I$18*PI()/180)*$I$21)*$C$25*1000)^2+(0.001*$C$25*1000*$F$21)^2)/$C$30+(-#REF!*COS($F$18*PI()/180)*$F$21-#REF!*COS($I$18*PI()/180)*$I$21)*$C$25*1000)/9.81*$O$99/$Y$47*$F$193*#REF!-$X$47/$Y$47*$C$20*$F$21</f>
        <v>#REF!</v>
      </c>
      <c r="Z78" s="181">
        <f ca="1">(-'int. presets cp_10d+wd'!L26*COS($F$18*PI()/180)*$F$21-'int. presets cp_10d+wd'!L35*COS($I$18*PI()/180)*$I$21)*$N$99*$C$25*1000/9.81/$AA$47*$D$193*'int. presets cp_10d+wd'!$L$246-$Z$47/$AA$47*$C$20*$F$21</f>
        <v>-2.3585192146085987</v>
      </c>
      <c r="AA78" s="1026">
        <f ca="1">(SQRT(((-'int. presets cp_10d+wd'!G26*SIN($F$18*PI()/180)*$F$21+'int. presets cp_10d+wd'!G35*SIN($I$18*PI()/180)*$I$21)*$C$25*1000)^2+(0.001*$C$25*1000*$F$21)^2)/$C$30+(-'int. presets cp_10d+wd'!G26*COS($F$18*PI()/180)*$F$21-'int. presets cp_10d+wd'!G35*COS($I$18*PI()/180)*$I$21)*$C$25*1000)/9.81*$O$99/$AA$47*$F$193*'int. presets cp_10d+wd'!$G$246-$Z$47/$AA$47*$C$20*$F$21</f>
        <v>7.7280772369809014</v>
      </c>
      <c r="AB78" s="18"/>
    </row>
    <row r="79" spans="2:136" s="75" customFormat="1" ht="13.5" customHeight="1" thickBot="1" x14ac:dyDescent="0.25">
      <c r="B79" s="1586">
        <v>0</v>
      </c>
      <c r="C79" s="1587">
        <v>0</v>
      </c>
      <c r="D79" s="1588">
        <v>0</v>
      </c>
      <c r="E79" s="547" t="s">
        <v>462</v>
      </c>
      <c r="F79" s="1055" t="e">
        <f t="shared" si="68"/>
        <v>#REF!</v>
      </c>
      <c r="G79" s="1055" t="e">
        <f t="shared" si="24"/>
        <v>#REF!</v>
      </c>
      <c r="H79" s="1055" t="e">
        <f t="shared" si="25"/>
        <v>#REF!</v>
      </c>
      <c r="I79" s="1056" t="e">
        <f t="shared" si="26"/>
        <v>#REF!</v>
      </c>
      <c r="J79" s="1055" t="e">
        <f t="shared" si="27"/>
        <v>#REF!</v>
      </c>
      <c r="K79" s="1063" t="e">
        <f t="shared" si="28"/>
        <v>#REF!</v>
      </c>
      <c r="L79" s="1012">
        <f t="shared" ca="1" si="29"/>
        <v>7.7280772369809014</v>
      </c>
      <c r="M79" s="941">
        <f t="shared" ca="1" si="30"/>
        <v>17.037473638192832</v>
      </c>
      <c r="N79" s="1027" t="e">
        <f>(-#REF!*COS($F$18*PI()/180)*$F$21-#REF!*COS($I$18*PI()/180)*$I$21)*$N$99*$C$25*1000/9.81/$O$47*$D$193*#REF!-$N$47/$O$47*$C$20*$F$21</f>
        <v>#REF!</v>
      </c>
      <c r="O79" s="936" t="e">
        <f>(SQRT(((-#REF!*SIN($F$18*PI()/180)*$F$21+#REF!*SIN($I$18*PI()/180)*$I$21)*$C$25*1000)^2+(0.001*$C$25*1000*$F$21)^2)/$C$30+(-#REF!*COS($F$18*PI()/180)*$F$21-#REF!*COS($I$18*PI()/180)*$I$21)*$C$25*1000)/9.81*$O$99/$O$47*$F$193*#REF!-$N$47/$O$47*$C$20*$F$21</f>
        <v>#REF!</v>
      </c>
      <c r="P79" s="199" t="e">
        <f>(-#REF!*COS($F$18*PI()/180)*$F$21-#REF!*COS($I$18*PI()/180)*$I$21)*$N$99*$C$25*1000/9.81/$Q$47*$D$193*#REF!-$P$47/$Q$47*$C$20*$F$21</f>
        <v>#REF!</v>
      </c>
      <c r="Q79" s="164" t="e">
        <f>(SQRT(((-#REF!*SIN($F$18*PI()/180)*$F$21+#REF!*SIN($I$18*PI()/180)*$I$21)*$C$25*1000)^2+(0.001*$C$25*1000*$F$21)^2)/$C$30+(-#REF!*COS($F$18*PI()/180)*$F$21-#REF!*COS($I$18*PI()/180)*$I$21)*$C$25*1000)/9.81*$O$99/$Q$47*$F$193*#REF!-$P$47/$Q$47*$C$20*$F$21</f>
        <v>#REF!</v>
      </c>
      <c r="R79" s="199" t="e">
        <f>(-#REF!*COS($F$18*PI()/180)*$F$21-#REF!*COS($I$18*PI()/180)*$I$21)*$N$99*$C$25*1000/9.81/$S$47*$D$193*#REF!-$R$47/$S$47*$C$20*$F$21</f>
        <v>#REF!</v>
      </c>
      <c r="S79" s="164" t="e">
        <f>(SQRT(((-#REF!*SIN($F$18*PI()/180)*$F$21+#REF!*SIN($I$18*PI()/180)*$I$21)*$C$25*1000)^2+(0.001*$C$25*1000*$F$21)^2)/$C$30+(-#REF!*COS($F$18*PI()/180)*$F$21-#REF!*COS($I$18*PI()/180)*$I$21)*$C$25*1000)/9.81*$O$99/$S$47*$F$193*#REF!-$R$47/$S$47*$C$20*$F$21</f>
        <v>#REF!</v>
      </c>
      <c r="T79" s="199" t="e">
        <f>(-#REF!*COS($F$18*PI()/180)*$F$21-#REF!*COS($I$18*PI()/180)*$I$21)*$N$99*$C$25*1000/9.81/$U$47*$D$193*#REF!-$T$47/$U$47*$C$20*$F$21</f>
        <v>#REF!</v>
      </c>
      <c r="U79" s="164" t="e">
        <f>(SQRT(((-#REF!*SIN($F$18*PI()/180)*$F$21+#REF!*SIN($I$18*PI()/180)*$I$21)*$C$25*1000)^2+(0.001*$C$25*1000*$F$21)^2)/$C$30+(-#REF!*COS($F$18*PI()/180)*$F$21-#REF!*COS($I$18*PI()/180)*$I$21)*$C$25*1000)/9.81*$O$99/$U$47*$F$193*#REF!-$T$47/$U$47*$C$20*$F$21</f>
        <v>#REF!</v>
      </c>
      <c r="V79" s="199" t="e">
        <f>(-#REF!*COS($F$18*PI()/180)*$F$21-#REF!*COS($I$18*PI()/180)*$I$21)*$N$99*$C$25*1000/9.81/$W$47*$D$193*#REF!-$V$47/$W$47*$C$20*$F$21</f>
        <v>#REF!</v>
      </c>
      <c r="W79" s="164" t="e">
        <f>(SQRT(((-#REF!*SIN($F$18*PI()/180)*$F$21+#REF!*SIN($I$18*PI()/180)*$I$21)*$C$25*1000)^2+(0.001*$C$25*1000*$F$21)^2)/$C$30+(-#REF!*COS($F$18*PI()/180)*$F$21-#REF!*COS($I$18*PI()/180)*$I$21)*$C$25*1000)/9.81*$O$99/$W$47*$F$193*#REF!-$V$47/$W$47*$C$20*$F$21</f>
        <v>#REF!</v>
      </c>
      <c r="X79" s="199" t="e">
        <f>(-#REF!*COS($F$18*PI()/180)*$F$21-#REF!*COS($I$18*PI()/180)*$I$21)*$N$99*$C$25*1000/9.81/$Y$47*$D$193*#REF!-$X$47/$Y$47*$C$20*$F$21</f>
        <v>#REF!</v>
      </c>
      <c r="Y79" s="164" t="e">
        <f>(SQRT(((-#REF!*SIN($F$18*PI()/180)*$F$21+#REF!*SIN($I$18*PI()/180)*$I$21)*$C$25*1000)^2+(0.001*$C$25*1000*$F$21)^2)/$C$30+(-#REF!*COS($F$18*PI()/180)*$F$21-#REF!*COS($I$18*PI()/180)*$I$21)*$C$25*1000)/9.81*$O$99/$Y$47*$F$193*#REF!-$X$47/$Y$47*$C$20*$F$21</f>
        <v>#REF!</v>
      </c>
      <c r="Z79" s="199">
        <f ca="1">(-'int. presets cp_10d+wd'!L27*COS($F$18*PI()/180)*$F$21-'int. presets cp_10d+wd'!L36*COS($I$18*PI()/180)*$I$21)*$N$99*$C$25*1000/9.81/$AA$47*$D$193*'int. presets cp_10d+wd'!$L$246-$Z$47/$AA$47*$C$20*$F$21</f>
        <v>-1.8905431726862751</v>
      </c>
      <c r="AA79" s="1028">
        <f ca="1">(SQRT(((-'int. presets cp_10d+wd'!G27*SIN($F$18*PI()/180)*$F$21+'int. presets cp_10d+wd'!G36*SIN($I$18*PI()/180)*$I$21)*$C$25*1000)^2+(0.001*$C$25*1000*$F$21)^2)/$C$30+(-'int. presets cp_10d+wd'!G27*COS($F$18*PI()/180)*$F$21-'int. presets cp_10d+wd'!G36*COS($I$18*PI()/180)*$I$21)*$C$25*1000)/9.81*$O$99/$AA$47*$F$193*'int. presets cp_10d+wd'!$G$246-$Z$47/$AA$47*$C$20*$F$21</f>
        <v>7.7280772369809014</v>
      </c>
      <c r="AB79" s="18"/>
      <c r="AC79" s="163"/>
    </row>
    <row r="80" spans="2:136" s="75" customFormat="1" ht="13.5" customHeight="1" x14ac:dyDescent="0.2">
      <c r="B80" s="1580" t="s">
        <v>463</v>
      </c>
      <c r="C80" s="1581">
        <v>0</v>
      </c>
      <c r="D80" s="1582" t="s">
        <v>463</v>
      </c>
      <c r="E80" s="546" t="s">
        <v>461</v>
      </c>
      <c r="F80" s="1057" t="e">
        <f t="shared" si="68"/>
        <v>#REF!</v>
      </c>
      <c r="G80" s="1057" t="e">
        <f t="shared" si="24"/>
        <v>#REF!</v>
      </c>
      <c r="H80" s="1057" t="e">
        <f t="shared" si="25"/>
        <v>#REF!</v>
      </c>
      <c r="I80" s="1054" t="e">
        <f t="shared" si="26"/>
        <v>#REF!</v>
      </c>
      <c r="J80" s="1057" t="e">
        <f t="shared" si="27"/>
        <v>#REF!</v>
      </c>
      <c r="K80" s="1064" t="e">
        <f t="shared" si="28"/>
        <v>#REF!</v>
      </c>
      <c r="L80" s="1011">
        <f t="shared" ca="1" si="29"/>
        <v>7.7280772369809014</v>
      </c>
      <c r="M80" s="940">
        <f t="shared" ca="1" si="30"/>
        <v>17.037473638192832</v>
      </c>
      <c r="N80" s="1025" t="e">
        <f>(-#REF!*COS($F$18*PI()/180)*$F$21-#REF!*COS($I$18*PI()/180)*$I$21)*$N$99*$C$25*1000/9.81/$O$47*$D$193*#REF!-$N$47/$O$47*$C$20*$F$21</f>
        <v>#REF!</v>
      </c>
      <c r="O80" s="75" t="e">
        <f>(SQRT(((-#REF!*SIN($F$18*PI()/180)*$F$21+#REF!*SIN($I$18*PI()/180)*$I$21)*$C$25*1000)^2+(0.001*$C$25*1000*$F$21)^2)/$C$30+(-#REF!*COS($F$18*PI()/180)*$F$21-#REF!*COS($I$18*PI()/180)*$I$21)*$C$25*1000)/9.81*$O$99/$O$47*$F$193*#REF!-$N$47/$O$47*$C$20*$F$21</f>
        <v>#REF!</v>
      </c>
      <c r="P80" s="161" t="e">
        <f>(-#REF!*COS($F$18*PI()/180)*$F$21-#REF!*COS($I$18*PI()/180)*$I$21)*$N$99*$C$25*1000/9.81/$Q$47*$D$193*#REF!-$P$47/$Q$47*$C$20*$F$21</f>
        <v>#REF!</v>
      </c>
      <c r="Q80" s="162" t="e">
        <f>(SQRT(((-#REF!*SIN($F$18*PI()/180)*$F$21+#REF!*SIN($I$18*PI()/180)*$I$21)*$C$25*1000)^2+(0.001*$C$25*1000*$F$21)^2)/$C$30+(-#REF!*COS($F$18*PI()/180)*$F$21-#REF!*COS($I$18*PI()/180)*$I$21)*$C$25*1000)/9.81*$O$99/$Q$47*$F$193*#REF!-$P$47/$Q$47*$C$20*$F$21</f>
        <v>#REF!</v>
      </c>
      <c r="R80" s="161" t="e">
        <f>(-#REF!*COS($F$18*PI()/180)*$F$21-#REF!*COS($I$18*PI()/180)*$I$21)*$N$99*$C$25*1000/9.81/$S$47*$D$193*#REF!-$R$47/$S$47*$C$20*$F$21</f>
        <v>#REF!</v>
      </c>
      <c r="S80" s="162" t="e">
        <f>(SQRT(((-#REF!*SIN($F$18*PI()/180)*$F$21+#REF!*SIN($I$18*PI()/180)*$I$21)*$C$25*1000)^2+(0.001*$C$25*1000*$F$21)^2)/$C$30+(-#REF!*COS($F$18*PI()/180)*$F$21-#REF!*COS($I$18*PI()/180)*$I$21)*$C$25*1000)/9.81*$O$99/$S$47*$F$193*#REF!-$R$47/$S$47*$C$20*$F$21</f>
        <v>#REF!</v>
      </c>
      <c r="T80" s="161" t="e">
        <f>(-#REF!*COS($F$18*PI()/180)*$F$21-#REF!*COS($I$18*PI()/180)*$I$21)*$N$99*$C$25*1000/9.81/$U$47*$D$193*#REF!-$T$47/$U$47*$C$20*$F$21</f>
        <v>#REF!</v>
      </c>
      <c r="U80" s="162" t="e">
        <f>(SQRT(((-#REF!*SIN($F$18*PI()/180)*$F$21+#REF!*SIN($I$18*PI()/180)*$I$21)*$C$25*1000)^2+(0.001*$C$25*1000*$F$21)^2)/$C$30+(-#REF!*COS($F$18*PI()/180)*$F$21-#REF!*COS($I$18*PI()/180)*$I$21)*$C$25*1000)/9.81*$O$99/$U$47*$F$193*#REF!-$T$47/$U$47*$C$20*$F$21</f>
        <v>#REF!</v>
      </c>
      <c r="V80" s="161" t="e">
        <f>(-#REF!*COS($F$18*PI()/180)*$F$21-#REF!*COS($I$18*PI()/180)*$I$21)*$N$99*$C$25*1000/9.81/$W$47*$D$193*#REF!-$V$47/$W$47*$C$20*$F$21</f>
        <v>#REF!</v>
      </c>
      <c r="W80" s="162" t="e">
        <f>(SQRT(((-#REF!*SIN($F$18*PI()/180)*$F$21+#REF!*SIN($I$18*PI()/180)*$I$21)*$C$25*1000)^2+(0.001*$C$25*1000*$F$21)^2)/$C$30+(-#REF!*COS($F$18*PI()/180)*$F$21-#REF!*COS($I$18*PI()/180)*$I$21)*$C$25*1000)/9.81*$O$99/$W$47*$F$193*#REF!-$V$47/$W$47*$C$20*$F$21</f>
        <v>#REF!</v>
      </c>
      <c r="X80" s="161" t="e">
        <f>(-#REF!*COS($F$18*PI()/180)*$F$21-#REF!*COS($I$18*PI()/180)*$I$21)*$N$99*$C$25*1000/9.81/$Y$47*$D$193*#REF!-$X$47/$Y$47*$C$20*$F$21</f>
        <v>#REF!</v>
      </c>
      <c r="Y80" s="162" t="e">
        <f>(SQRT(((-#REF!*SIN($F$18*PI()/180)*$F$21+#REF!*SIN($I$18*PI()/180)*$I$21)*$C$25*1000)^2+(0.001*$C$25*1000*$F$21)^2)/$C$30+(-#REF!*COS($F$18*PI()/180)*$F$21-#REF!*COS($I$18*PI()/180)*$I$21)*$C$25*1000)/9.81*$O$99/$Y$47*$F$193*#REF!-$X$47/$Y$47*$C$20*$F$21</f>
        <v>#REF!</v>
      </c>
      <c r="Z80" s="161">
        <f ca="1">(-'int. presets cp_10d+wd'!L28*COS($F$18*PI()/180)*$F$21-'int. presets cp_10d+wd'!L37*COS($I$18*PI()/180)*$I$21)*$N$99*$C$25*1000/9.81/$AA$47*$D$193*'int. presets cp_10d+wd'!$L$246-$Z$47/$AA$47*$C$20*$F$21</f>
        <v>-7.4815354491344053</v>
      </c>
      <c r="AA80" s="1030">
        <f ca="1">(SQRT(((-'int. presets cp_10d+wd'!G28*SIN($F$18*PI()/180)*$F$21+'int. presets cp_10d+wd'!G37*SIN($I$18*PI()/180)*$I$21)*$C$25*1000)^2+(0.001*$C$25*1000*$F$21)^2)/$C$30+(-'int. presets cp_10d+wd'!G28*COS($F$18*PI()/180)*$F$21-'int. presets cp_10d+wd'!G37*COS($I$18*PI()/180)*$I$21)*$C$25*1000)/9.81*$O$99/$AA$47*$F$193*'int. presets cp_10d+wd'!$G$246-$Z$47/$AA$47*$C$20*$F$21</f>
        <v>7.7280772369809014</v>
      </c>
      <c r="AB80" s="18"/>
      <c r="AC80" s="163"/>
    </row>
    <row r="81" spans="2:136" s="75" customFormat="1" ht="13.5" customHeight="1" thickBot="1" x14ac:dyDescent="0.25">
      <c r="B81" s="1586" t="e">
        <v>#REF!</v>
      </c>
      <c r="C81" s="1587">
        <v>0</v>
      </c>
      <c r="D81" s="1588">
        <v>0</v>
      </c>
      <c r="E81" s="547" t="s">
        <v>462</v>
      </c>
      <c r="F81" s="1055" t="e">
        <f t="shared" si="68"/>
        <v>#REF!</v>
      </c>
      <c r="G81" s="1055" t="e">
        <f t="shared" si="24"/>
        <v>#REF!</v>
      </c>
      <c r="H81" s="1055" t="e">
        <f t="shared" si="25"/>
        <v>#REF!</v>
      </c>
      <c r="I81" s="1056" t="e">
        <f t="shared" si="26"/>
        <v>#REF!</v>
      </c>
      <c r="J81" s="1055" t="e">
        <f t="shared" si="27"/>
        <v>#REF!</v>
      </c>
      <c r="K81" s="1063" t="e">
        <f t="shared" si="28"/>
        <v>#REF!</v>
      </c>
      <c r="L81" s="1012">
        <f t="shared" ca="1" si="29"/>
        <v>7.7280772369809014</v>
      </c>
      <c r="M81" s="941">
        <f t="shared" ca="1" si="30"/>
        <v>17.037473638192832</v>
      </c>
      <c r="N81" s="1027" t="e">
        <f>(-#REF!*COS($F$18*PI()/180)*$F$21-#REF!*COS($I$18*PI()/180)*$I$21)*$N$99*$C$25*1000/9.81/$O$47*$D$193*#REF!-$N$47/$O$47*$C$20*$F$21</f>
        <v>#REF!</v>
      </c>
      <c r="O81" s="936" t="e">
        <f>(SQRT(((-#REF!*SIN($F$18*PI()/180)*$F$21+#REF!*SIN($I$18*PI()/180)*$I$21)*$C$25*1000)^2+(0.001*$C$25*1000*$F$21)^2)/$C$30+(-#REF!*COS($F$18*PI()/180)*$F$21-#REF!*COS($I$18*PI()/180)*$I$21)*$C$25*1000)/9.81*$O$99/$O$47*$F$193*#REF!-$N$47/$O$47*$C$20*$F$21</f>
        <v>#REF!</v>
      </c>
      <c r="P81" s="199" t="e">
        <f>(-#REF!*COS($F$18*PI()/180)*$F$21-#REF!*COS($I$18*PI()/180)*$I$21)*$N$99*$C$25*1000/9.81/$Q$47*$D$193*#REF!-$P$47/$Q$47*$C$20*$F$21</f>
        <v>#REF!</v>
      </c>
      <c r="Q81" s="164" t="e">
        <f>(SQRT(((-#REF!*SIN($F$18*PI()/180)*$F$21+#REF!*SIN($I$18*PI()/180)*$I$21)*$C$25*1000)^2+(0.001*$C$25*1000*$F$21)^2)/$C$30+(-#REF!*COS($F$18*PI()/180)*$F$21-#REF!*COS($I$18*PI()/180)*$I$21)*$C$25*1000)/9.81*$O$99/$Q$47*$F$193*#REF!-$P$47/$Q$47*$C$20*$F$21</f>
        <v>#REF!</v>
      </c>
      <c r="R81" s="199" t="e">
        <f>(-#REF!*COS($F$18*PI()/180)*$F$21-#REF!*COS($I$18*PI()/180)*$I$21)*$N$99*$C$25*1000/9.81/$S$47*$D$193*#REF!-$R$47/$S$47*$C$20*$F$21</f>
        <v>#REF!</v>
      </c>
      <c r="S81" s="164" t="e">
        <f>(SQRT(((-#REF!*SIN($F$18*PI()/180)*$F$21+#REF!*SIN($I$18*PI()/180)*$I$21)*$C$25*1000)^2+(0.001*$C$25*1000*$F$21)^2)/$C$30+(-#REF!*COS($F$18*PI()/180)*$F$21-#REF!*COS($I$18*PI()/180)*$I$21)*$C$25*1000)/9.81*$O$99/$S$47*$F$193*#REF!-$R$47/$S$47*$C$20*$F$21</f>
        <v>#REF!</v>
      </c>
      <c r="T81" s="199" t="e">
        <f>(-#REF!*COS($F$18*PI()/180)*$F$21-#REF!*COS($I$18*PI()/180)*$I$21)*$N$99*$C$25*1000/9.81/$U$47*$D$193*#REF!-$T$47/$U$47*$C$20*$F$21</f>
        <v>#REF!</v>
      </c>
      <c r="U81" s="164" t="e">
        <f>(SQRT(((-#REF!*SIN($F$18*PI()/180)*$F$21+#REF!*SIN($I$18*PI()/180)*$I$21)*$C$25*1000)^2+(0.001*$C$25*1000*$F$21)^2)/$C$30+(-#REF!*COS($F$18*PI()/180)*$F$21-#REF!*COS($I$18*PI()/180)*$I$21)*$C$25*1000)/9.81*$O$99/$U$47*$F$193*#REF!-$T$47/$U$47*$C$20*$F$21</f>
        <v>#REF!</v>
      </c>
      <c r="V81" s="199" t="e">
        <f>(-#REF!*COS($F$18*PI()/180)*$F$21-#REF!*COS($I$18*PI()/180)*$I$21)*$N$99*$C$25*1000/9.81/$W$47*$D$193*#REF!-$V$47/$W$47*$C$20*$F$21</f>
        <v>#REF!</v>
      </c>
      <c r="W81" s="164" t="e">
        <f>(SQRT(((-#REF!*SIN($F$18*PI()/180)*$F$21+#REF!*SIN($I$18*PI()/180)*$I$21)*$C$25*1000)^2+(0.001*$C$25*1000*$F$21)^2)/$C$30+(-#REF!*COS($F$18*PI()/180)*$F$21-#REF!*COS($I$18*PI()/180)*$I$21)*$C$25*1000)/9.81*$O$99/$W$47*$F$193*#REF!-$V$47/$W$47*$C$20*$F$21</f>
        <v>#REF!</v>
      </c>
      <c r="X81" s="199" t="e">
        <f>(-#REF!*COS($F$18*PI()/180)*$F$21-#REF!*COS($I$18*PI()/180)*$I$21)*$N$99*$C$25*1000/9.81/$Y$47*$D$193*#REF!-$X$47/$Y$47*$C$20*$F$21</f>
        <v>#REF!</v>
      </c>
      <c r="Y81" s="164" t="e">
        <f>(SQRT(((-#REF!*SIN($F$18*PI()/180)*$F$21+#REF!*SIN($I$18*PI()/180)*$I$21)*$C$25*1000)^2+(0.001*$C$25*1000*$F$21)^2)/$C$30+(-#REF!*COS($F$18*PI()/180)*$F$21-#REF!*COS($I$18*PI()/180)*$I$21)*$C$25*1000)/9.81*$O$99/$Y$47*$F$193*#REF!-$X$47/$Y$47*$C$20*$F$21</f>
        <v>#REF!</v>
      </c>
      <c r="Z81" s="199">
        <f ca="1">(-'int. presets cp_10d+wd'!L29*COS($F$18*PI()/180)*$F$21-'int. presets cp_10d+wd'!L38*COS($I$18*PI()/180)*$I$21)*$N$99*$C$25*1000/9.81/$AA$47*$D$193*'int. presets cp_10d+wd'!$L$246-$Z$47/$AA$47*$C$20*$F$21</f>
        <v>-7.4815354491344053</v>
      </c>
      <c r="AA81" s="1028">
        <f ca="1">(SQRT(((-'int. presets cp_10d+wd'!G29*SIN($F$18*PI()/180)*$F$21+'int. presets cp_10d+wd'!G38*SIN($I$18*PI()/180)*$I$21)*$C$25*1000)^2+(0.001*$C$25*1000*$F$21)^2)/$C$30+(-'int. presets cp_10d+wd'!G29*COS($F$18*PI()/180)*$F$21-'int. presets cp_10d+wd'!G38*COS($I$18*PI()/180)*$I$21)*$C$25*1000)/9.81*$O$99/$AA$47*$F$193*'int. presets cp_10d+wd'!$G$246-$Z$47/$AA$47*$C$20*$F$21</f>
        <v>7.7280772369809014</v>
      </c>
      <c r="AB81" s="18"/>
      <c r="AC81" s="163"/>
    </row>
    <row r="82" spans="2:136" s="75" customFormat="1" ht="13.5" customHeight="1" x14ac:dyDescent="0.2">
      <c r="B82" s="1580" t="s">
        <v>464</v>
      </c>
      <c r="C82" s="1581">
        <v>0</v>
      </c>
      <c r="D82" s="1582" t="s">
        <v>464</v>
      </c>
      <c r="E82" s="546" t="s">
        <v>461</v>
      </c>
      <c r="F82" s="1057" t="e">
        <f t="shared" si="68"/>
        <v>#REF!</v>
      </c>
      <c r="G82" s="1057" t="e">
        <f t="shared" si="24"/>
        <v>#REF!</v>
      </c>
      <c r="H82" s="1057" t="e">
        <f t="shared" si="25"/>
        <v>#REF!</v>
      </c>
      <c r="I82" s="1054" t="e">
        <f t="shared" si="26"/>
        <v>#REF!</v>
      </c>
      <c r="J82" s="1057" t="e">
        <f t="shared" si="27"/>
        <v>#REF!</v>
      </c>
      <c r="K82" s="1064" t="e">
        <f t="shared" si="28"/>
        <v>#REF!</v>
      </c>
      <c r="L82" s="1011">
        <f t="shared" ca="1" si="29"/>
        <v>7.7280772369809014</v>
      </c>
      <c r="M82" s="940">
        <f t="shared" ca="1" si="30"/>
        <v>17.037473638192832</v>
      </c>
      <c r="N82" s="1025" t="e">
        <f>(-#REF!*COS($F$18*PI()/180)*$F$21-#REF!*COS($I$18*PI()/180)*$I$21)*$N$99*$C$25*1000/9.81/$O$47*$D$193*#REF!-$N$47/$O$47*$C$20*$F$21</f>
        <v>#REF!</v>
      </c>
      <c r="O82" s="75" t="e">
        <f>(SQRT(((-#REF!*SIN($F$18*PI()/180)*$F$21+#REF!*SIN($I$18*PI()/180)*$I$21)*$C$25*1000)^2+(0.001*$C$25*1000*$F$21)^2)/$C$30+(-#REF!*COS($F$18*PI()/180)*$F$21-#REF!*COS($I$18*PI()/180)*$I$21)*$C$25*1000)/9.81*$O$99/$O$47*$F$193*#REF!-$N$47/$O$47*$C$20*$F$21</f>
        <v>#REF!</v>
      </c>
      <c r="P82" s="161" t="e">
        <f>(-#REF!*COS($F$18*PI()/180)*$F$21-#REF!*COS($I$18*PI()/180)*$I$21)*$N$99*$C$25*1000/9.81/$Q$47*$D$193*#REF!-$P$47/$Q$47*$C$20*$F$21</f>
        <v>#REF!</v>
      </c>
      <c r="Q82" s="162" t="e">
        <f>(SQRT(((-#REF!*SIN($F$18*PI()/180)*$F$21+#REF!*SIN($I$18*PI()/180)*$I$21)*$C$25*1000)^2+(0.001*$C$25*1000*$F$21)^2)/$C$30+(-#REF!*COS($F$18*PI()/180)*$F$21-#REF!*COS($I$18*PI()/180)*$I$21)*$C$25*1000)/9.81*$O$99/$Q$47*$F$193*#REF!-$P$47/$Q$47*$C$20*$F$21</f>
        <v>#REF!</v>
      </c>
      <c r="R82" s="161" t="e">
        <f>(-#REF!*COS($F$18*PI()/180)*$F$21-#REF!*COS($I$18*PI()/180)*$I$21)*$N$99*$C$25*1000/9.81/$S$47*$D$193*#REF!-$R$47/$S$47*$C$20*$F$21</f>
        <v>#REF!</v>
      </c>
      <c r="S82" s="162" t="e">
        <f>(SQRT(((-#REF!*SIN($F$18*PI()/180)*$F$21+#REF!*SIN($I$18*PI()/180)*$I$21)*$C$25*1000)^2+(0.001*$C$25*1000*$F$21)^2)/$C$30+(-#REF!*COS($F$18*PI()/180)*$F$21-#REF!*COS($I$18*PI()/180)*$I$21)*$C$25*1000)/9.81*$O$99/$S$47*$F$193*#REF!-$R$47/$S$47*$C$20*$F$21</f>
        <v>#REF!</v>
      </c>
      <c r="T82" s="161" t="e">
        <f>(-#REF!*COS($F$18*PI()/180)*$F$21-#REF!*COS($I$18*PI()/180)*$I$21)*$N$99*$C$25*1000/9.81/$U$47*$D$193*#REF!-$T$47/$U$47*$C$20*$F$21</f>
        <v>#REF!</v>
      </c>
      <c r="U82" s="162" t="e">
        <f>(SQRT(((-#REF!*SIN($F$18*PI()/180)*$F$21+#REF!*SIN($I$18*PI()/180)*$I$21)*$C$25*1000)^2+(0.001*$C$25*1000*$F$21)^2)/$C$30+(-#REF!*COS($F$18*PI()/180)*$F$21-#REF!*COS($I$18*PI()/180)*$I$21)*$C$25*1000)/9.81*$O$99/$U$47*$F$193*#REF!-$T$47/$U$47*$C$20*$F$21</f>
        <v>#REF!</v>
      </c>
      <c r="V82" s="161" t="e">
        <f>(-#REF!*COS($F$18*PI()/180)*$F$21-#REF!*COS($I$18*PI()/180)*$I$21)*$N$99*$C$25*1000/9.81/$W$47*$D$193*#REF!-$V$47/$W$47*$C$20*$F$21</f>
        <v>#REF!</v>
      </c>
      <c r="W82" s="162" t="e">
        <f>(SQRT(((-#REF!*SIN($F$18*PI()/180)*$F$21+#REF!*SIN($I$18*PI()/180)*$I$21)*$C$25*1000)^2+(0.001*$C$25*1000*$F$21)^2)/$C$30+(-#REF!*COS($F$18*PI()/180)*$F$21-#REF!*COS($I$18*PI()/180)*$I$21)*$C$25*1000)/9.81*$O$99/$W$47*$F$193*#REF!-$V$47/$W$47*$C$20*$F$21</f>
        <v>#REF!</v>
      </c>
      <c r="X82" s="161" t="e">
        <f>(-#REF!*COS($F$18*PI()/180)*$F$21-#REF!*COS($I$18*PI()/180)*$I$21)*$N$99*$C$25*1000/9.81/$Y$47*$D$193*#REF!-$X$47/$Y$47*$C$20*$F$21</f>
        <v>#REF!</v>
      </c>
      <c r="Y82" s="162" t="e">
        <f>(SQRT(((-#REF!*SIN($F$18*PI()/180)*$F$21+#REF!*SIN($I$18*PI()/180)*$I$21)*$C$25*1000)^2+(0.001*$C$25*1000*$F$21)^2)/$C$30+(-#REF!*COS($F$18*PI()/180)*$F$21-#REF!*COS($I$18*PI()/180)*$I$21)*$C$25*1000)/9.81*$O$99/$Y$47*$F$193*#REF!-$X$47/$Y$47*$C$20*$F$21</f>
        <v>#REF!</v>
      </c>
      <c r="Z82" s="161">
        <f ca="1">(-'int. presets cp_10d+wd'!L30*COS($F$18*PI()/180)*$F$21-'int. presets cp_10d+wd'!L39*COS($I$18*PI()/180)*$I$21)*$N$99*$C$25*1000/9.81/$AA$47*$D$193*'int. presets cp_10d+wd'!$L$246-$Z$47/$AA$47*$C$20*$F$21</f>
        <v>-6.1449422709317041</v>
      </c>
      <c r="AA82" s="1030">
        <f ca="1">(SQRT(((-'int. presets cp_10d+wd'!G30*SIN($F$18*PI()/180)*$F$21+'int. presets cp_10d+wd'!G39*SIN($I$18*PI()/180)*$I$21)*$C$25*1000)^2+(0.001*$C$25*1000*$F$21)^2)/$C$30+(-'int. presets cp_10d+wd'!G30*COS($F$18*PI()/180)*$F$21-'int. presets cp_10d+wd'!G39*COS($I$18*PI()/180)*$I$21)*$C$25*1000)/9.81*$O$99/$AA$47*$F$193*'int. presets cp_10d+wd'!$G$246-$Z$47/$AA$47*$C$20*$F$21</f>
        <v>7.7280772369809014</v>
      </c>
      <c r="AB82" s="18"/>
      <c r="AC82" s="163"/>
    </row>
    <row r="83" spans="2:136" s="75" customFormat="1" ht="13.5" customHeight="1" thickBot="1" x14ac:dyDescent="0.25">
      <c r="B83" s="1586" t="e">
        <v>#REF!</v>
      </c>
      <c r="C83" s="1587">
        <v>0</v>
      </c>
      <c r="D83" s="1588">
        <v>0</v>
      </c>
      <c r="E83" s="547" t="s">
        <v>462</v>
      </c>
      <c r="F83" s="1055" t="e">
        <f t="shared" si="68"/>
        <v>#REF!</v>
      </c>
      <c r="G83" s="1055" t="e">
        <f t="shared" si="24"/>
        <v>#REF!</v>
      </c>
      <c r="H83" s="1055" t="e">
        <f t="shared" si="25"/>
        <v>#REF!</v>
      </c>
      <c r="I83" s="1056" t="e">
        <f t="shared" si="26"/>
        <v>#REF!</v>
      </c>
      <c r="J83" s="1055" t="e">
        <f t="shared" si="27"/>
        <v>#REF!</v>
      </c>
      <c r="K83" s="1063" t="e">
        <f t="shared" si="28"/>
        <v>#REF!</v>
      </c>
      <c r="L83" s="1012">
        <f t="shared" ca="1" si="29"/>
        <v>7.7280772369809014</v>
      </c>
      <c r="M83" s="941">
        <f t="shared" ca="1" si="30"/>
        <v>17.037473638192832</v>
      </c>
      <c r="N83" s="1027" t="e">
        <f>(-#REF!*COS($F$18*PI()/180)*$F$21-#REF!*COS($I$18*PI()/180)*$I$21)*$N$99*$C$25*1000/9.81/$O$47*$D$193*#REF!-$N$47/$O$47*$C$20*$F$21</f>
        <v>#REF!</v>
      </c>
      <c r="O83" s="936" t="e">
        <f>(SQRT(((-#REF!*SIN($F$18*PI()/180)*$F$21+#REF!*SIN($I$18*PI()/180)*$I$21)*$C$25*1000)^2+(0.001*$C$25*1000*$F$21)^2)/$C$30+(-#REF!*COS($F$18*PI()/180)*$F$21-#REF!*COS($I$18*PI()/180)*$I$21)*$C$25*1000)/9.81*$O$99/$O$47*$F$193*#REF!-$N$47/$O$47*$C$20*$F$21</f>
        <v>#REF!</v>
      </c>
      <c r="P83" s="199" t="e">
        <f>(-#REF!*COS($F$18*PI()/180)*$F$21-#REF!*COS($I$18*PI()/180)*$I$21)*$N$99*$C$25*1000/9.81/$Q$47*$D$193*#REF!-$P$47/$Q$47*$C$20*$F$21</f>
        <v>#REF!</v>
      </c>
      <c r="Q83" s="164" t="e">
        <f>(SQRT(((-#REF!*SIN($F$18*PI()/180)*$F$21+#REF!*SIN($I$18*PI()/180)*$I$21)*$C$25*1000)^2+(0.001*$C$25*1000*$F$21)^2)/$C$30+(-#REF!*COS($F$18*PI()/180)*$F$21-#REF!*COS($I$18*PI()/180)*$I$21)*$C$25*1000)/9.81*$O$99/$Q$47*$F$193*#REF!-$P$47/$Q$47*$C$20*$F$21</f>
        <v>#REF!</v>
      </c>
      <c r="R83" s="199" t="e">
        <f>(-#REF!*COS($F$18*PI()/180)*$F$21-#REF!*COS($I$18*PI()/180)*$I$21)*$N$99*$C$25*1000/9.81/$S$47*$D$193*#REF!-$R$47/$S$47*$C$20*$F$21</f>
        <v>#REF!</v>
      </c>
      <c r="S83" s="164" t="e">
        <f>(SQRT(((-#REF!*SIN($F$18*PI()/180)*$F$21+#REF!*SIN($I$18*PI()/180)*$I$21)*$C$25*1000)^2+(0.001*$C$25*1000*$F$21)^2)/$C$30+(-#REF!*COS($F$18*PI()/180)*$F$21-#REF!*COS($I$18*PI()/180)*$I$21)*$C$25*1000)/9.81*$O$99/$S$47*$F$193*#REF!-$R$47/$S$47*$C$20*$F$21</f>
        <v>#REF!</v>
      </c>
      <c r="T83" s="199" t="e">
        <f>(-#REF!*COS($F$18*PI()/180)*$F$21-#REF!*COS($I$18*PI()/180)*$I$21)*$N$99*$C$25*1000/9.81/$U$47*$D$193*#REF!-$T$47/$U$47*$C$20*$F$21</f>
        <v>#REF!</v>
      </c>
      <c r="U83" s="164" t="e">
        <f>(SQRT(((-#REF!*SIN($F$18*PI()/180)*$F$21+#REF!*SIN($I$18*PI()/180)*$I$21)*$C$25*1000)^2+(0.001*$C$25*1000*$F$21)^2)/$C$30+(-#REF!*COS($F$18*PI()/180)*$F$21-#REF!*COS($I$18*PI()/180)*$I$21)*$C$25*1000)/9.81*$O$99/$U$47*$F$193*#REF!-$T$47/$U$47*$C$20*$F$21</f>
        <v>#REF!</v>
      </c>
      <c r="V83" s="199" t="e">
        <f>(-#REF!*COS($F$18*PI()/180)*$F$21-#REF!*COS($I$18*PI()/180)*$I$21)*$N$99*$C$25*1000/9.81/$W$47*$D$193*#REF!-$V$47/$W$47*$C$20*$F$21</f>
        <v>#REF!</v>
      </c>
      <c r="W83" s="164" t="e">
        <f>(SQRT(((-#REF!*SIN($F$18*PI()/180)*$F$21+#REF!*SIN($I$18*PI()/180)*$I$21)*$C$25*1000)^2+(0.001*$C$25*1000*$F$21)^2)/$C$30+(-#REF!*COS($F$18*PI()/180)*$F$21-#REF!*COS($I$18*PI()/180)*$I$21)*$C$25*1000)/9.81*$O$99/$W$47*$F$193*#REF!-$V$47/$W$47*$C$20*$F$21</f>
        <v>#REF!</v>
      </c>
      <c r="X83" s="199" t="e">
        <f>(-#REF!*COS($F$18*PI()/180)*$F$21-#REF!*COS($I$18*PI()/180)*$I$21)*$N$99*$C$25*1000/9.81/$Y$47*$D$193*#REF!-$X$47/$Y$47*$C$20*$F$21</f>
        <v>#REF!</v>
      </c>
      <c r="Y83" s="164" t="e">
        <f>(SQRT(((-#REF!*SIN($F$18*PI()/180)*$F$21+#REF!*SIN($I$18*PI()/180)*$I$21)*$C$25*1000)^2+(0.001*$C$25*1000*$F$21)^2)/$C$30+(-#REF!*COS($F$18*PI()/180)*$F$21-#REF!*COS($I$18*PI()/180)*$I$21)*$C$25*1000)/9.81*$O$99/$Y$47*$F$193*#REF!-$X$47/$Y$47*$C$20*$F$21</f>
        <v>#REF!</v>
      </c>
      <c r="Z83" s="199">
        <f ca="1">(-'int. presets cp_10d+wd'!L31*COS($F$18*PI()/180)*$F$21-'int. presets cp_10d+wd'!L40*COS($I$18*PI()/180)*$I$21)*$N$99*$C$25*1000/9.81/$AA$47*$D$193*'int. presets cp_10d+wd'!$L$246-$Z$47/$AA$47*$C$20*$F$21</f>
        <v>-6.3677078006321608</v>
      </c>
      <c r="AA83" s="1028">
        <f ca="1">(SQRT(((-'int. presets cp_10d+wd'!G31*SIN($F$18*PI()/180)*$F$21+'int. presets cp_10d+wd'!G40*SIN($I$18*PI()/180)*$I$21)*$C$25*1000)^2+(0.001*$C$25*1000*$F$21)^2)/$C$30+(-'int. presets cp_10d+wd'!G31*COS($F$18*PI()/180)*$F$21-'int. presets cp_10d+wd'!G40*COS($I$18*PI()/180)*$I$21)*$C$25*1000)/9.81*$O$99/$AA$47*$F$193*'int. presets cp_10d+wd'!$G$246-$Z$47/$AA$47*$C$20*$F$21</f>
        <v>7.7280772369809014</v>
      </c>
      <c r="AB83" s="18"/>
      <c r="AC83" s="163"/>
    </row>
    <row r="84" spans="2:136" s="75" customFormat="1" ht="13.5" customHeight="1" x14ac:dyDescent="0.2">
      <c r="B84" s="1580" t="s">
        <v>465</v>
      </c>
      <c r="C84" s="1581">
        <v>0</v>
      </c>
      <c r="D84" s="1582" t="s">
        <v>465</v>
      </c>
      <c r="E84" s="546" t="s">
        <v>461</v>
      </c>
      <c r="F84" s="1057" t="e">
        <f t="shared" si="68"/>
        <v>#REF!</v>
      </c>
      <c r="G84" s="1057" t="e">
        <f t="shared" si="24"/>
        <v>#REF!</v>
      </c>
      <c r="H84" s="1057" t="e">
        <f t="shared" si="25"/>
        <v>#REF!</v>
      </c>
      <c r="I84" s="1054" t="e">
        <f t="shared" si="26"/>
        <v>#REF!</v>
      </c>
      <c r="J84" s="1057" t="e">
        <f t="shared" si="27"/>
        <v>#REF!</v>
      </c>
      <c r="K84" s="1064" t="e">
        <f t="shared" si="28"/>
        <v>#REF!</v>
      </c>
      <c r="L84" s="1011">
        <f t="shared" ca="1" si="29"/>
        <v>7.7280772369809014</v>
      </c>
      <c r="M84" s="940">
        <f t="shared" ca="1" si="30"/>
        <v>17.037473638192832</v>
      </c>
      <c r="N84" s="1025" t="e">
        <f>(-#REF!*COS($F$18*PI()/180)*$F$21-#REF!*COS($I$18*PI()/180)*$I$21)*$N$99*$C$25*1000/9.81/$O$47*$D$193*#REF!-$N$47/$O$47*$C$20*$F$21</f>
        <v>#REF!</v>
      </c>
      <c r="O84" s="75" t="e">
        <f>(SQRT(((-#REF!*SIN($F$18*PI()/180)*$F$21+#REF!*SIN($I$18*PI()/180)*$I$21)*$C$25*1000)^2+(0.001*$C$25*1000*$F$21)^2)/$C$30+(-#REF!*COS($F$18*PI()/180)*$F$21-#REF!*COS($I$18*PI()/180)*$I$21)*$C$25*1000)/9.81*$O$99/$O$47*$F$193*#REF!-$N$47/$O$47*$C$20*$F$21</f>
        <v>#REF!</v>
      </c>
      <c r="P84" s="161" t="e">
        <f>(-#REF!*COS($F$18*PI()/180)*$F$21-#REF!*COS($I$18*PI()/180)*$I$21)*$N$99*$C$25*1000/9.81/$Q$47*$D$193*#REF!-$P$47/$Q$47*$C$20*$F$21</f>
        <v>#REF!</v>
      </c>
      <c r="Q84" s="198" t="e">
        <f>(SQRT(((-#REF!*SIN($F$18*PI()/180)*$F$21+#REF!*SIN($I$18*PI()/180)*$I$21)*$C$25*1000)^2+(0.001*$C$25*1000*$F$21)^2)/$C$30+(-#REF!*COS($F$18*PI()/180)*$F$21-#REF!*COS($I$18*PI()/180)*$I$21)*$C$25*1000)/9.81*$O$99/$Q$47*$F$193*#REF!-$P$47/$Q$47*$C$20*$F$21</f>
        <v>#REF!</v>
      </c>
      <c r="R84" s="161" t="e">
        <f>(-#REF!*COS($F$18*PI()/180)*$F$21-#REF!*COS($I$18*PI()/180)*$I$21)*$N$99*$C$25*1000/9.81/$S$47*$D$193*#REF!-$R$47/$S$47*$C$20*$F$21</f>
        <v>#REF!</v>
      </c>
      <c r="S84" s="198" t="e">
        <f>(SQRT(((-#REF!*SIN($F$18*PI()/180)*$F$21+#REF!*SIN($I$18*PI()/180)*$I$21)*$C$25*1000)^2+(0.001*$C$25*1000*$F$21)^2)/$C$30+(-#REF!*COS($F$18*PI()/180)*$F$21-#REF!*COS($I$18*PI()/180)*$I$21)*$C$25*1000)/9.81*$O$99/$S$47*$F$193*#REF!-$R$47/$S$47*$C$20*$F$21</f>
        <v>#REF!</v>
      </c>
      <c r="T84" s="161" t="e">
        <f>(-#REF!*COS($F$18*PI()/180)*$F$21-#REF!*COS($I$18*PI()/180)*$I$21)*$N$99*$C$25*1000/9.81/$U$47*$D$193*#REF!-$T$47/$U$47*$C$20*$F$21</f>
        <v>#REF!</v>
      </c>
      <c r="U84" s="198" t="e">
        <f>(SQRT(((-#REF!*SIN($F$18*PI()/180)*$F$21+#REF!*SIN($I$18*PI()/180)*$I$21)*$C$25*1000)^2+(0.001*$C$25*1000*$F$21)^2)/$C$30+(-#REF!*COS($F$18*PI()/180)*$F$21-#REF!*COS($I$18*PI()/180)*$I$21)*$C$25*1000)/9.81*$O$99/$U$47*$F$193*#REF!-$T$47/$U$47*$C$20*$F$21</f>
        <v>#REF!</v>
      </c>
      <c r="V84" s="161" t="e">
        <f>(-#REF!*COS($F$18*PI()/180)*$F$21-#REF!*COS($I$18*PI()/180)*$I$21)*$N$99*$C$25*1000/9.81/$W$47*$D$193*#REF!-$V$47/$W$47*$C$20*$F$21</f>
        <v>#REF!</v>
      </c>
      <c r="W84" s="198" t="e">
        <f>(SQRT(((-#REF!*SIN($F$18*PI()/180)*$F$21+#REF!*SIN($I$18*PI()/180)*$I$21)*$C$25*1000)^2+(0.001*$C$25*1000*$F$21)^2)/$C$30+(-#REF!*COS($F$18*PI()/180)*$F$21-#REF!*COS($I$18*PI()/180)*$I$21)*$C$25*1000)/9.81*$O$99/$W$47*$F$193*#REF!-$V$47/$W$47*$C$20*$F$21</f>
        <v>#REF!</v>
      </c>
      <c r="X84" s="161" t="e">
        <f>(-#REF!*COS($F$18*PI()/180)*$F$21-#REF!*COS($I$18*PI()/180)*$I$21)*$N$99*$C$25*1000/9.81/$Y$47*$D$193*#REF!-$X$47/$Y$47*$C$20*$F$21</f>
        <v>#REF!</v>
      </c>
      <c r="Y84" s="198" t="e">
        <f>(SQRT(((-#REF!*SIN($F$18*PI()/180)*$F$21+#REF!*SIN($I$18*PI()/180)*$I$21)*$C$25*1000)^2+(0.001*$C$25*1000*$F$21)^2)/$C$30+(-#REF!*COS($F$18*PI()/180)*$F$21-#REF!*COS($I$18*PI()/180)*$I$21)*$C$25*1000)/9.81*$O$99/$Y$47*$F$193*#REF!-$X$47/$Y$47*$C$20*$F$21</f>
        <v>#REF!</v>
      </c>
      <c r="Z84" s="161">
        <f ca="1">(-'int. presets cp_10d+wd'!L32*COS($F$18*PI()/180)*$F$21-'int. presets cp_10d+wd'!L41*COS($I$18*PI()/180)*$I$21)*$N$99*$C$25*1000/9.81/$AA$47*$D$193*'int. presets cp_10d+wd'!$L$246-$Z$47/$AA$47*$C$20*$F$21</f>
        <v>-6.6213952913951246</v>
      </c>
      <c r="AA84" s="1026">
        <f ca="1">(SQRT(((-'int. presets cp_10d+wd'!G32*SIN($F$18*PI()/180)*$F$21+'int. presets cp_10d+wd'!G41*SIN($I$18*PI()/180)*$I$21)*$C$25*1000)^2+(0.001*$C$25*1000*$F$21)^2)/$C$30+(-'int. presets cp_10d+wd'!G32*COS($F$18*PI()/180)*$F$21-'int. presets cp_10d+wd'!G41*COS($I$18*PI()/180)*$I$21)*$C$25*1000)/9.81*$O$99/$AA$47*$F$193*'int. presets cp_10d+wd'!$G$246-$Z$47/$AA$47*$C$20*$F$21</f>
        <v>7.7280772369809014</v>
      </c>
      <c r="AB84" s="18"/>
      <c r="AC84" s="163"/>
    </row>
    <row r="85" spans="2:136" s="75" customFormat="1" ht="13.5" customHeight="1" thickBot="1" x14ac:dyDescent="0.25">
      <c r="B85" s="1583" t="e">
        <v>#REF!</v>
      </c>
      <c r="C85" s="1584">
        <v>0</v>
      </c>
      <c r="D85" s="1585">
        <v>0</v>
      </c>
      <c r="E85" s="993" t="s">
        <v>462</v>
      </c>
      <c r="F85" s="1055" t="e">
        <f t="shared" si="68"/>
        <v>#REF!</v>
      </c>
      <c r="G85" s="1055" t="e">
        <f t="shared" si="24"/>
        <v>#REF!</v>
      </c>
      <c r="H85" s="1055" t="e">
        <f t="shared" si="25"/>
        <v>#REF!</v>
      </c>
      <c r="I85" s="1056" t="e">
        <f t="shared" si="26"/>
        <v>#REF!</v>
      </c>
      <c r="J85" s="1055" t="e">
        <f t="shared" si="27"/>
        <v>#REF!</v>
      </c>
      <c r="K85" s="1063" t="e">
        <f t="shared" si="28"/>
        <v>#REF!</v>
      </c>
      <c r="L85" s="1013">
        <f t="shared" ca="1" si="29"/>
        <v>7.7280772369809014</v>
      </c>
      <c r="M85" s="990">
        <f t="shared" ca="1" si="30"/>
        <v>17.037473638192832</v>
      </c>
      <c r="N85" s="1029" t="e">
        <f>(-#REF!*COS($F$18*PI()/180)*$F$21-#REF!*COS($I$18*PI()/180)*$I$21)*$N$99*$C$25*1000/9.81/$O$47*$D$193*#REF!-$N$47/$O$47*$C$20*$F$21</f>
        <v>#REF!</v>
      </c>
      <c r="O85" s="991" t="e">
        <f>(SQRT(((-#REF!*SIN($F$18*PI()/180)*$F$21+#REF!*SIN($I$18*PI()/180)*$I$21)*$C$25*1000)^2+(0.001*$C$25*1000*$F$21)^2)/$C$30+(-#REF!*COS($F$18*PI()/180)*$F$21-#REF!*COS($I$18*PI()/180)*$I$21)*$C$25*1000)/9.81*$O$99/$O$47*$F$193*#REF!-$N$47/$O$47*$C$20*$F$21</f>
        <v>#REF!</v>
      </c>
      <c r="P85" s="161" t="e">
        <f>(-#REF!*COS($F$18*PI()/180)*$F$21-#REF!*COS($I$18*PI()/180)*$I$21)*$N$99*$C$25*1000/9.81/$Q$47*$D$193*#REF!-$P$47/$Q$47*$C$20*$F$21</f>
        <v>#REF!</v>
      </c>
      <c r="Q85" s="162" t="e">
        <f>(SQRT(((-#REF!*SIN($F$18*PI()/180)*$F$21+#REF!*SIN($I$18*PI()/180)*$I$21)*$C$25*1000)^2+(0.001*$C$25*1000*$F$21)^2)/$C$30+(-#REF!*COS($F$18*PI()/180)*$F$21-#REF!*COS($I$18*PI()/180)*$I$21)*$C$25*1000)/9.81*$O$99/$Q$47*$F$193*#REF!-$P$47/$Q$47*$C$20*$F$21</f>
        <v>#REF!</v>
      </c>
      <c r="R85" s="161" t="e">
        <f>(-#REF!*COS($F$18*PI()/180)*$F$21-#REF!*COS($I$18*PI()/180)*$I$21)*$N$99*$C$25*1000/9.81/$S$47*$D$193*#REF!-$R$47/$S$47*$C$20*$F$21</f>
        <v>#REF!</v>
      </c>
      <c r="S85" s="162" t="e">
        <f>(SQRT(((-#REF!*SIN($F$18*PI()/180)*$F$21+#REF!*SIN($I$18*PI()/180)*$I$21)*$C$25*1000)^2+(0.001*$C$25*1000*$F$21)^2)/$C$30+(-#REF!*COS($F$18*PI()/180)*$F$21-#REF!*COS($I$18*PI()/180)*$I$21)*$C$25*1000)/9.81*$O$99/$S$47*$F$193*#REF!-$R$47/$S$47*$C$20*$F$21</f>
        <v>#REF!</v>
      </c>
      <c r="T85" s="161" t="e">
        <f>(-#REF!*COS($F$18*PI()/180)*$F$21-#REF!*COS($I$18*PI()/180)*$I$21)*$N$99*$C$25*1000/9.81/$U$47*$D$193*#REF!-$T$47/$U$47*$C$20*$F$21</f>
        <v>#REF!</v>
      </c>
      <c r="U85" s="162" t="e">
        <f>(SQRT(((-#REF!*SIN($F$18*PI()/180)*$F$21+#REF!*SIN($I$18*PI()/180)*$I$21)*$C$25*1000)^2+(0.001*$C$25*1000*$F$21)^2)/$C$30+(-#REF!*COS($F$18*PI()/180)*$F$21-#REF!*COS($I$18*PI()/180)*$I$21)*$C$25*1000)/9.81*$O$99/$U$47*$F$193*#REF!-$T$47/$U$47*$C$20*$F$21</f>
        <v>#REF!</v>
      </c>
      <c r="V85" s="161" t="e">
        <f>(-#REF!*COS($F$18*PI()/180)*$F$21-#REF!*COS($I$18*PI()/180)*$I$21)*$N$99*$C$25*1000/9.81/$W$47*$D$193*#REF!-$V$47/$W$47*$C$20*$F$21</f>
        <v>#REF!</v>
      </c>
      <c r="W85" s="162" t="e">
        <f>(SQRT(((-#REF!*SIN($F$18*PI()/180)*$F$21+#REF!*SIN($I$18*PI()/180)*$I$21)*$C$25*1000)^2+(0.001*$C$25*1000*$F$21)^2)/$C$30+(-#REF!*COS($F$18*PI()/180)*$F$21-#REF!*COS($I$18*PI()/180)*$I$21)*$C$25*1000)/9.81*$O$99/$W$47*$F$193*#REF!-$V$47/$W$47*$C$20*$F$21</f>
        <v>#REF!</v>
      </c>
      <c r="X85" s="161" t="e">
        <f>(-#REF!*COS($F$18*PI()/180)*$F$21-#REF!*COS($I$18*PI()/180)*$I$21)*$N$99*$C$25*1000/9.81/$Y$47*$D$193*#REF!-$X$47/$Y$47*$C$20*$F$21</f>
        <v>#REF!</v>
      </c>
      <c r="Y85" s="162" t="e">
        <f>(SQRT(((-#REF!*SIN($F$18*PI()/180)*$F$21+#REF!*SIN($I$18*PI()/180)*$I$21)*$C$25*1000)^2+(0.001*$C$25*1000*$F$21)^2)/$C$30+(-#REF!*COS($F$18*PI()/180)*$F$21-#REF!*COS($I$18*PI()/180)*$I$21)*$C$25*1000)/9.81*$O$99/$Y$47*$F$193*#REF!-$X$47/$Y$47*$C$20*$F$21</f>
        <v>#REF!</v>
      </c>
      <c r="Z85" s="161">
        <f ca="1">(-'int. presets cp_10d+wd'!L33*COS($F$18*PI()/180)*$F$21-'int. presets cp_10d+wd'!L42*COS($I$18*PI()/180)*$I$21)*$N$99*$C$25*1000/9.81/$AA$47*$D$193*'int. presets cp_10d+wd'!$L$246-$Z$47/$AA$47*$C$20*$F$21</f>
        <v>-7.4815354491344053</v>
      </c>
      <c r="AA85" s="1030">
        <f ca="1">(SQRT(((-'int. presets cp_10d+wd'!G33*SIN($F$18*PI()/180)*$F$21+'int. presets cp_10d+wd'!G42*SIN($I$18*PI()/180)*$I$21)*$C$25*1000)^2+(0.001*$C$25*1000*$F$21)^2)/$C$30+(-'int. presets cp_10d+wd'!G33*COS($F$18*PI()/180)*$F$21-'int. presets cp_10d+wd'!G42*COS($I$18*PI()/180)*$I$21)*$C$25*1000)/9.81*$O$99/$AA$47*$F$193*'int. presets cp_10d+wd'!$G$246-$Z$47/$AA$47*$C$20*$F$21</f>
        <v>7.7280772369809014</v>
      </c>
      <c r="AB85" s="18"/>
      <c r="AC85" s="163"/>
    </row>
    <row r="86" spans="2:136" s="75" customFormat="1" ht="13.5" customHeight="1" thickTop="1" thickBot="1" x14ac:dyDescent="0.25">
      <c r="B86" s="1658" t="s">
        <v>343</v>
      </c>
      <c r="C86" s="1659"/>
      <c r="D86" s="1659"/>
      <c r="E86" s="1659"/>
      <c r="F86" s="1659"/>
      <c r="G86" s="1659"/>
      <c r="H86" s="1659"/>
      <c r="I86" s="1659"/>
      <c r="J86" s="1659"/>
      <c r="K86" s="1659"/>
      <c r="L86" s="1660"/>
      <c r="M86" s="1048"/>
      <c r="N86" s="1006"/>
      <c r="O86" s="1007"/>
      <c r="P86" s="1007"/>
      <c r="Q86" s="1007"/>
      <c r="R86" s="1007"/>
      <c r="S86" s="1007"/>
      <c r="T86" s="1007"/>
      <c r="U86" s="1007"/>
      <c r="V86" s="1007"/>
      <c r="W86" s="1007"/>
      <c r="X86" s="1007"/>
      <c r="Y86" s="1007"/>
      <c r="Z86" s="1007"/>
      <c r="AA86" s="1010"/>
      <c r="AB86" s="18"/>
      <c r="AC86" s="163"/>
    </row>
    <row r="87" spans="2:136" s="75" customFormat="1" ht="13.5" customHeight="1" x14ac:dyDescent="0.2">
      <c r="B87" s="1580" t="s">
        <v>460</v>
      </c>
      <c r="C87" s="1581"/>
      <c r="D87" s="1582"/>
      <c r="E87" s="351" t="s">
        <v>461</v>
      </c>
      <c r="F87" s="1053" t="e">
        <f t="shared" ref="F87:F94" si="69">MAX(N87,O87)</f>
        <v>#REF!</v>
      </c>
      <c r="G87" s="1053" t="e">
        <f t="shared" si="24"/>
        <v>#REF!</v>
      </c>
      <c r="H87" s="1053" t="e">
        <f t="shared" si="25"/>
        <v>#REF!</v>
      </c>
      <c r="I87" s="1061" t="e">
        <f t="shared" si="26"/>
        <v>#REF!</v>
      </c>
      <c r="J87" s="1053" t="e">
        <f t="shared" si="27"/>
        <v>#REF!</v>
      </c>
      <c r="K87" s="1062" t="e">
        <f t="shared" si="28"/>
        <v>#REF!</v>
      </c>
      <c r="L87" s="1011">
        <f t="shared" ca="1" si="29"/>
        <v>6.0029790422835418</v>
      </c>
      <c r="M87" s="940">
        <f t="shared" ca="1" si="30"/>
        <v>13.234287656199141</v>
      </c>
      <c r="N87" s="1035" t="e">
        <f>(-#REF!*COS($F$18*PI()/180)*$F$21-#REF!*COS($I$18*PI()/180)*$I$21)*$N$99*$C$25*1000/9.81/$O$47*$D$193*#REF!-$N$47/$O$47*$C$20*$F$21</f>
        <v>#REF!</v>
      </c>
      <c r="O87" s="75" t="e">
        <f>(SQRT(((-#REF!*SIN($F$18*PI()/180)*$F$21+#REF!*SIN($I$18*PI()/180)*$I$21)*$C$25*1000)^2+(0.001*$C$25*1000*$F$21)^2)/$C$30+(-#REF!*COS($F$18*PI()/180)*$F$21-#REF!*COS($I$18*PI()/180)*$I$21)*$C$25*1000)/9.81*$O$99/$O$47*$F$193*#REF!-$N$47/$O$47*$C$20*$F$21</f>
        <v>#REF!</v>
      </c>
      <c r="P87" s="181" t="e">
        <f>(-#REF!*COS($F$18*PI()/180)*$F$21-#REF!*COS($I$18*PI()/180)*$I$21)*$N$99*$C$25*1000/9.81/$Q$47*$D$193*#REF!-$P$47/$Q$47*$C$20*$F$21</f>
        <v>#REF!</v>
      </c>
      <c r="Q87" s="198" t="e">
        <f>(SQRT(((-#REF!*SIN($F$18*PI()/180)*$F$21+#REF!*SIN($I$18*PI()/180)*$I$21)*$C$25*1000)^2+(0.001*$C$25*1000*$F$21)^2)/$C$30+(-#REF!*COS($F$18*PI()/180)*$F$21-#REF!*COS($I$18*PI()/180)*$I$21)*$C$25*1000)/9.81*$O$99/$Q$47*$F$193*#REF!-$P$47/$Q$47*$C$20*$F$21</f>
        <v>#REF!</v>
      </c>
      <c r="R87" s="181" t="e">
        <f>(-#REF!*COS($F$18*PI()/180)*$F$21-#REF!*COS($I$18*PI()/180)*$I$21)*$N$99*$C$25*1000/9.81/$S$47*$D$193*#REF!-$R$47/$S$47*$C$20*$F$21</f>
        <v>#REF!</v>
      </c>
      <c r="S87" s="198" t="e">
        <f>(SQRT(((-#REF!*SIN($F$18*PI()/180)*$F$21+#REF!*SIN($I$18*PI()/180)*$I$21)*$C$25*1000)^2+(0.001*$C$25*1000*$F$21)^2)/$C$30+(-#REF!*COS($F$18*PI()/180)*$F$21-#REF!*COS($I$18*PI()/180)*$I$21)*$C$25*1000)/9.81*$O$99/$S$47*$F$193*#REF!-$R$47/$S$47*$C$20*$F$21</f>
        <v>#REF!</v>
      </c>
      <c r="T87" s="181" t="e">
        <f>(-#REF!*COS($F$18*PI()/180)*$F$21-#REF!*COS($I$18*PI()/180)*$I$21)*$N$99*$C$25*1000/9.81/$U$47*$D$193*#REF!-$T$47/$U$47*$C$20*$F$21</f>
        <v>#REF!</v>
      </c>
      <c r="U87" s="198" t="e">
        <f>(SQRT(((-#REF!*SIN($F$18*PI()/180)*$F$21+#REF!*SIN($I$18*PI()/180)*$I$21)*$C$25*1000)^2+(0.001*$C$25*1000*$F$21)^2)/$C$30+(-#REF!*COS($F$18*PI()/180)*$F$21-#REF!*COS($I$18*PI()/180)*$I$21)*$C$25*1000)/9.81*$O$99/$U$47*$F$193*#REF!-$T$47/$U$47*$C$20*$F$21</f>
        <v>#REF!</v>
      </c>
      <c r="V87" s="181" t="e">
        <f>(-#REF!*COS($F$18*PI()/180)*$F$21-#REF!*COS($I$18*PI()/180)*$I$21)*$N$99*$C$25*1000/9.81/$W$47*$D$193*#REF!-$V$47/$W$47*$C$20*$F$21</f>
        <v>#REF!</v>
      </c>
      <c r="W87" s="198" t="e">
        <f>(SQRT(((-#REF!*SIN($F$18*PI()/180)*$F$21+#REF!*SIN($I$18*PI()/180)*$I$21)*$C$25*1000)^2+(0.001*$C$25*1000*$F$21)^2)/$C$30+(-#REF!*COS($F$18*PI()/180)*$F$21-#REF!*COS($I$18*PI()/180)*$I$21)*$C$25*1000)/9.81*$O$99/$W$47*$F$193*#REF!-$V$47/$W$47*$C$20*$F$21</f>
        <v>#REF!</v>
      </c>
      <c r="X87" s="181" t="e">
        <f>(-#REF!*COS($F$18*PI()/180)*$F$21-#REF!*COS($I$18*PI()/180)*$I$21)*$N$99*$C$25*1000/9.81/$Y$47*$D$193*#REF!-$X$47/$Y$47*$C$20*$F$21</f>
        <v>#REF!</v>
      </c>
      <c r="Y87" s="198" t="e">
        <f>(SQRT(((-#REF!*SIN($F$18*PI()/180)*$F$21+#REF!*SIN($I$18*PI()/180)*$I$21)*$C$25*1000)^2+(0.001*$C$25*1000*$F$21)^2)/$C$30+(-#REF!*COS($F$18*PI()/180)*$F$21-#REF!*COS($I$18*PI()/180)*$I$21)*$C$25*1000)/9.81*$O$99/$Y$47*$F$193*#REF!-$X$47/$Y$47*$C$20*$F$21</f>
        <v>#REF!</v>
      </c>
      <c r="Z87" s="181">
        <f ca="1">(-'int. presets cp_10d+wd'!M26*COS($F$18*PI()/180)*$F$21-'int. presets cp_10d+wd'!M35*COS($I$18*PI()/180)*$I$21)*$N$99*$C$25*1000/9.81/$AA$47*$D$193*'int. presets cp_10d+wd'!$M$246-$Z$47/$AA$47*$C$20*$F$21</f>
        <v>-4.4408295244006766</v>
      </c>
      <c r="AA87" s="1026">
        <f ca="1">(SQRT(((-'int. presets cp_10d+wd'!H26*SIN($F$18*PI()/180)*$F$21+'int. presets cp_10d+wd'!H35*SIN($I$18*PI()/180)*$I$21)*$C$25*1000)^2+(0.001*$C$25*1000*$F$21)^2)/$C$30+(-'int. presets cp_10d+wd'!H26*COS($F$18*PI()/180)*$F$21-'int. presets cp_10d+wd'!H35*COS($I$18*PI()/180)*$I$21)*$C$25*1000)/9.81*$O$99/$AA$47*$F$193*'int. presets cp_10d+wd'!$H$246-$Z$47/$AA$47*$C$20*$F$21</f>
        <v>6.0029790422835418</v>
      </c>
      <c r="AB87" s="18"/>
    </row>
    <row r="88" spans="2:136" s="75" customFormat="1" ht="13.5" customHeight="1" thickBot="1" x14ac:dyDescent="0.25">
      <c r="B88" s="1586"/>
      <c r="C88" s="1587"/>
      <c r="D88" s="1588"/>
      <c r="E88" s="345" t="s">
        <v>462</v>
      </c>
      <c r="F88" s="1055" t="e">
        <f t="shared" si="69"/>
        <v>#REF!</v>
      </c>
      <c r="G88" s="1055" t="e">
        <f t="shared" si="24"/>
        <v>#REF!</v>
      </c>
      <c r="H88" s="1055" t="e">
        <f t="shared" si="25"/>
        <v>#REF!</v>
      </c>
      <c r="I88" s="1056" t="e">
        <f t="shared" si="26"/>
        <v>#REF!</v>
      </c>
      <c r="J88" s="1055" t="e">
        <f t="shared" si="27"/>
        <v>#REF!</v>
      </c>
      <c r="K88" s="1063" t="e">
        <f t="shared" si="28"/>
        <v>#REF!</v>
      </c>
      <c r="L88" s="1012">
        <f t="shared" ca="1" si="29"/>
        <v>6.0029790422835418</v>
      </c>
      <c r="M88" s="941">
        <f t="shared" ca="1" si="30"/>
        <v>13.234287656199141</v>
      </c>
      <c r="N88" s="1027" t="e">
        <f>(-#REF!*COS($F$18*PI()/180)*$F$21-#REF!*COS($I$18*PI()/180)*$I$21)*$N$99*$C$25*1000/9.81/$O$47*$D$193*#REF!-$N$47/$O$47*$C$20*$F$21</f>
        <v>#REF!</v>
      </c>
      <c r="O88" s="936" t="e">
        <f>(SQRT(((-#REF!*SIN($F$18*PI()/180)*$F$21+#REF!*SIN($I$18*PI()/180)*$I$21)*$C$25*1000)^2+(0.001*$C$25*1000*$F$21)^2)/$C$30+(-#REF!*COS($F$18*PI()/180)*$F$21-#REF!*COS($I$18*PI()/180)*$I$21)*$C$25*1000)/9.81*$O$99/$O$47*$F$193*#REF!-$N$47/$O$47*$C$20*$F$21</f>
        <v>#REF!</v>
      </c>
      <c r="P88" s="199" t="e">
        <f>(-#REF!*COS($F$18*PI()/180)*$F$21-#REF!*COS($I$18*PI()/180)*$I$21)*$N$99*$C$25*1000/9.81/$Q$47*$D$193*#REF!-$P$47/$Q$47*$C$20*$F$21</f>
        <v>#REF!</v>
      </c>
      <c r="Q88" s="164" t="e">
        <f>(SQRT(((-#REF!*SIN($F$18*PI()/180)*$F$21+#REF!*SIN($I$18*PI()/180)*$I$21)*$C$25*1000)^2+(0.001*$C$25*1000*$F$21)^2)/$C$30+(-#REF!*COS($F$18*PI()/180)*$F$21-#REF!*COS($I$18*PI()/180)*$I$21)*$C$25*1000)/9.81*$O$99/$Q$47*$F$193*#REF!-$P$47/$Q$47*$C$20*$F$21</f>
        <v>#REF!</v>
      </c>
      <c r="R88" s="199" t="e">
        <f>(-#REF!*COS($F$18*PI()/180)*$F$21-#REF!*COS($I$18*PI()/180)*$I$21)*$N$99*$C$25*1000/9.81/$S$47*$D$193*#REF!-$R$47/$S$47*$C$20*$F$21</f>
        <v>#REF!</v>
      </c>
      <c r="S88" s="164" t="e">
        <f>(SQRT(((-#REF!*SIN($F$18*PI()/180)*$F$21+#REF!*SIN($I$18*PI()/180)*$I$21)*$C$25*1000)^2+(0.001*$C$25*1000*$F$21)^2)/$C$30+(-#REF!*COS($F$18*PI()/180)*$F$21-#REF!*COS($I$18*PI()/180)*$I$21)*$C$25*1000)/9.81*$O$99/$S$47*$F$193*#REF!-$R$47/$S$47*$C$20*$F$21</f>
        <v>#REF!</v>
      </c>
      <c r="T88" s="199" t="e">
        <f>(-#REF!*COS($F$18*PI()/180)*$F$21-#REF!*COS($I$18*PI()/180)*$I$21)*$N$99*$C$25*1000/9.81/$U$47*$D$193*#REF!-$T$47/$U$47*$C$20*$F$21</f>
        <v>#REF!</v>
      </c>
      <c r="U88" s="164" t="e">
        <f>(SQRT(((-#REF!*SIN($F$18*PI()/180)*$F$21+#REF!*SIN($I$18*PI()/180)*$I$21)*$C$25*1000)^2+(0.001*$C$25*1000*$F$21)^2)/$C$30+(-#REF!*COS($F$18*PI()/180)*$F$21-#REF!*COS($I$18*PI()/180)*$I$21)*$C$25*1000)/9.81*$O$99/$U$47*$F$193*#REF!-$T$47/$U$47*$C$20*$F$21</f>
        <v>#REF!</v>
      </c>
      <c r="V88" s="199" t="e">
        <f>(-#REF!*COS($F$18*PI()/180)*$F$21-#REF!*COS($I$18*PI()/180)*$I$21)*$N$99*$C$25*1000/9.81/$W$47*$D$193*#REF!-$V$47/$W$47*$C$20*$F$21</f>
        <v>#REF!</v>
      </c>
      <c r="W88" s="164" t="e">
        <f>(SQRT(((-#REF!*SIN($F$18*PI()/180)*$F$21+#REF!*SIN($I$18*PI()/180)*$I$21)*$C$25*1000)^2+(0.001*$C$25*1000*$F$21)^2)/$C$30+(-#REF!*COS($F$18*PI()/180)*$F$21-#REF!*COS($I$18*PI()/180)*$I$21)*$C$25*1000)/9.81*$O$99/$W$47*$F$193*#REF!-$V$47/$W$47*$C$20*$F$21</f>
        <v>#REF!</v>
      </c>
      <c r="X88" s="199" t="e">
        <f>(-#REF!*COS($F$18*PI()/180)*$F$21-#REF!*COS($I$18*PI()/180)*$I$21)*$N$99*$C$25*1000/9.81/$Y$47*$D$193*#REF!-$X$47/$Y$47*$C$20*$F$21</f>
        <v>#REF!</v>
      </c>
      <c r="Y88" s="164" t="e">
        <f>(SQRT(((-#REF!*SIN($F$18*PI()/180)*$F$21+#REF!*SIN($I$18*PI()/180)*$I$21)*$C$25*1000)^2+(0.001*$C$25*1000*$F$21)^2)/$C$30+(-#REF!*COS($F$18*PI()/180)*$F$21-#REF!*COS($I$18*PI()/180)*$I$21)*$C$25*1000)/9.81*$O$99/$Y$47*$F$193*#REF!-$X$47/$Y$47*$C$20*$F$21</f>
        <v>#REF!</v>
      </c>
      <c r="Z88" s="199">
        <f ca="1">(-'int. presets cp_10d+wd'!M27*COS($F$18*PI()/180)*$F$21-'int. presets cp_10d+wd'!M36*COS($I$18*PI()/180)*$I$21)*$N$99*$C$25*1000/9.81/$AA$47*$D$193*'int. presets cp_10d+wd'!$M$246-$Z$47/$AA$47*$C$20*$F$21</f>
        <v>-4.1902324701136031</v>
      </c>
      <c r="AA88" s="1028">
        <f ca="1">(SQRT(((-'int. presets cp_10d+wd'!H27*SIN($F$18*PI()/180)*$F$21+'int. presets cp_10d+wd'!H36*SIN($I$18*PI()/180)*$I$21)*$C$25*1000)^2+(0.001*$C$25*1000*$F$21)^2)/$C$30+(-'int. presets cp_10d+wd'!H27*COS($F$18*PI()/180)*$F$21-'int. presets cp_10d+wd'!H36*COS($I$18*PI()/180)*$I$21)*$C$25*1000)/9.81*$O$99/$AA$47*$F$193*'int. presets cp_10d+wd'!$H$246-$Z$47/$AA$47*$C$20*$F$21</f>
        <v>6.0029790422835418</v>
      </c>
      <c r="AB88" s="18"/>
    </row>
    <row r="89" spans="2:136" s="75" customFormat="1" ht="13.5" customHeight="1" x14ac:dyDescent="0.2">
      <c r="B89" s="1580" t="s">
        <v>463</v>
      </c>
      <c r="C89" s="1581"/>
      <c r="D89" s="1582"/>
      <c r="E89" s="347" t="s">
        <v>461</v>
      </c>
      <c r="F89" s="1057" t="e">
        <f t="shared" si="69"/>
        <v>#REF!</v>
      </c>
      <c r="G89" s="1057" t="e">
        <f t="shared" si="24"/>
        <v>#REF!</v>
      </c>
      <c r="H89" s="1057" t="e">
        <f t="shared" si="25"/>
        <v>#REF!</v>
      </c>
      <c r="I89" s="1054" t="e">
        <f t="shared" si="26"/>
        <v>#REF!</v>
      </c>
      <c r="J89" s="1057" t="e">
        <f t="shared" si="27"/>
        <v>#REF!</v>
      </c>
      <c r="K89" s="1064" t="e">
        <f t="shared" si="28"/>
        <v>#REF!</v>
      </c>
      <c r="L89" s="1011">
        <f t="shared" ca="1" si="29"/>
        <v>6.0029790422835418</v>
      </c>
      <c r="M89" s="940">
        <f t="shared" ca="1" si="30"/>
        <v>13.234287656199141</v>
      </c>
      <c r="N89" s="1025" t="e">
        <f>(-#REF!*COS($F$18*PI()/180)*$F$21-#REF!*COS($I$18*PI()/180)*$I$21)*$N$99*$C$25*1000/9.81/$O$47*$D$193*#REF!-$N$47/$O$47*$C$20*$F$21</f>
        <v>#REF!</v>
      </c>
      <c r="O89" s="75" t="e">
        <f>(SQRT(((-#REF!*SIN($F$18*PI()/180)*$F$21+#REF!*SIN($I$18*PI()/180)*$I$21)*$C$25*1000)^2+(0.001*$C$25*1000*$F$21)^2)/$C$30+(-#REF!*COS($F$18*PI()/180)*$F$21-#REF!*COS($I$18*PI()/180)*$I$21)*$C$25*1000)/9.81*$O$99/$O$47*$F$193*#REF!-$N$47/$O$47*$C$20*$F$21</f>
        <v>#REF!</v>
      </c>
      <c r="P89" s="161" t="e">
        <f>(-#REF!*COS($F$18*PI()/180)*$F$21-#REF!*COS($I$18*PI()/180)*$I$21)*$N$99*$C$25*1000/9.81/$Q$47*$D$193*#REF!-$P$47/$Q$47*$C$20*$F$21</f>
        <v>#REF!</v>
      </c>
      <c r="Q89" s="162" t="e">
        <f>(SQRT(((-#REF!*SIN($F$18*PI()/180)*$F$21+#REF!*SIN($I$18*PI()/180)*$I$21)*$C$25*1000)^2+(0.001*$C$25*1000*$F$21)^2)/$C$30+(-#REF!*COS($F$18*PI()/180)*$F$21-#REF!*COS($I$18*PI()/180)*$I$21)*$C$25*1000)/9.81*$O$99/$Q$47*$F$193*#REF!-$P$47/$Q$47*$C$20*$F$21</f>
        <v>#REF!</v>
      </c>
      <c r="R89" s="161" t="e">
        <f>(-#REF!*COS($F$18*PI()/180)*$F$21-#REF!*COS($I$18*PI()/180)*$I$21)*$N$99*$C$25*1000/9.81/$S$47*$D$193*#REF!-$R$47/$S$47*$C$20*$F$21</f>
        <v>#REF!</v>
      </c>
      <c r="S89" s="162" t="e">
        <f>(SQRT(((-#REF!*SIN($F$18*PI()/180)*$F$21+#REF!*SIN($I$18*PI()/180)*$I$21)*$C$25*1000)^2+(0.001*$C$25*1000*$F$21)^2)/$C$30+(-#REF!*COS($F$18*PI()/180)*$F$21-#REF!*COS($I$18*PI()/180)*$I$21)*$C$25*1000)/9.81*$O$99/$S$47*$F$193*#REF!-$R$47/$S$47*$C$20*$F$21</f>
        <v>#REF!</v>
      </c>
      <c r="T89" s="161" t="e">
        <f>(-#REF!*COS($F$18*PI()/180)*$F$21-#REF!*COS($I$18*PI()/180)*$I$21)*$N$99*$C$25*1000/9.81/$U$47*$D$193*#REF!-$T$47/$U$47*$C$20*$F$21</f>
        <v>#REF!</v>
      </c>
      <c r="U89" s="162" t="e">
        <f>(SQRT(((-#REF!*SIN($F$18*PI()/180)*$F$21+#REF!*SIN($I$18*PI()/180)*$I$21)*$C$25*1000)^2+(0.001*$C$25*1000*$F$21)^2)/$C$30+(-#REF!*COS($F$18*PI()/180)*$F$21-#REF!*COS($I$18*PI()/180)*$I$21)*$C$25*1000)/9.81*$O$99/$U$47*$F$193*#REF!-$T$47/$U$47*$C$20*$F$21</f>
        <v>#REF!</v>
      </c>
      <c r="V89" s="161" t="e">
        <f>(-#REF!*COS($F$18*PI()/180)*$F$21-#REF!*COS($I$18*PI()/180)*$I$21)*$N$99*$C$25*1000/9.81/$W$47*$D$193*#REF!-$V$47/$W$47*$C$20*$F$21</f>
        <v>#REF!</v>
      </c>
      <c r="W89" s="162" t="e">
        <f>(SQRT(((-#REF!*SIN($F$18*PI()/180)*$F$21+#REF!*SIN($I$18*PI()/180)*$I$21)*$C$25*1000)^2+(0.001*$C$25*1000*$F$21)^2)/$C$30+(-#REF!*COS($F$18*PI()/180)*$F$21-#REF!*COS($I$18*PI()/180)*$I$21)*$C$25*1000)/9.81*$O$99/$W$47*$F$193*#REF!-$V$47/$W$47*$C$20*$F$21</f>
        <v>#REF!</v>
      </c>
      <c r="X89" s="161" t="e">
        <f>(-#REF!*COS($F$18*PI()/180)*$F$21-#REF!*COS($I$18*PI()/180)*$I$21)*$N$99*$C$25*1000/9.81/$Y$47*$D$193*#REF!-$X$47/$Y$47*$C$20*$F$21</f>
        <v>#REF!</v>
      </c>
      <c r="Y89" s="162" t="e">
        <f>(SQRT(((-#REF!*SIN($F$18*PI()/180)*$F$21+#REF!*SIN($I$18*PI()/180)*$I$21)*$C$25*1000)^2+(0.001*$C$25*1000*$F$21)^2)/$C$30+(-#REF!*COS($F$18*PI()/180)*$F$21-#REF!*COS($I$18*PI()/180)*$I$21)*$C$25*1000)/9.81*$O$99/$Y$47*$F$193*#REF!-$X$47/$Y$47*$C$20*$F$21</f>
        <v>#REF!</v>
      </c>
      <c r="Z89" s="161">
        <f ca="1">(-'int. presets cp_10d+wd'!M28*COS($F$18*PI()/180)*$F$21-'int. presets cp_10d+wd'!M37*COS($I$18*PI()/180)*$I$21)*$N$99*$C$25*1000/9.81/$AA$47*$D$193*'int. presets cp_10d+wd'!$M$246-$Z$47/$AA$47*$C$20*$F$21</f>
        <v>-7.3614857036661547</v>
      </c>
      <c r="AA89" s="1030">
        <f ca="1">(SQRT(((-'int. presets cp_10d+wd'!H28*SIN($F$18*PI()/180)*$F$21+'int. presets cp_10d+wd'!H37*SIN($I$18*PI()/180)*$I$21)*$C$25*1000)^2+(0.001*$C$25*1000*$F$21)^2)/$C$30+(-'int. presets cp_10d+wd'!H28*COS($F$18*PI()/180)*$F$21-'int. presets cp_10d+wd'!H37*COS($I$18*PI()/180)*$I$21)*$C$25*1000)/9.81*$O$99/$AA$47*$F$193*'int. presets cp_10d+wd'!$H$246-$Z$47/$AA$47*$C$20*$F$21</f>
        <v>6.0029790422835418</v>
      </c>
      <c r="AB89" s="18"/>
    </row>
    <row r="90" spans="2:136" s="75" customFormat="1" ht="13.5" customHeight="1" thickBot="1" x14ac:dyDescent="0.25">
      <c r="B90" s="1586"/>
      <c r="C90" s="1587"/>
      <c r="D90" s="1588"/>
      <c r="E90" s="345" t="s">
        <v>462</v>
      </c>
      <c r="F90" s="1055" t="e">
        <f t="shared" si="69"/>
        <v>#REF!</v>
      </c>
      <c r="G90" s="1055" t="e">
        <f t="shared" si="24"/>
        <v>#REF!</v>
      </c>
      <c r="H90" s="1055" t="e">
        <f t="shared" si="25"/>
        <v>#REF!</v>
      </c>
      <c r="I90" s="1056" t="e">
        <f t="shared" si="26"/>
        <v>#REF!</v>
      </c>
      <c r="J90" s="1055" t="e">
        <f t="shared" si="27"/>
        <v>#REF!</v>
      </c>
      <c r="K90" s="1063" t="e">
        <f t="shared" si="28"/>
        <v>#REF!</v>
      </c>
      <c r="L90" s="1012">
        <f t="shared" ca="1" si="29"/>
        <v>6.0029790422835418</v>
      </c>
      <c r="M90" s="941">
        <f t="shared" ca="1" si="30"/>
        <v>13.234287656199141</v>
      </c>
      <c r="N90" s="1027" t="e">
        <f>(-#REF!*COS($F$18*PI()/180)*$F$21-#REF!*COS($I$18*PI()/180)*$I$21)*$N$99*$C$25*1000/9.81/$O$47*$D$193*#REF!-$N$47/$O$47*$C$20*$F$21</f>
        <v>#REF!</v>
      </c>
      <c r="O90" s="936" t="e">
        <f>(SQRT(((-#REF!*SIN($F$18*PI()/180)*$F$21+#REF!*SIN($I$18*PI()/180)*$I$21)*$C$25*1000)^2+(0.001*$C$25*1000*$F$21)^2)/$C$30+(-#REF!*COS($F$18*PI()/180)*$F$21-#REF!*COS($I$18*PI()/180)*$I$21)*$C$25*1000)/9.81*$O$99/$O$47*$F$193*#REF!-$N$47/$O$47*$C$20*$F$21</f>
        <v>#REF!</v>
      </c>
      <c r="P90" s="199" t="e">
        <f>(-#REF!*COS($F$18*PI()/180)*$F$21-#REF!*COS($I$18*PI()/180)*$I$21)*$N$99*$C$25*1000/9.81/$Q$47*$D$193*#REF!-$P$47/$Q$47*$C$20*$F$21</f>
        <v>#REF!</v>
      </c>
      <c r="Q90" s="164" t="e">
        <f>(SQRT(((-#REF!*SIN($F$18*PI()/180)*$F$21+#REF!*SIN($I$18*PI()/180)*$I$21)*$C$25*1000)^2+(0.001*$C$25*1000*$F$21)^2)/$C$30+(-#REF!*COS($F$18*PI()/180)*$F$21-#REF!*COS($I$18*PI()/180)*$I$21)*$C$25*1000)/9.81*$O$99/$Q$47*$F$193*#REF!-$P$47/$Q$47*$C$20*$F$21</f>
        <v>#REF!</v>
      </c>
      <c r="R90" s="199" t="e">
        <f>(-#REF!*COS($F$18*PI()/180)*$F$21-#REF!*COS($I$18*PI()/180)*$I$21)*$N$99*$C$25*1000/9.81/$S$47*$D$193*#REF!-$R$47/$S$47*$C$20*$F$21</f>
        <v>#REF!</v>
      </c>
      <c r="S90" s="164" t="e">
        <f>(SQRT(((-#REF!*SIN($F$18*PI()/180)*$F$21+#REF!*SIN($I$18*PI()/180)*$I$21)*$C$25*1000)^2+(0.001*$C$25*1000*$F$21)^2)/$C$30+(-#REF!*COS($F$18*PI()/180)*$F$21-#REF!*COS($I$18*PI()/180)*$I$21)*$C$25*1000)/9.81*$O$99/$S$47*$F$193*#REF!-$R$47/$S$47*$C$20*$F$21</f>
        <v>#REF!</v>
      </c>
      <c r="T90" s="199" t="e">
        <f>(-#REF!*COS($F$18*PI()/180)*$F$21-#REF!*COS($I$18*PI()/180)*$I$21)*$N$99*$C$25*1000/9.81/$U$47*$D$193*#REF!-$T$47/$U$47*$C$20*$F$21</f>
        <v>#REF!</v>
      </c>
      <c r="U90" s="164" t="e">
        <f>(SQRT(((-#REF!*SIN($F$18*PI()/180)*$F$21+#REF!*SIN($I$18*PI()/180)*$I$21)*$C$25*1000)^2+(0.001*$C$25*1000*$F$21)^2)/$C$30+(-#REF!*COS($F$18*PI()/180)*$F$21-#REF!*COS($I$18*PI()/180)*$I$21)*$C$25*1000)/9.81*$O$99/$U$47*$F$193*#REF!-$T$47/$U$47*$C$20*$F$21</f>
        <v>#REF!</v>
      </c>
      <c r="V90" s="199" t="e">
        <f>(-#REF!*COS($F$18*PI()/180)*$F$21-#REF!*COS($I$18*PI()/180)*$I$21)*$N$99*$C$25*1000/9.81/$W$47*$D$193*#REF!-$V$47/$W$47*$C$20*$F$21</f>
        <v>#REF!</v>
      </c>
      <c r="W90" s="164" t="e">
        <f>(SQRT(((-#REF!*SIN($F$18*PI()/180)*$F$21+#REF!*SIN($I$18*PI()/180)*$I$21)*$C$25*1000)^2+(0.001*$C$25*1000*$F$21)^2)/$C$30+(-#REF!*COS($F$18*PI()/180)*$F$21-#REF!*COS($I$18*PI()/180)*$I$21)*$C$25*1000)/9.81*$O$99/$W$47*$F$193*#REF!-$V$47/$W$47*$C$20*$F$21</f>
        <v>#REF!</v>
      </c>
      <c r="X90" s="199" t="e">
        <f>(-#REF!*COS($F$18*PI()/180)*$F$21-#REF!*COS($I$18*PI()/180)*$I$21)*$N$99*$C$25*1000/9.81/$Y$47*$D$193*#REF!-$X$47/$Y$47*$C$20*$F$21</f>
        <v>#REF!</v>
      </c>
      <c r="Y90" s="164" t="e">
        <f>(SQRT(((-#REF!*SIN($F$18*PI()/180)*$F$21+#REF!*SIN($I$18*PI()/180)*$I$21)*$C$25*1000)^2+(0.001*$C$25*1000*$F$21)^2)/$C$30+(-#REF!*COS($F$18*PI()/180)*$F$21-#REF!*COS($I$18*PI()/180)*$I$21)*$C$25*1000)/9.81*$O$99/$Y$47*$F$193*#REF!-$X$47/$Y$47*$C$20*$F$21</f>
        <v>#REF!</v>
      </c>
      <c r="Z90" s="199">
        <f ca="1">(-'int. presets cp_10d+wd'!M29*COS($F$18*PI()/180)*$F$21-'int. presets cp_10d+wd'!M38*COS($I$18*PI()/180)*$I$21)*$N$99*$C$25*1000/9.81/$AA$47*$D$193*'int. presets cp_10d+wd'!$M$246-$Z$47/$AA$47*$C$20*$F$21</f>
        <v>-6.5191432681354442</v>
      </c>
      <c r="AA90" s="1028">
        <f ca="1">(SQRT(((-'int. presets cp_10d+wd'!H29*SIN($F$18*PI()/180)*$F$21+'int. presets cp_10d+wd'!H38*SIN($I$18*PI()/180)*$I$21)*$C$25*1000)^2+(0.001*$C$25*1000*$F$21)^2)/$C$30+(-'int. presets cp_10d+wd'!H29*COS($F$18*PI()/180)*$F$21-'int. presets cp_10d+wd'!H38*COS($I$18*PI()/180)*$I$21)*$C$25*1000)/9.81*$O$99/$AA$47*$F$193*'int. presets cp_10d+wd'!$H$246-$Z$47/$AA$47*$C$20*$F$21</f>
        <v>6.0029790422835418</v>
      </c>
      <c r="AB90" s="18"/>
    </row>
    <row r="91" spans="2:136" s="75" customFormat="1" ht="13.5" customHeight="1" x14ac:dyDescent="0.2">
      <c r="B91" s="1580" t="s">
        <v>464</v>
      </c>
      <c r="C91" s="1581"/>
      <c r="D91" s="1582"/>
      <c r="E91" s="347" t="s">
        <v>461</v>
      </c>
      <c r="F91" s="1057" t="e">
        <f t="shared" si="69"/>
        <v>#REF!</v>
      </c>
      <c r="G91" s="1057" t="e">
        <f t="shared" si="24"/>
        <v>#REF!</v>
      </c>
      <c r="H91" s="1057" t="e">
        <f t="shared" si="25"/>
        <v>#REF!</v>
      </c>
      <c r="I91" s="1054" t="e">
        <f t="shared" si="26"/>
        <v>#REF!</v>
      </c>
      <c r="J91" s="1057" t="e">
        <f t="shared" si="27"/>
        <v>#REF!</v>
      </c>
      <c r="K91" s="1064" t="e">
        <f t="shared" si="28"/>
        <v>#REF!</v>
      </c>
      <c r="L91" s="1011">
        <f t="shared" ca="1" si="29"/>
        <v>6.0029790422835418</v>
      </c>
      <c r="M91" s="940">
        <f t="shared" ca="1" si="30"/>
        <v>13.234287656199141</v>
      </c>
      <c r="N91" s="1025" t="e">
        <f>(-#REF!*COS($F$18*PI()/180)*$F$21-#REF!*COS($I$18*PI()/180)*$I$21)*$N$99*$C$25*1000/9.81/$O$47*$D$193*#REF!-$N$47/$O$47*$C$20*$F$21</f>
        <v>#REF!</v>
      </c>
      <c r="O91" s="75" t="e">
        <f>(SQRT(((-#REF!*SIN($F$18*PI()/180)*$F$21+#REF!*SIN($I$18*PI()/180)*$I$21)*$C$25*1000)^2+(0.001*$C$25*1000*$F$21)^2)/$C$30+(-#REF!*COS($F$18*PI()/180)*$F$21-#REF!*COS($I$18*PI()/180)*$I$21)*$C$25*1000)/9.81*$O$99/$O$47*$F$193*#REF!-$N$47/$O$47*$C$20*$F$21</f>
        <v>#REF!</v>
      </c>
      <c r="P91" s="161" t="e">
        <f>(-#REF!*COS($F$18*PI()/180)*$F$21-#REF!*COS($I$18*PI()/180)*$I$21)*$N$99*$C$25*1000/9.81/$Q$47*$D$193*#REF!-$P$47/$Q$47*$C$20*$F$21</f>
        <v>#REF!</v>
      </c>
      <c r="Q91" s="162" t="e">
        <f>(SQRT(((-#REF!*SIN($F$18*PI()/180)*$F$21+#REF!*SIN($I$18*PI()/180)*$I$21)*$C$25*1000)^2+(0.001*$C$25*1000*$F$21)^2)/$C$30+(-#REF!*COS($F$18*PI()/180)*$F$21-#REF!*COS($I$18*PI()/180)*$I$21)*$C$25*1000)/9.81*$O$99/$Q$47*$F$193*#REF!-$P$47/$Q$47*$C$20*$F$21</f>
        <v>#REF!</v>
      </c>
      <c r="R91" s="161" t="e">
        <f>(-#REF!*COS($F$18*PI()/180)*$F$21-#REF!*COS($I$18*PI()/180)*$I$21)*$N$99*$C$25*1000/9.81/$S$47*$D$193*#REF!-$R$47/$S$47*$C$20*$F$21</f>
        <v>#REF!</v>
      </c>
      <c r="S91" s="162" t="e">
        <f>(SQRT(((-#REF!*SIN($F$18*PI()/180)*$F$21+#REF!*SIN($I$18*PI()/180)*$I$21)*$C$25*1000)^2+(0.001*$C$25*1000*$F$21)^2)/$C$30+(-#REF!*COS($F$18*PI()/180)*$F$21-#REF!*COS($I$18*PI()/180)*$I$21)*$C$25*1000)/9.81*$O$99/$S$47*$F$193*#REF!-$R$47/$S$47*$C$20*$F$21</f>
        <v>#REF!</v>
      </c>
      <c r="T91" s="161" t="e">
        <f>(-#REF!*COS($F$18*PI()/180)*$F$21-#REF!*COS($I$18*PI()/180)*$I$21)*$N$99*$C$25*1000/9.81/$U$47*$D$193*#REF!-$T$47/$U$47*$C$20*$F$21</f>
        <v>#REF!</v>
      </c>
      <c r="U91" s="162" t="e">
        <f>(SQRT(((-#REF!*SIN($F$18*PI()/180)*$F$21+#REF!*SIN($I$18*PI()/180)*$I$21)*$C$25*1000)^2+(0.001*$C$25*1000*$F$21)^2)/$C$30+(-#REF!*COS($F$18*PI()/180)*$F$21-#REF!*COS($I$18*PI()/180)*$I$21)*$C$25*1000)/9.81*$O$99/$U$47*$F$193*#REF!-$T$47/$U$47*$C$20*$F$21</f>
        <v>#REF!</v>
      </c>
      <c r="V91" s="161" t="e">
        <f>(-#REF!*COS($F$18*PI()/180)*$F$21-#REF!*COS($I$18*PI()/180)*$I$21)*$N$99*$C$25*1000/9.81/$W$47*$D$193*#REF!-$V$47/$W$47*$C$20*$F$21</f>
        <v>#REF!</v>
      </c>
      <c r="W91" s="162" t="e">
        <f>(SQRT(((-#REF!*SIN($F$18*PI()/180)*$F$21+#REF!*SIN($I$18*PI()/180)*$I$21)*$C$25*1000)^2+(0.001*$C$25*1000*$F$21)^2)/$C$30+(-#REF!*COS($F$18*PI()/180)*$F$21-#REF!*COS($I$18*PI()/180)*$I$21)*$C$25*1000)/9.81*$O$99/$W$47*$F$193*#REF!-$V$47/$W$47*$C$20*$F$21</f>
        <v>#REF!</v>
      </c>
      <c r="X91" s="161" t="e">
        <f>(-#REF!*COS($F$18*PI()/180)*$F$21-#REF!*COS($I$18*PI()/180)*$I$21)*$N$99*$C$25*1000/9.81/$Y$47*$D$193*#REF!-$X$47/$Y$47*$C$20*$F$21</f>
        <v>#REF!</v>
      </c>
      <c r="Y91" s="162" t="e">
        <f>(SQRT(((-#REF!*SIN($F$18*PI()/180)*$F$21+#REF!*SIN($I$18*PI()/180)*$I$21)*$C$25*1000)^2+(0.001*$C$25*1000*$F$21)^2)/$C$30+(-#REF!*COS($F$18*PI()/180)*$F$21-#REF!*COS($I$18*PI()/180)*$I$21)*$C$25*1000)/9.81*$O$99/$Y$47*$F$193*#REF!-$X$47/$Y$47*$C$20*$F$21</f>
        <v>#REF!</v>
      </c>
      <c r="Z91" s="161">
        <f ca="1">(-'int. presets cp_10d+wd'!M30*COS($F$18*PI()/180)*$F$21-'int. presets cp_10d+wd'!M39*COS($I$18*PI()/180)*$I$21)*$N$99*$C$25*1000/9.81/$AA$47*$D$193*'int. presets cp_10d+wd'!$M$246-$Z$47/$AA$47*$C$20*$F$21</f>
        <v>-8.3833751989458882</v>
      </c>
      <c r="AA91" s="1030">
        <f ca="1">(SQRT(((-'int. presets cp_10d+wd'!H30*SIN($F$18*PI()/180)*$F$21+'int. presets cp_10d+wd'!H39*SIN($I$18*PI()/180)*$I$21)*$C$25*1000)^2+(0.001*$C$25*1000*$F$21)^2)/$C$30+(-'int. presets cp_10d+wd'!H30*COS($F$18*PI()/180)*$F$21-'int. presets cp_10d+wd'!H39*COS($I$18*PI()/180)*$I$21)*$C$25*1000)/9.81*$O$99/$AA$47*$F$193*'int. presets cp_10d+wd'!$H$246-$Z$47/$AA$47*$C$20*$F$21</f>
        <v>6.0029790422835418</v>
      </c>
      <c r="AB91" s="18"/>
    </row>
    <row r="92" spans="2:136" s="75" customFormat="1" ht="13.5" customHeight="1" thickBot="1" x14ac:dyDescent="0.25">
      <c r="B92" s="1586"/>
      <c r="C92" s="1587"/>
      <c r="D92" s="1588"/>
      <c r="E92" s="345" t="s">
        <v>462</v>
      </c>
      <c r="F92" s="1055" t="e">
        <f t="shared" si="69"/>
        <v>#REF!</v>
      </c>
      <c r="G92" s="1055" t="e">
        <f t="shared" si="24"/>
        <v>#REF!</v>
      </c>
      <c r="H92" s="1055" t="e">
        <f t="shared" si="25"/>
        <v>#REF!</v>
      </c>
      <c r="I92" s="1056" t="e">
        <f t="shared" si="26"/>
        <v>#REF!</v>
      </c>
      <c r="J92" s="1055" t="e">
        <f t="shared" si="27"/>
        <v>#REF!</v>
      </c>
      <c r="K92" s="1063" t="e">
        <f t="shared" si="28"/>
        <v>#REF!</v>
      </c>
      <c r="L92" s="1012">
        <f t="shared" ca="1" si="29"/>
        <v>6.0029790422835418</v>
      </c>
      <c r="M92" s="941">
        <f t="shared" ca="1" si="30"/>
        <v>13.234287656199141</v>
      </c>
      <c r="N92" s="1027" t="e">
        <f>(-#REF!*COS($F$18*PI()/180)*$F$21-#REF!*COS($I$18*PI()/180)*$I$21)*$N$99*$C$25*1000/9.81/$O$47*$D$193*#REF!-$N$47/$O$47*$C$20*$F$21</f>
        <v>#REF!</v>
      </c>
      <c r="O92" s="936" t="e">
        <f>(SQRT(((-#REF!*SIN($F$18*PI()/180)*$F$21+#REF!*SIN($I$18*PI()/180)*$I$21)*$C$25*1000)^2+(0.001*$C$25*1000*$F$21)^2)/$C$30+(-#REF!*COS($F$18*PI()/180)*$F$21-#REF!*COS($I$18*PI()/180)*$I$21)*$C$25*1000)/9.81*$O$99/$O$47*$F$193*#REF!-$N$47/$O$47*$C$20*$F$21</f>
        <v>#REF!</v>
      </c>
      <c r="P92" s="199" t="e">
        <f>(-#REF!*COS($F$18*PI()/180)*$F$21-#REF!*COS($I$18*PI()/180)*$I$21)*$N$99*$C$25*1000/9.81/$Q$47*$D$193*#REF!-$P$47/$Q$47*$C$20*$F$21</f>
        <v>#REF!</v>
      </c>
      <c r="Q92" s="164" t="e">
        <f>(SQRT(((-#REF!*SIN($F$18*PI()/180)*$F$21+#REF!*SIN($I$18*PI()/180)*$I$21)*$C$25*1000)^2+(0.001*$C$25*1000*$F$21)^2)/$C$30+(-#REF!*COS($F$18*PI()/180)*$F$21-#REF!*COS($I$18*PI()/180)*$I$21)*$C$25*1000)/9.81*$O$99/$Q$47*$F$193*#REF!-$P$47/$Q$47*$C$20*$F$21</f>
        <v>#REF!</v>
      </c>
      <c r="R92" s="199" t="e">
        <f>(-#REF!*COS($F$18*PI()/180)*$F$21-#REF!*COS($I$18*PI()/180)*$I$21)*$N$99*$C$25*1000/9.81/$S$47*$D$193*#REF!-$R$47/$S$47*$C$20*$F$21</f>
        <v>#REF!</v>
      </c>
      <c r="S92" s="164" t="e">
        <f>(SQRT(((-#REF!*SIN($F$18*PI()/180)*$F$21+#REF!*SIN($I$18*PI()/180)*$I$21)*$C$25*1000)^2+(0.001*$C$25*1000*$F$21)^2)/$C$30+(-#REF!*COS($F$18*PI()/180)*$F$21-#REF!*COS($I$18*PI()/180)*$I$21)*$C$25*1000)/9.81*$O$99/$S$47*$F$193*#REF!-$R$47/$S$47*$C$20*$F$21</f>
        <v>#REF!</v>
      </c>
      <c r="T92" s="199" t="e">
        <f>(-#REF!*COS($F$18*PI()/180)*$F$21-#REF!*COS($I$18*PI()/180)*$I$21)*$N$99*$C$25*1000/9.81/$U$47*$D$193*#REF!-$T$47/$U$47*$C$20*$F$21</f>
        <v>#REF!</v>
      </c>
      <c r="U92" s="164" t="e">
        <f>(SQRT(((-#REF!*SIN($F$18*PI()/180)*$F$21+#REF!*SIN($I$18*PI()/180)*$I$21)*$C$25*1000)^2+(0.001*$C$25*1000*$F$21)^2)/$C$30+(-#REF!*COS($F$18*PI()/180)*$F$21-#REF!*COS($I$18*PI()/180)*$I$21)*$C$25*1000)/9.81*$O$99/$U$47*$F$193*#REF!-$T$47/$U$47*$C$20*$F$21</f>
        <v>#REF!</v>
      </c>
      <c r="V92" s="199" t="e">
        <f>(-#REF!*COS($F$18*PI()/180)*$F$21-#REF!*COS($I$18*PI()/180)*$I$21)*$N$99*$C$25*1000/9.81/$W$47*$D$193*#REF!-$V$47/$W$47*$C$20*$F$21</f>
        <v>#REF!</v>
      </c>
      <c r="W92" s="164" t="e">
        <f>(SQRT(((-#REF!*SIN($F$18*PI()/180)*$F$21+#REF!*SIN($I$18*PI()/180)*$I$21)*$C$25*1000)^2+(0.001*$C$25*1000*$F$21)^2)/$C$30+(-#REF!*COS($F$18*PI()/180)*$F$21-#REF!*COS($I$18*PI()/180)*$I$21)*$C$25*1000)/9.81*$O$99/$W$47*$F$193*#REF!-$V$47/$W$47*$C$20*$F$21</f>
        <v>#REF!</v>
      </c>
      <c r="X92" s="199" t="e">
        <f>(-#REF!*COS($F$18*PI()/180)*$F$21-#REF!*COS($I$18*PI()/180)*$I$21)*$N$99*$C$25*1000/9.81/$Y$47*$D$193*#REF!-$X$47/$Y$47*$C$20*$F$21</f>
        <v>#REF!</v>
      </c>
      <c r="Y92" s="164" t="e">
        <f>(SQRT(((-#REF!*SIN($F$18*PI()/180)*$F$21+#REF!*SIN($I$18*PI()/180)*$I$21)*$C$25*1000)^2+(0.001*$C$25*1000*$F$21)^2)/$C$30+(-#REF!*COS($F$18*PI()/180)*$F$21-#REF!*COS($I$18*PI()/180)*$I$21)*$C$25*1000)/9.81*$O$99/$Y$47*$F$193*#REF!-$X$47/$Y$47*$C$20*$F$21</f>
        <v>#REF!</v>
      </c>
      <c r="Z92" s="199">
        <f ca="1">(-'int. presets cp_10d+wd'!M31*COS($F$18*PI()/180)*$F$21-'int. presets cp_10d+wd'!M40*COS($I$18*PI()/180)*$I$21)*$N$99*$C$25*1000/9.81/$AA$47*$D$193*'int. presets cp_10d+wd'!$M$246-$Z$47/$AA$47*$C$20*$F$21</f>
        <v>-7.722581787910638</v>
      </c>
      <c r="AA92" s="1028">
        <f ca="1">(SQRT(((-'int. presets cp_10d+wd'!H31*SIN($F$18*PI()/180)*$F$21+'int. presets cp_10d+wd'!H40*SIN($I$18*PI()/180)*$I$21)*$C$25*1000)^2+(0.001*$C$25*1000*$F$21)^2)/$C$30+(-'int. presets cp_10d+wd'!H31*COS($F$18*PI()/180)*$F$21-'int. presets cp_10d+wd'!H40*COS($I$18*PI()/180)*$I$21)*$C$25*1000)/9.81*$O$99/$AA$47*$F$193*'int. presets cp_10d+wd'!$H$246-$Z$47/$AA$47*$C$20*$F$21</f>
        <v>6.0029790422835418</v>
      </c>
      <c r="AB92" s="18"/>
    </row>
    <row r="93" spans="2:136" s="75" customFormat="1" ht="13.5" customHeight="1" x14ac:dyDescent="0.2">
      <c r="B93" s="1580" t="s">
        <v>465</v>
      </c>
      <c r="C93" s="1581"/>
      <c r="D93" s="1582"/>
      <c r="E93" s="347" t="s">
        <v>461</v>
      </c>
      <c r="F93" s="1057" t="e">
        <f t="shared" si="69"/>
        <v>#REF!</v>
      </c>
      <c r="G93" s="1057" t="e">
        <f t="shared" si="24"/>
        <v>#REF!</v>
      </c>
      <c r="H93" s="1057" t="e">
        <f t="shared" si="25"/>
        <v>#REF!</v>
      </c>
      <c r="I93" s="1054" t="e">
        <f t="shared" si="26"/>
        <v>#REF!</v>
      </c>
      <c r="J93" s="1057" t="e">
        <f t="shared" si="27"/>
        <v>#REF!</v>
      </c>
      <c r="K93" s="1064" t="e">
        <f t="shared" si="28"/>
        <v>#REF!</v>
      </c>
      <c r="L93" s="1011">
        <f t="shared" ca="1" si="29"/>
        <v>6.0029790422835418</v>
      </c>
      <c r="M93" s="940">
        <f t="shared" ca="1" si="30"/>
        <v>13.234287656199141</v>
      </c>
      <c r="N93" s="1025" t="e">
        <f>(-#REF!*COS($F$18*PI()/180)*$F$21-#REF!*COS($I$18*PI()/180)*$I$21)*$N$99*$C$25*1000/9.81/$O$47*$D$193*#REF!-$N$47/$O$47*$C$20*$F$21</f>
        <v>#REF!</v>
      </c>
      <c r="O93" s="75" t="e">
        <f>(SQRT(((-#REF!*SIN($F$18*PI()/180)*$F$21+#REF!*SIN($I$18*PI()/180)*$I$21)*$C$25*1000)^2+(0.001*$C$25*1000*$F$21)^2)/$C$30+(-#REF!*COS($F$18*PI()/180)*$F$21-#REF!*COS($I$18*PI()/180)*$I$21)*$C$25*1000)/9.81*$O$99/$O$47*$F$193*#REF!-$N$47/$O$47*$C$20*$F$21</f>
        <v>#REF!</v>
      </c>
      <c r="P93" s="161" t="e">
        <f>(-#REF!*COS($F$18*PI()/180)*$F$21-#REF!*COS($I$18*PI()/180)*$I$21)*$N$99*$C$25*1000/9.81/$Q$47*$D$193*#REF!-$P$47/$Q$47*$C$20*$F$21</f>
        <v>#REF!</v>
      </c>
      <c r="Q93" s="198" t="e">
        <f>(SQRT(((-#REF!*SIN($F$18*PI()/180)*$F$21+#REF!*SIN($I$18*PI()/180)*$I$21)*$C$25*1000)^2+(0.001*$C$25*1000*$F$21)^2)/$C$30+(-#REF!*COS($F$18*PI()/180)*$F$21-#REF!*COS($I$18*PI()/180)*$I$21)*$C$25*1000)/9.81*$O$99/$Q$47*$F$193*#REF!-$P$47/$Q$47*$C$20*$F$21</f>
        <v>#REF!</v>
      </c>
      <c r="R93" s="161" t="e">
        <f>(-#REF!*COS($F$18*PI()/180)*$F$21-#REF!*COS($I$18*PI()/180)*$I$21)*$N$99*$C$25*1000/9.81/$S$47*$D$193*#REF!-$R$47/$S$47*$C$20*$F$21</f>
        <v>#REF!</v>
      </c>
      <c r="S93" s="198" t="e">
        <f>(SQRT(((-#REF!*SIN($F$18*PI()/180)*$F$21+#REF!*SIN($I$18*PI()/180)*$I$21)*$C$25*1000)^2+(0.001*$C$25*1000*$F$21)^2)/$C$30+(-#REF!*COS($F$18*PI()/180)*$F$21-#REF!*COS($I$18*PI()/180)*$I$21)*$C$25*1000)/9.81*$O$99/$S$47*$F$193*#REF!-$R$47/$S$47*$C$20*$F$21</f>
        <v>#REF!</v>
      </c>
      <c r="T93" s="161" t="e">
        <f>(-#REF!*COS($F$18*PI()/180)*$F$21-#REF!*COS($I$18*PI()/180)*$I$21)*$N$99*$C$25*1000/9.81/$U$47*$D$193*#REF!-$T$47/$U$47*$C$20*$F$21</f>
        <v>#REF!</v>
      </c>
      <c r="U93" s="198" t="e">
        <f>(SQRT(((-#REF!*SIN($F$18*PI()/180)*$F$21+#REF!*SIN($I$18*PI()/180)*$I$21)*$C$25*1000)^2+(0.001*$C$25*1000*$F$21)^2)/$C$30+(-#REF!*COS($F$18*PI()/180)*$F$21-#REF!*COS($I$18*PI()/180)*$I$21)*$C$25*1000)/9.81*$O$99/$U$47*$F$193*#REF!-$T$47/$U$47*$C$20*$F$21</f>
        <v>#REF!</v>
      </c>
      <c r="V93" s="161" t="e">
        <f>(-#REF!*COS($F$18*PI()/180)*$F$21-#REF!*COS($I$18*PI()/180)*$I$21)*$N$99*$C$25*1000/9.81/$W$47*$D$193*#REF!-$V$47/$W$47*$C$20*$F$21</f>
        <v>#REF!</v>
      </c>
      <c r="W93" s="198" t="e">
        <f>(SQRT(((-#REF!*SIN($F$18*PI()/180)*$F$21+#REF!*SIN($I$18*PI()/180)*$I$21)*$C$25*1000)^2+(0.001*$C$25*1000*$F$21)^2)/$C$30+(-#REF!*COS($F$18*PI()/180)*$F$21-#REF!*COS($I$18*PI()/180)*$I$21)*$C$25*1000)/9.81*$O$99/$W$47*$F$193*#REF!-$V$47/$W$47*$C$20*$F$21</f>
        <v>#REF!</v>
      </c>
      <c r="X93" s="161" t="e">
        <f>(-#REF!*COS($F$18*PI()/180)*$F$21-#REF!*COS($I$18*PI()/180)*$I$21)*$N$99*$C$25*1000/9.81/$Y$47*$D$193*#REF!-$X$47/$Y$47*$C$20*$F$21</f>
        <v>#REF!</v>
      </c>
      <c r="Y93" s="198" t="e">
        <f>(SQRT(((-#REF!*SIN($F$18*PI()/180)*$F$21+#REF!*SIN($I$18*PI()/180)*$I$21)*$C$25*1000)^2+(0.001*$C$25*1000*$F$21)^2)/$C$30+(-#REF!*COS($F$18*PI()/180)*$F$21-#REF!*COS($I$18*PI()/180)*$I$21)*$C$25*1000)/9.81*$O$99/$Y$47*$F$193*#REF!-$X$47/$Y$47*$C$20*$F$21</f>
        <v>#REF!</v>
      </c>
      <c r="Z93" s="161">
        <f ca="1">(-'int. presets cp_10d+wd'!M32*COS($F$18*PI()/180)*$F$21-'int. presets cp_10d+wd'!M41*COS($I$18*PI()/180)*$I$21)*$N$99*$C$25*1000/9.81/$AA$47*$D$193*'int. presets cp_10d+wd'!$M$246-$Z$47/$AA$47*$C$20*$F$21</f>
        <v>-8.3833751989458882</v>
      </c>
      <c r="AA93" s="1026">
        <f ca="1">(SQRT(((-'int. presets cp_10d+wd'!H32*SIN($F$18*PI()/180)*$F$21+'int. presets cp_10d+wd'!H41*SIN($I$18*PI()/180)*$I$21)*$C$25*1000)^2+(0.001*$C$25*1000*$F$21)^2)/$C$30+(-'int. presets cp_10d+wd'!H32*COS($F$18*PI()/180)*$F$21-'int. presets cp_10d+wd'!H41*COS($I$18*PI()/180)*$I$21)*$C$25*1000)/9.81*$O$99/$AA$47*$F$193*'int. presets cp_10d+wd'!$H$246-$Z$47/$AA$47*$C$20*$F$21</f>
        <v>6.0029790422835418</v>
      </c>
      <c r="AB93" s="18"/>
    </row>
    <row r="94" spans="2:136" s="75" customFormat="1" ht="13.5" customHeight="1" thickBot="1" x14ac:dyDescent="0.25">
      <c r="B94" s="1583"/>
      <c r="C94" s="1584"/>
      <c r="D94" s="1585"/>
      <c r="E94" s="346" t="s">
        <v>462</v>
      </c>
      <c r="F94" s="1055" t="e">
        <f t="shared" si="69"/>
        <v>#REF!</v>
      </c>
      <c r="G94" s="1055" t="e">
        <f t="shared" si="24"/>
        <v>#REF!</v>
      </c>
      <c r="H94" s="1055" t="e">
        <f t="shared" si="25"/>
        <v>#REF!</v>
      </c>
      <c r="I94" s="1056" t="e">
        <f t="shared" si="26"/>
        <v>#REF!</v>
      </c>
      <c r="J94" s="1055" t="e">
        <f t="shared" si="27"/>
        <v>#REF!</v>
      </c>
      <c r="K94" s="1063" t="e">
        <f t="shared" si="28"/>
        <v>#REF!</v>
      </c>
      <c r="L94" s="1014">
        <f t="shared" ca="1" si="29"/>
        <v>6.0029790422835418</v>
      </c>
      <c r="M94" s="942">
        <f t="shared" ca="1" si="30"/>
        <v>13.234287656199141</v>
      </c>
      <c r="N94" s="1031" t="e">
        <f>(-#REF!*COS($F$18*PI()/180)*$F$21-#REF!*COS($I$18*PI()/180)*$I$21)*$N$99*$C$25*1000/9.81/$O$47*$D$193*#REF!-$N$47/$O$47*$C$20*$F$21</f>
        <v>#REF!</v>
      </c>
      <c r="O94" s="937" t="e">
        <f>(SQRT(((-#REF!*SIN($F$18*PI()/180)*$F$21+#REF!*SIN($I$18*PI()/180)*$I$21)*$C$25*1000)^2+(0.001*$C$25*1000*$F$21)^2)/$C$30+(-#REF!*COS($F$18*PI()/180)*$F$21-#REF!*COS($I$18*PI()/180)*$I$21)*$C$25*1000)/9.81*$O$99/$O$47*$F$193*#REF!-$N$47/$O$47*$C$20*$F$21</f>
        <v>#REF!</v>
      </c>
      <c r="P94" s="239" t="e">
        <f>(-#REF!*COS($F$18*PI()/180)*$F$21-#REF!*COS($I$18*PI()/180)*$I$21)*$N$99*$C$25*1000/9.81/$Q$47*$D$193*#REF!-$P$47/$Q$47*$C$20*$F$21</f>
        <v>#REF!</v>
      </c>
      <c r="Q94" s="240" t="e">
        <f>(SQRT(((-#REF!*SIN($F$18*PI()/180)*$F$21+#REF!*SIN($I$18*PI()/180)*$I$21)*$C$25*1000)^2+(0.001*$C$25*1000*$F$21)^2)/$C$30+(-#REF!*COS($F$18*PI()/180)*$F$21-#REF!*COS($I$18*PI()/180)*$I$21)*$C$25*1000)/9.81*$O$99/$Q$47*$F$193*#REF!-$P$47/$Q$47*$C$20*$F$21</f>
        <v>#REF!</v>
      </c>
      <c r="R94" s="239" t="e">
        <f>(-#REF!*COS($F$18*PI()/180)*$F$21-#REF!*COS($I$18*PI()/180)*$I$21)*$N$99*$C$25*1000/9.81/$S$47*$D$193*#REF!-$R$47/$S$47*$C$20*$F$21</f>
        <v>#REF!</v>
      </c>
      <c r="S94" s="240" t="e">
        <f>(SQRT(((-#REF!*SIN($F$18*PI()/180)*$F$21+#REF!*SIN($I$18*PI()/180)*$I$21)*$C$25*1000)^2+(0.001*$C$25*1000*$F$21)^2)/$C$30+(-#REF!*COS($F$18*PI()/180)*$F$21-#REF!*COS($I$18*PI()/180)*$I$21)*$C$25*1000)/9.81*$O$99/$S$47*$F$193*#REF!-$R$47/$S$47*$C$20*$F$21</f>
        <v>#REF!</v>
      </c>
      <c r="T94" s="239" t="e">
        <f>(-#REF!*COS($F$18*PI()/180)*$F$21-#REF!*COS($I$18*PI()/180)*$I$21)*$N$99*$C$25*1000/9.81/$U$47*$D$193*#REF!-$T$47/$U$47*$C$20*$F$21</f>
        <v>#REF!</v>
      </c>
      <c r="U94" s="240" t="e">
        <f>(SQRT(((-#REF!*SIN($F$18*PI()/180)*$F$21+#REF!*SIN($I$18*PI()/180)*$I$21)*$C$25*1000)^2+(0.001*$C$25*1000*$F$21)^2)/$C$30+(-#REF!*COS($F$18*PI()/180)*$F$21-#REF!*COS($I$18*PI()/180)*$I$21)*$C$25*1000)/9.81*$O$99/$U$47*$F$193*#REF!-$T$47/$U$47*$C$20*$F$21</f>
        <v>#REF!</v>
      </c>
      <c r="V94" s="239" t="e">
        <f>(-#REF!*COS($F$18*PI()/180)*$F$21-#REF!*COS($I$18*PI()/180)*$I$21)*$N$99*$C$25*1000/9.81/$W$47*$D$193*#REF!-$V$47/$W$47*$C$20*$F$21</f>
        <v>#REF!</v>
      </c>
      <c r="W94" s="240" t="e">
        <f>(SQRT(((-#REF!*SIN($F$18*PI()/180)*$F$21+#REF!*SIN($I$18*PI()/180)*$I$21)*$C$25*1000)^2+(0.001*$C$25*1000*$F$21)^2)/$C$30+(-#REF!*COS($F$18*PI()/180)*$F$21-#REF!*COS($I$18*PI()/180)*$I$21)*$C$25*1000)/9.81*$O$99/$W$47*$F$193*#REF!-$V$47/$W$47*$C$20*$F$21</f>
        <v>#REF!</v>
      </c>
      <c r="X94" s="239" t="e">
        <f>(-#REF!*COS($F$18*PI()/180)*$F$21-#REF!*COS($I$18*PI()/180)*$I$21)*$N$99*$C$25*1000/9.81/$Y$47*$D$193*#REF!-$X$47/$Y$47*$C$20*$F$21</f>
        <v>#REF!</v>
      </c>
      <c r="Y94" s="240" t="e">
        <f>(SQRT(((-#REF!*SIN($F$18*PI()/180)*$F$21+#REF!*SIN($I$18*PI()/180)*$I$21)*$C$25*1000)^2+(0.001*$C$25*1000*$F$21)^2)/$C$30+(-#REF!*COS($F$18*PI()/180)*$F$21-#REF!*COS($I$18*PI()/180)*$I$21)*$C$25*1000)/9.81*$O$99/$Y$47*$F$193*#REF!-$X$47/$Y$47*$C$20*$F$21</f>
        <v>#REF!</v>
      </c>
      <c r="Z94" s="239">
        <f ca="1">(-'int. presets cp_10d+wd'!M33*COS($F$18*PI()/180)*$F$21-'int. presets cp_10d+wd'!M42*COS($I$18*PI()/180)*$I$21)*$N$99*$C$25*1000/9.81/$AA$47*$D$193*'int. presets cp_10d+wd'!$M$246-$Z$47/$AA$47*$C$20*$F$21</f>
        <v>-8.3833751989458882</v>
      </c>
      <c r="AA94" s="1032">
        <f ca="1">(SQRT(((-'int. presets cp_10d+wd'!H33*SIN($F$18*PI()/180)*$F$21+'int. presets cp_10d+wd'!H42*SIN($I$18*PI()/180)*$I$21)*$C$25*1000)^2+(0.001*$C$25*1000*$F$21)^2)/$C$30+(-'int. presets cp_10d+wd'!H33*COS($F$18*PI()/180)*$F$21-'int. presets cp_10d+wd'!H42*COS($I$18*PI()/180)*$I$21)*$C$25*1000)/9.81*$O$99/$AA$47*$F$193*'int. presets cp_10d+wd'!$H$246-$Z$47/$AA$47*$C$20*$F$21</f>
        <v>6.0029790422835418</v>
      </c>
      <c r="AB94" s="18"/>
    </row>
    <row r="95" spans="2:136" s="178" customFormat="1" ht="13.5" customHeight="1" thickTop="1" thickBot="1" x14ac:dyDescent="0.2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75"/>
      <c r="BN95" s="75"/>
      <c r="BO95" s="75"/>
      <c r="BP95" s="75"/>
      <c r="BQ95" s="75"/>
      <c r="BR95" s="75"/>
      <c r="BS95" s="75"/>
      <c r="BT95" s="75"/>
      <c r="BU95" s="75"/>
      <c r="BV95" s="75"/>
      <c r="BW95" s="75"/>
      <c r="BX95" s="75"/>
      <c r="BY95" s="75"/>
      <c r="BZ95" s="75"/>
      <c r="CA95" s="75"/>
      <c r="CB95" s="75"/>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row>
    <row r="96" spans="2:136" s="178" customFormat="1" ht="13.5" customHeight="1" thickTop="1" thickBot="1" x14ac:dyDescent="0.3">
      <c r="B96" s="1671" t="s">
        <v>425</v>
      </c>
      <c r="C96" s="1672"/>
      <c r="D96" s="1673"/>
      <c r="E96" s="1655" t="s">
        <v>354</v>
      </c>
      <c r="F96" s="1656"/>
      <c r="G96" s="1656"/>
      <c r="H96" s="1656"/>
      <c r="I96" s="1656"/>
      <c r="J96" s="1656"/>
      <c r="K96" s="1656"/>
      <c r="L96" s="1657"/>
      <c r="M96" s="1051"/>
      <c r="N96" s="1702" t="s">
        <v>488</v>
      </c>
      <c r="O96" s="1687"/>
      <c r="P96" s="1695" t="s">
        <v>489</v>
      </c>
      <c r="Q96" s="1687"/>
      <c r="R96" s="1686" t="s">
        <v>490</v>
      </c>
      <c r="S96" s="1687"/>
      <c r="T96" s="1686" t="s">
        <v>491</v>
      </c>
      <c r="U96" s="1687"/>
      <c r="V96" s="1686" t="s">
        <v>492</v>
      </c>
      <c r="W96" s="1687"/>
      <c r="X96" s="1686" t="s">
        <v>493</v>
      </c>
      <c r="Y96" s="1687"/>
      <c r="Z96" s="1686" t="str">
        <f>C39&amp;"-Module Load-Sharing Area"</f>
        <v>25-Module Load-Sharing Area</v>
      </c>
      <c r="AA96" s="1688"/>
      <c r="BC96" s="75"/>
      <c r="BD96" s="75"/>
      <c r="BE96" s="75"/>
      <c r="BF96" s="75"/>
      <c r="BG96" s="75"/>
      <c r="BH96" s="75"/>
      <c r="BI96" s="75"/>
      <c r="BJ96" s="75"/>
      <c r="BK96" s="75"/>
      <c r="BL96" s="75"/>
      <c r="BM96" s="75"/>
      <c r="BN96" s="75"/>
      <c r="BO96" s="75"/>
      <c r="BP96" s="75"/>
      <c r="BQ96" s="75"/>
      <c r="BR96" s="75"/>
      <c r="BS96" s="75"/>
      <c r="BT96" s="75"/>
      <c r="BU96" s="75"/>
      <c r="BV96" s="75"/>
    </row>
    <row r="97" spans="2:134" s="178" customFormat="1" ht="13.5" customHeight="1" x14ac:dyDescent="0.25">
      <c r="B97" s="1674"/>
      <c r="C97" s="1675"/>
      <c r="D97" s="1676"/>
      <c r="E97" s="1181" t="s">
        <v>424</v>
      </c>
      <c r="F97" s="1652" t="s">
        <v>482</v>
      </c>
      <c r="G97" s="1652" t="s">
        <v>483</v>
      </c>
      <c r="H97" s="1652" t="s">
        <v>484</v>
      </c>
      <c r="I97" s="1652" t="s">
        <v>485</v>
      </c>
      <c r="J97" s="1652" t="s">
        <v>487</v>
      </c>
      <c r="K97" s="1652" t="s">
        <v>486</v>
      </c>
      <c r="L97" s="1668" t="str">
        <f>C39&amp;"-Module
Load-Sharing Area"</f>
        <v>25-Module
Load-Sharing Area</v>
      </c>
      <c r="M97" s="1065" t="s">
        <v>518</v>
      </c>
      <c r="N97" s="1703" t="s">
        <v>355</v>
      </c>
      <c r="O97" s="1691" t="s">
        <v>356</v>
      </c>
      <c r="P97" s="1689" t="s">
        <v>355</v>
      </c>
      <c r="Q97" s="1691" t="s">
        <v>356</v>
      </c>
      <c r="R97" s="1689" t="s">
        <v>355</v>
      </c>
      <c r="S97" s="1691" t="s">
        <v>356</v>
      </c>
      <c r="T97" s="1689" t="s">
        <v>355</v>
      </c>
      <c r="U97" s="1691" t="s">
        <v>356</v>
      </c>
      <c r="V97" s="1689" t="s">
        <v>355</v>
      </c>
      <c r="W97" s="1691" t="s">
        <v>356</v>
      </c>
      <c r="X97" s="1689" t="s">
        <v>355</v>
      </c>
      <c r="Y97" s="1691" t="s">
        <v>356</v>
      </c>
      <c r="Z97" s="1689" t="s">
        <v>355</v>
      </c>
      <c r="AA97" s="1709" t="s">
        <v>356</v>
      </c>
      <c r="BC97" s="75"/>
      <c r="BD97" s="75"/>
      <c r="BE97" s="75"/>
      <c r="BF97" s="75"/>
      <c r="BG97" s="75"/>
      <c r="BH97" s="75"/>
      <c r="BI97" s="75"/>
      <c r="BJ97" s="75"/>
      <c r="BK97" s="75"/>
      <c r="BL97" s="75"/>
      <c r="BM97" s="75"/>
      <c r="BN97" s="75"/>
      <c r="BO97" s="75"/>
      <c r="BP97" s="75"/>
      <c r="BQ97" s="75"/>
      <c r="BR97" s="75"/>
      <c r="BS97" s="75"/>
      <c r="BT97" s="75"/>
      <c r="BU97" s="75"/>
      <c r="BV97" s="75"/>
    </row>
    <row r="98" spans="2:134" s="178" customFormat="1" ht="13.5" customHeight="1" thickBot="1" x14ac:dyDescent="0.3">
      <c r="B98" s="1674"/>
      <c r="C98" s="1675"/>
      <c r="D98" s="1676"/>
      <c r="E98" s="1182"/>
      <c r="F98" s="1653"/>
      <c r="G98" s="1653"/>
      <c r="H98" s="1653"/>
      <c r="I98" s="1653"/>
      <c r="J98" s="1653"/>
      <c r="K98" s="1653"/>
      <c r="L98" s="1669"/>
      <c r="M98" s="1066" t="s">
        <v>520</v>
      </c>
      <c r="N98" s="1704"/>
      <c r="O98" s="1692"/>
      <c r="P98" s="1690"/>
      <c r="Q98" s="1692"/>
      <c r="R98" s="1690"/>
      <c r="S98" s="1692"/>
      <c r="T98" s="1690"/>
      <c r="U98" s="1692"/>
      <c r="V98" s="1690"/>
      <c r="W98" s="1692"/>
      <c r="X98" s="1690"/>
      <c r="Y98" s="1692"/>
      <c r="Z98" s="1690"/>
      <c r="AA98" s="1710"/>
      <c r="BC98" s="950"/>
      <c r="BD98" s="950"/>
      <c r="BE98" s="950"/>
      <c r="BF98" s="950"/>
      <c r="BG98" s="950"/>
      <c r="BH98" s="950"/>
      <c r="BI98" s="57"/>
      <c r="BJ98" s="57"/>
      <c r="BK98" s="57"/>
      <c r="BL98" s="57"/>
      <c r="BM98" s="57"/>
      <c r="BN98" s="57"/>
      <c r="BO98" s="57"/>
      <c r="BP98" s="57"/>
      <c r="BQ98" s="57"/>
      <c r="BR98" s="57"/>
      <c r="BS98" s="57"/>
      <c r="BT98" s="57"/>
      <c r="BU98" s="57"/>
      <c r="BV98" s="57"/>
    </row>
    <row r="99" spans="2:134" s="178" customFormat="1" ht="13.5" customHeight="1" thickBot="1" x14ac:dyDescent="0.3">
      <c r="B99" s="1677"/>
      <c r="C99" s="1678"/>
      <c r="D99" s="1679"/>
      <c r="E99" s="1698"/>
      <c r="F99" s="1654"/>
      <c r="G99" s="1654"/>
      <c r="H99" s="1654"/>
      <c r="I99" s="1654"/>
      <c r="J99" s="1654"/>
      <c r="K99" s="1654"/>
      <c r="L99" s="1670"/>
      <c r="M99" s="1066" t="s">
        <v>519</v>
      </c>
      <c r="N99" s="1015">
        <f>VLOOKUP(F11,C196:J211,5,FALSE)</f>
        <v>1</v>
      </c>
      <c r="O99" s="590">
        <f>VLOOKUP(F11,C196:J211,6,FALSE)</f>
        <v>1</v>
      </c>
      <c r="P99" s="589">
        <f>VLOOKUP(F11,C196:J211,5,FALSE)</f>
        <v>1</v>
      </c>
      <c r="Q99" s="590">
        <f>VLOOKUP(F11,C196:J211,6,FALSE)</f>
        <v>1</v>
      </c>
      <c r="R99" s="589">
        <f>VLOOKUP(F11,C196:J211,5,FALSE)</f>
        <v>1</v>
      </c>
      <c r="S99" s="590">
        <f>VLOOKUP(F11,C196:J211,6,FALSE)</f>
        <v>1</v>
      </c>
      <c r="T99" s="589">
        <f>VLOOKUP(F11,C196:J211,5,FALSE)</f>
        <v>1</v>
      </c>
      <c r="U99" s="590">
        <f>VLOOKUP(F11,C196:J211,6,FALSE)</f>
        <v>1</v>
      </c>
      <c r="V99" s="589">
        <f>VLOOKUP(F11,C196:J211,5,FALSE)</f>
        <v>1</v>
      </c>
      <c r="W99" s="590">
        <f>VLOOKUP(F11,C196:J211,6,FALSE)</f>
        <v>1</v>
      </c>
      <c r="X99" s="589">
        <f>VLOOKUP(F11,C196:J211,5,FALSE)</f>
        <v>1</v>
      </c>
      <c r="Y99" s="590">
        <f>VLOOKUP(F11,C196:J211,6,FALSE)</f>
        <v>1</v>
      </c>
      <c r="Z99" s="589">
        <f>VLOOKUP(F11,C196:J211,5,FALSE)</f>
        <v>1</v>
      </c>
      <c r="AA99" s="1016">
        <f>VLOOKUP(F11,C196:J211,6,FALSE)</f>
        <v>1</v>
      </c>
    </row>
    <row r="100" spans="2:134" s="178" customFormat="1" ht="13.5" customHeight="1" thickTop="1" thickBot="1" x14ac:dyDescent="0.3">
      <c r="B100" s="1683" t="s">
        <v>426</v>
      </c>
      <c r="C100" s="1684"/>
      <c r="D100" s="1684"/>
      <c r="E100" s="1685"/>
      <c r="F100" s="1650" t="s">
        <v>304</v>
      </c>
      <c r="G100" s="1650" t="s">
        <v>304</v>
      </c>
      <c r="H100" s="1650" t="s">
        <v>304</v>
      </c>
      <c r="I100" s="1650" t="s">
        <v>304</v>
      </c>
      <c r="J100" s="1650" t="s">
        <v>304</v>
      </c>
      <c r="K100" s="1650" t="s">
        <v>304</v>
      </c>
      <c r="L100" s="1705" t="s">
        <v>304</v>
      </c>
      <c r="M100" s="1705" t="s">
        <v>304</v>
      </c>
      <c r="N100" s="1699" t="s">
        <v>427</v>
      </c>
      <c r="O100" s="1694"/>
      <c r="P100" s="1693" t="s">
        <v>427</v>
      </c>
      <c r="Q100" s="1694"/>
      <c r="R100" s="1693" t="s">
        <v>427</v>
      </c>
      <c r="S100" s="1694"/>
      <c r="T100" s="1693" t="s">
        <v>427</v>
      </c>
      <c r="U100" s="1694"/>
      <c r="V100" s="1693" t="s">
        <v>427</v>
      </c>
      <c r="W100" s="1694"/>
      <c r="X100" s="1693" t="s">
        <v>427</v>
      </c>
      <c r="Y100" s="1694"/>
      <c r="Z100" s="1693" t="s">
        <v>427</v>
      </c>
      <c r="AA100" s="1707"/>
    </row>
    <row r="101" spans="2:134" s="178" customFormat="1" ht="26.25" customHeight="1" thickBot="1" x14ac:dyDescent="0.3">
      <c r="B101" s="1680" t="s">
        <v>429</v>
      </c>
      <c r="C101" s="1681"/>
      <c r="D101" s="1682"/>
      <c r="E101" s="349" t="s">
        <v>430</v>
      </c>
      <c r="F101" s="1651"/>
      <c r="G101" s="1651"/>
      <c r="H101" s="1651"/>
      <c r="I101" s="1651"/>
      <c r="J101" s="1651"/>
      <c r="K101" s="1651"/>
      <c r="L101" s="1706"/>
      <c r="M101" s="1706"/>
      <c r="N101" s="1017" t="s">
        <v>431</v>
      </c>
      <c r="O101" s="984" t="s">
        <v>432</v>
      </c>
      <c r="P101" s="983" t="s">
        <v>431</v>
      </c>
      <c r="Q101" s="984" t="s">
        <v>432</v>
      </c>
      <c r="R101" s="983" t="s">
        <v>431</v>
      </c>
      <c r="S101" s="984" t="s">
        <v>432</v>
      </c>
      <c r="T101" s="983" t="s">
        <v>431</v>
      </c>
      <c r="U101" s="984" t="s">
        <v>432</v>
      </c>
      <c r="V101" s="983" t="s">
        <v>431</v>
      </c>
      <c r="W101" s="984" t="s">
        <v>432</v>
      </c>
      <c r="X101" s="983" t="s">
        <v>431</v>
      </c>
      <c r="Y101" s="984" t="s">
        <v>432</v>
      </c>
      <c r="Z101" s="983" t="s">
        <v>431</v>
      </c>
      <c r="AA101" s="1018" t="s">
        <v>432</v>
      </c>
    </row>
    <row r="102" spans="2:134" s="178" customFormat="1" ht="13.5" customHeight="1" thickTop="1" thickBot="1" x14ac:dyDescent="0.3">
      <c r="B102" s="1663" t="s">
        <v>339</v>
      </c>
      <c r="C102" s="1664"/>
      <c r="D102" s="1664"/>
      <c r="E102" s="1664"/>
      <c r="F102" s="1664"/>
      <c r="G102" s="1664"/>
      <c r="H102" s="1664"/>
      <c r="I102" s="1664"/>
      <c r="J102" s="1664"/>
      <c r="K102" s="1664"/>
      <c r="L102" s="1665"/>
      <c r="M102" s="1049"/>
      <c r="N102" s="1004"/>
      <c r="O102" s="1005"/>
      <c r="P102" s="1005"/>
      <c r="Q102" s="1005"/>
      <c r="R102" s="1005"/>
      <c r="S102" s="1005"/>
      <c r="T102" s="1005"/>
      <c r="U102" s="1005"/>
      <c r="V102" s="1005"/>
      <c r="W102" s="1005"/>
      <c r="X102" s="1005"/>
      <c r="Y102" s="1005"/>
      <c r="Z102" s="1005"/>
      <c r="AA102" s="1009"/>
    </row>
    <row r="103" spans="2:134" s="178" customFormat="1" ht="13.5" customHeight="1" x14ac:dyDescent="0.25">
      <c r="B103" s="1580" t="s">
        <v>460</v>
      </c>
      <c r="C103" s="1581"/>
      <c r="D103" s="1582"/>
      <c r="E103" s="342" t="s">
        <v>461</v>
      </c>
      <c r="F103" s="1053" t="e">
        <f t="shared" ref="F103:F110" si="70">MAX(N103,O103)</f>
        <v>#REF!</v>
      </c>
      <c r="G103" s="1053" t="e">
        <f t="shared" ref="G103:G110" si="71">MAX(P103,Q103)</f>
        <v>#REF!</v>
      </c>
      <c r="H103" s="1053" t="e">
        <f>MAX(R103,S103)</f>
        <v>#REF!</v>
      </c>
      <c r="I103" s="1061" t="e">
        <f>MAX(T103,U103)</f>
        <v>#REF!</v>
      </c>
      <c r="J103" s="1053" t="e">
        <f>MAX(V103,W103)</f>
        <v>#REF!</v>
      </c>
      <c r="K103" s="1062" t="e">
        <f>MAX(X103,Y103)</f>
        <v>#REF!</v>
      </c>
      <c r="L103" s="943">
        <f ca="1">MAX(Z103,AA103)</f>
        <v>11.482064461736655</v>
      </c>
      <c r="M103" s="943">
        <f ca="1">L103*2.20462</f>
        <v>25.313588953633865</v>
      </c>
      <c r="N103" s="1058" t="e">
        <f>(-#REF!*COS($F$18*PI()/180)*$F$21)*$N$99*$C$25*1000/9.81/$O$47*$D$193*#REF!-$N$47/$O$47*$C$20*$F$21</f>
        <v>#REF!</v>
      </c>
      <c r="O103" s="406" t="e">
        <f>(SQRT(((-#REF!*SIN($F$18*PI()/180)*$F$21)*$C$25*1000)^2+(0.001*$C$25*1000*$F$21)^2)/$C$30+(-#REF!*COS($F$18*PI()/180)*$F$21)*$C$25*1000)/9.81*$O$99/$O$47*$F$193*#REF!-$N$47/$O$47*$C$20*$F$21</f>
        <v>#REF!</v>
      </c>
      <c r="P103" s="405" t="e">
        <f>(-#REF!*COS($F$18*PI()/180)*$F$21)*$P$99*$C$25*1000/9.81/$O$47*$D$193*#REF!-$N$47/$O$47*$C$20*$F$21</f>
        <v>#REF!</v>
      </c>
      <c r="Q103" s="406" t="e">
        <f>(SQRT(((-#REF!*SIN($F$18*PI()/180)*$F$21)*$C$25*1000)^2+(0.001*$C$25*1000*$F$21)^2)/$C$30+(-#REF!*COS($F$18*PI()/180)*$F$21)*$C$25*1000)/9.81*$Q$99/$O$47*$F$193*#REF!-$N$47/$O$47*$C$20*$F$21</f>
        <v>#REF!</v>
      </c>
      <c r="R103" s="405" t="e">
        <f>(-#REF!*COS($F$18*PI()/180)*$F$21)*$R$99*$C$25*1000/9.81/$O$47*$D$193*#REF!-$N$47/$O$47*$C$20*$F$21</f>
        <v>#REF!</v>
      </c>
      <c r="S103" s="406" t="e">
        <f>(SQRT(((-#REF!*SIN($F$18*PI()/180)*$F$21)*$C$25*1000)^2+(0.001*$C$25*1000*$F$21)^2)/$C$30+(-#REF!*COS($F$18*PI()/180)*$F$21)*$C$25*1000)/9.81*$S$99/$O$47*$F$193*#REF!-$N$47/$O$47*$C$20*$F$21</f>
        <v>#REF!</v>
      </c>
      <c r="T103" s="405" t="e">
        <f>(-#REF!*COS($F$18*PI()/180)*$F$21)*$T$99*$C$25*1000/9.81/$O$47*$D$193*#REF!-$N$47/$O$47*$C$20*$F$21</f>
        <v>#REF!</v>
      </c>
      <c r="U103" s="406" t="e">
        <f>(SQRT(((-#REF!*SIN($F$18*PI()/180)*$F$21)*$C$25*1000)^2+(0.001*$C$25*1000*$F$21)^2)/$C$30+(-#REF!*COS($F$18*PI()/180)*$F$21)*$C$25*1000)/9.81*$U$99/$O$47*$F$193*#REF!-$N$47/$O$47*$C$20*$F$21</f>
        <v>#REF!</v>
      </c>
      <c r="V103" s="405" t="e">
        <f>(-#REF!*COS($F$18*PI()/180)*$F$21)*$V$99*$C$25*1000/9.81/$O$47*$D$193*#REF!-$N$47/$O$47*$C$20*$F$21</f>
        <v>#REF!</v>
      </c>
      <c r="W103" s="406" t="e">
        <f>(SQRT(((-#REF!*SIN($F$18*PI()/180)*$F$21)*$C$25*1000)^2+(0.001*$C$25*1000*$F$21)^2)/$C$30+(-#REF!*COS($F$18*PI()/180)*$F$21)*$C$25*1000)/9.81*$W$99/$O$47*$F$193*#REF!-$N$47/$O$47*$C$20*$F$21</f>
        <v>#REF!</v>
      </c>
      <c r="X103" s="405" t="e">
        <f>(-#REF!*COS($F$18*PI()/180)*$F$21)*$X$99*$C$25*1000/9.81/$O$47*$D$193*#REF!-$N$47/$O$47*$C$20*$F$21</f>
        <v>#REF!</v>
      </c>
      <c r="Y103" s="406" t="e">
        <f>(SQRT(((-#REF!*SIN($F$18*PI()/180)*$F$21)*$C$25*1000)^2+(0.001*$C$25*1000*$F$21)^2)/$C$30+(-#REF!*COS($F$18*PI()/180)*$F$21)*$C$25*1000)/9.81*$Y$99/$O$47*$F$193*#REF!-$N$47/$O$47*$C$20*$F$21</f>
        <v>#REF!</v>
      </c>
      <c r="Z103" s="405">
        <f ca="1">(-'int. presets cp_10d'!I26*COS($F$18*PI()/180)*$F$21)*$Z$99*$C$25*1000/9.81/$O$47*$D$193*'int. presets cp_10d'!$I$214-$N$47/$O$47*$C$20*$F$21</f>
        <v>6.5862678523700637</v>
      </c>
      <c r="AA103" s="1020">
        <f ca="1">(SQRT(((-'int. presets cp_10d'!D26*SIN($F$18*PI()/180)*$F$21)*$C$25*1000)^2+(0.001*$C$25*1000*$F$21)^2)/$C$30+(-'int. presets cp_10d'!D26*COS($F$18*PI()/180)*$F$21)*$C$25*1000)/9.81*$AA$99/$O$47*$F$193*'int. presets cp_10d'!$D$214-$N$47/$O$47*$C$20*$F$21</f>
        <v>11.482064461736655</v>
      </c>
    </row>
    <row r="104" spans="2:134" ht="13.5" customHeight="1" thickBot="1" x14ac:dyDescent="0.25">
      <c r="B104" s="1586"/>
      <c r="C104" s="1587"/>
      <c r="D104" s="1588"/>
      <c r="E104" s="343" t="s">
        <v>462</v>
      </c>
      <c r="F104" s="1055" t="e">
        <f t="shared" si="70"/>
        <v>#REF!</v>
      </c>
      <c r="G104" s="1055" t="e">
        <f t="shared" si="71"/>
        <v>#REF!</v>
      </c>
      <c r="H104" s="1055" t="e">
        <f t="shared" ref="H104:H146" si="72">MAX(R104,S104)</f>
        <v>#REF!</v>
      </c>
      <c r="I104" s="1056" t="e">
        <f t="shared" ref="I104:I146" si="73">MAX(T104,U104)</f>
        <v>#REF!</v>
      </c>
      <c r="J104" s="1055" t="e">
        <f t="shared" ref="J104:J146" si="74">MAX(V104,W104)</f>
        <v>#REF!</v>
      </c>
      <c r="K104" s="1063" t="e">
        <f t="shared" ref="K104:K146" si="75">MAX(X104,Y104)</f>
        <v>#REF!</v>
      </c>
      <c r="L104" s="944">
        <f t="shared" ref="L104:L146" ca="1" si="76">MAX(Z104,AA104)</f>
        <v>9.7662635666250068</v>
      </c>
      <c r="M104" s="944">
        <f t="shared" ref="M104:M146" ca="1" si="77">L104*2.20462</f>
        <v>21.530899984252819</v>
      </c>
      <c r="N104" s="1059" t="e">
        <f>(-#REF!*COS($F$18*PI()/180)*$F$21)*$N$99*$C$25*1000/9.81/$O$47*$D$193*#REF!-$N$47/$O$47*$C$20*$F$21</f>
        <v>#REF!</v>
      </c>
      <c r="O104" s="408" t="e">
        <f>(SQRT(((-#REF!*SIN($F$18*PI()/180)*$F$21)*$C$25*1000)^2+(0.001*$C$25*1000*$F$21)^2)/$C$30+(-#REF!*COS($F$18*PI()/180)*$F$21)*$C$25*1000)/9.81*$O$99/$O$47*$F$193*#REF!-$N$47/$O$47*$C$20*$F$21</f>
        <v>#REF!</v>
      </c>
      <c r="P104" s="407" t="e">
        <f>(-#REF!*COS($F$18*PI()/180)*$F$21)*$P$99*$C$25*1000/9.81/$O$47*$D$193*#REF!-$N$47/$O$47*$C$20*$F$21</f>
        <v>#REF!</v>
      </c>
      <c r="Q104" s="408" t="e">
        <f>(SQRT(((-#REF!*SIN($F$18*PI()/180)*$F$21)*$C$25*1000)^2+(0.001*$C$25*1000*$F$21)^2)/$C$30+(-#REF!*COS($F$18*PI()/180)*$F$21)*$C$25*1000)/9.81*$Q$99/$O$47*$F$193*#REF!-$N$47/$O$47*$C$20*$F$21</f>
        <v>#REF!</v>
      </c>
      <c r="R104" s="407" t="e">
        <f>(-#REF!*COS($F$18*PI()/180)*$F$21)*$R$99*$C$25*1000/9.81/$O$47*$D$193*#REF!-$N$47/$O$47*$C$20*$F$21</f>
        <v>#REF!</v>
      </c>
      <c r="S104" s="408" t="e">
        <f>(SQRT(((-#REF!*SIN($F$18*PI()/180)*$F$21)*$C$25*1000)^2+(0.001*$C$25*1000*$F$21)^2)/$C$30+(-#REF!*COS($F$18*PI()/180)*$F$21)*$C$25*1000)/9.81*$S$99/$O$47*$F$193*#REF!-$N$47/$O$47*$C$20*$F$21</f>
        <v>#REF!</v>
      </c>
      <c r="T104" s="407" t="e">
        <f>(-#REF!*COS($F$18*PI()/180)*$F$21)*$T$99*$C$25*1000/9.81/$O$47*$D$193*#REF!-$N$47/$O$47*$C$20*$F$21</f>
        <v>#REF!</v>
      </c>
      <c r="U104" s="408" t="e">
        <f>(SQRT(((-#REF!*SIN($F$18*PI()/180)*$F$21)*$C$25*1000)^2+(0.001*$C$25*1000*$F$21)^2)/$C$30+(-#REF!*COS($F$18*PI()/180)*$F$21)*$C$25*1000)/9.81*$U$99/$O$47*$F$193*#REF!-$N$47/$O$47*$C$20*$F$21</f>
        <v>#REF!</v>
      </c>
      <c r="V104" s="407" t="e">
        <f>(-#REF!*COS($F$18*PI()/180)*$F$21)*$V$99*$C$25*1000/9.81/$O$47*$D$193*#REF!-$N$47/$O$47*$C$20*$F$21</f>
        <v>#REF!</v>
      </c>
      <c r="W104" s="408" t="e">
        <f>(SQRT(((-#REF!*SIN($F$18*PI()/180)*$F$21)*$C$25*1000)^2+(0.001*$C$25*1000*$F$21)^2)/$C$30+(-#REF!*COS($F$18*PI()/180)*$F$21)*$C$25*1000)/9.81*$W$99/$O$47*$F$193*#REF!-$N$47/$O$47*$C$20*$F$21</f>
        <v>#REF!</v>
      </c>
      <c r="X104" s="407" t="e">
        <f>(-#REF!*COS($F$18*PI()/180)*$F$21)*$X$99*$C$25*1000/9.81/$O$47*$D$193*#REF!-$N$47/$O$47*$C$20*$F$21</f>
        <v>#REF!</v>
      </c>
      <c r="Y104" s="408" t="e">
        <f>(SQRT(((-#REF!*SIN($F$18*PI()/180)*$F$21)*$C$25*1000)^2+(0.001*$C$25*1000*$F$21)^2)/$C$30+(-#REF!*COS($F$18*PI()/180)*$F$21)*$C$25*1000)/9.81*$Y$99/$O$47*$F$193*#REF!-$N$47/$O$47*$C$20*$F$21</f>
        <v>#REF!</v>
      </c>
      <c r="Z104" s="407">
        <f ca="1">(-'int. presets cp_10d'!I27*COS($F$18*PI()/180)*$F$21)*$Z$99*$C$25*1000/9.81/$O$47*$D$193*'int. presets cp_10d'!$I$214-$N$47/$O$47*$C$20*$F$21</f>
        <v>2.7717204961111577</v>
      </c>
      <c r="AA104" s="1022">
        <f ca="1">(SQRT(((-'int. presets cp_10d'!D27*SIN($F$18*PI()/180)*$F$21)*$C$25*1000)^2+(0.001*$C$25*1000*$F$21)^2)/$C$30+(-'int. presets cp_10d'!D27*COS($F$18*PI()/180)*$F$21)*$C$25*1000)/9.81*$AA$99/$O$47*$F$193*'int. presets cp_10d'!$D$214-$N$47/$O$47*$C$20*$F$21</f>
        <v>9.7662635666250068</v>
      </c>
      <c r="A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CW104" s="178"/>
      <c r="CX104" s="178"/>
      <c r="CY104" s="178"/>
      <c r="CZ104" s="178"/>
      <c r="DA104" s="178"/>
      <c r="DB104" s="178"/>
      <c r="DC104" s="178"/>
      <c r="DD104" s="178"/>
      <c r="DE104" s="178"/>
      <c r="DF104" s="178"/>
      <c r="DG104" s="178"/>
      <c r="DH104" s="178"/>
      <c r="DI104" s="178"/>
      <c r="DJ104" s="178"/>
      <c r="DK104" s="178"/>
      <c r="DL104" s="178"/>
      <c r="DM104" s="178"/>
      <c r="DN104" s="178"/>
      <c r="DO104" s="178"/>
      <c r="DP104" s="178"/>
      <c r="DQ104" s="178"/>
      <c r="DR104" s="178"/>
      <c r="DS104" s="178"/>
      <c r="DT104" s="178"/>
      <c r="DU104" s="178"/>
      <c r="DV104" s="178"/>
      <c r="DW104" s="178"/>
      <c r="DX104" s="178"/>
      <c r="DY104" s="178"/>
      <c r="DZ104" s="178"/>
      <c r="EA104" s="178"/>
      <c r="EB104" s="178"/>
      <c r="EC104" s="178"/>
      <c r="ED104" s="178"/>
    </row>
    <row r="105" spans="2:134" ht="13.5" customHeight="1" x14ac:dyDescent="0.2">
      <c r="B105" s="1580" t="s">
        <v>463</v>
      </c>
      <c r="C105" s="1581">
        <v>0</v>
      </c>
      <c r="D105" s="1582" t="s">
        <v>463</v>
      </c>
      <c r="E105" s="342" t="s">
        <v>461</v>
      </c>
      <c r="F105" s="1057" t="e">
        <f t="shared" si="70"/>
        <v>#REF!</v>
      </c>
      <c r="G105" s="1057" t="e">
        <f t="shared" si="71"/>
        <v>#REF!</v>
      </c>
      <c r="H105" s="1057" t="e">
        <f t="shared" si="72"/>
        <v>#REF!</v>
      </c>
      <c r="I105" s="1054" t="e">
        <f t="shared" si="73"/>
        <v>#REF!</v>
      </c>
      <c r="J105" s="1057" t="e">
        <f t="shared" si="74"/>
        <v>#REF!</v>
      </c>
      <c r="K105" s="1064" t="e">
        <f t="shared" si="75"/>
        <v>#REF!</v>
      </c>
      <c r="L105" s="945">
        <f t="shared" ca="1" si="76"/>
        <v>8.7250742235266543</v>
      </c>
      <c r="M105" s="945">
        <f t="shared" ca="1" si="77"/>
        <v>19.235473134671331</v>
      </c>
      <c r="N105" s="1060" t="e">
        <f>(-#REF!*COS($F$18*PI()/180)*$F$21)*$N$99*$C$25*1000/9.81/$O$47*$D$193*#REF!-$N$47/$O$47*$C$20*$F$21</f>
        <v>#REF!</v>
      </c>
      <c r="O105" s="410" t="e">
        <f>(SQRT(((-#REF!*SIN($F$18*PI()/180)*$F$21)*$C$25*1000)^2+(0.001*$C$25*1000*$F$21)^2)/$C$30+(-#REF!*COS($F$18*PI()/180)*$F$21)*$C$25*1000)/9.81*$O$99/$O$47*$F$193*#REF!-$N$47/$O$47*$C$20*$F$21</f>
        <v>#REF!</v>
      </c>
      <c r="P105" s="409" t="e">
        <f>(-#REF!*COS($F$18*PI()/180)*$F$21)*$P$99*$C$25*1000/9.81/$O$47*$D$193*#REF!-$N$47/$O$47*$C$20*$F$21</f>
        <v>#REF!</v>
      </c>
      <c r="Q105" s="410" t="e">
        <f>(SQRT(((-#REF!*SIN($F$18*PI()/180)*$F$21)*$C$25*1000)^2+(0.001*$C$25*1000*$F$21)^2)/$C$30+(-#REF!*COS($F$18*PI()/180)*$F$21)*$C$25*1000)/9.81*$Q$99/$O$47*$F$193*#REF!-$N$47/$O$47*$C$20*$F$21</f>
        <v>#REF!</v>
      </c>
      <c r="R105" s="409" t="e">
        <f>(-#REF!*COS($F$18*PI()/180)*$F$21)*$R$99*$C$25*1000/9.81/$O$47*$D$193*#REF!-$N$47/$O$47*$C$20*$F$21</f>
        <v>#REF!</v>
      </c>
      <c r="S105" s="410" t="e">
        <f>(SQRT(((-#REF!*SIN($F$18*PI()/180)*$F$21)*$C$25*1000)^2+(0.001*$C$25*1000*$F$21)^2)/$C$30+(-#REF!*COS($F$18*PI()/180)*$F$21)*$C$25*1000)/9.81*$S$99/$O$47*$F$193*#REF!-$N$47/$O$47*$C$20*$F$21</f>
        <v>#REF!</v>
      </c>
      <c r="T105" s="409" t="e">
        <f>(-#REF!*COS($F$18*PI()/180)*$F$21)*$T$99*$C$25*1000/9.81/$O$47*$D$193*#REF!-$N$47/$O$47*$C$20*$F$21</f>
        <v>#REF!</v>
      </c>
      <c r="U105" s="410" t="e">
        <f>(SQRT(((-#REF!*SIN($F$18*PI()/180)*$F$21)*$C$25*1000)^2+(0.001*$C$25*1000*$F$21)^2)/$C$30+(-#REF!*COS($F$18*PI()/180)*$F$21)*$C$25*1000)/9.81*$U$99/$O$47*$F$193*#REF!-$N$47/$O$47*$C$20*$F$21</f>
        <v>#REF!</v>
      </c>
      <c r="V105" s="409" t="e">
        <f>(-#REF!*COS($F$18*PI()/180)*$F$21)*$V$99*$C$25*1000/9.81/$O$47*$D$193*#REF!-$N$47/$O$47*$C$20*$F$21</f>
        <v>#REF!</v>
      </c>
      <c r="W105" s="410" t="e">
        <f>(SQRT(((-#REF!*SIN($F$18*PI()/180)*$F$21)*$C$25*1000)^2+(0.001*$C$25*1000*$F$21)^2)/$C$30+(-#REF!*COS($F$18*PI()/180)*$F$21)*$C$25*1000)/9.81*$W$99/$O$47*$F$193*#REF!-$N$47/$O$47*$C$20*$F$21</f>
        <v>#REF!</v>
      </c>
      <c r="X105" s="409" t="e">
        <f>(-#REF!*COS($F$18*PI()/180)*$F$21)*$X$99*$C$25*1000/9.81/$O$47*$D$193*#REF!-$N$47/$O$47*$C$20*$F$21</f>
        <v>#REF!</v>
      </c>
      <c r="Y105" s="410" t="e">
        <f>(SQRT(((-#REF!*SIN($F$18*PI()/180)*$F$21)*$C$25*1000)^2+(0.001*$C$25*1000*$F$21)^2)/$C$30+(-#REF!*COS($F$18*PI()/180)*$F$21)*$C$25*1000)/9.81*$Y$99/$O$47*$F$193*#REF!-$N$47/$O$47*$C$20*$F$21</f>
        <v>#REF!</v>
      </c>
      <c r="Z105" s="409">
        <f ca="1">(-'int. presets cp_10d'!I28*COS($F$18*PI()/180)*$F$21)*$Z$99*$C$25*1000/9.81/$O$47*$D$193*'int. presets cp_10d'!$I$214-$N$47/$O$47*$C$20*$F$21</f>
        <v>3.3942000862075403</v>
      </c>
      <c r="AA105" s="1024">
        <f ca="1">(SQRT(((-'int. presets cp_10d'!D28*SIN($F$18*PI()/180)*$F$21)*$C$25*1000)^2+(0.001*$C$25*1000*$F$21)^2)/$C$30+(-'int. presets cp_10d'!D28*COS($F$18*PI()/180)*$F$21)*$C$25*1000)/9.81*$AA$99/$O$47*$F$193*'int. presets cp_10d'!$D$214-$N$47/$O$47*$C$20*$F$21</f>
        <v>8.7250742235266543</v>
      </c>
      <c r="A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CW105" s="178"/>
      <c r="CX105" s="178"/>
      <c r="CY105" s="178"/>
      <c r="CZ105" s="178"/>
      <c r="DA105" s="178"/>
      <c r="DB105" s="178"/>
      <c r="DC105" s="178"/>
      <c r="DD105" s="178"/>
      <c r="DE105" s="178"/>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178"/>
      <c r="EB105" s="178"/>
      <c r="EC105" s="178"/>
      <c r="ED105" s="178"/>
    </row>
    <row r="106" spans="2:134" ht="13.5" customHeight="1" thickBot="1" x14ac:dyDescent="0.25">
      <c r="B106" s="1586" t="e">
        <v>#REF!</v>
      </c>
      <c r="C106" s="1587">
        <v>0</v>
      </c>
      <c r="D106" s="1588">
        <v>0</v>
      </c>
      <c r="E106" s="343" t="s">
        <v>462</v>
      </c>
      <c r="F106" s="1055" t="e">
        <f t="shared" si="70"/>
        <v>#REF!</v>
      </c>
      <c r="G106" s="1055" t="e">
        <f t="shared" si="71"/>
        <v>#REF!</v>
      </c>
      <c r="H106" s="1055" t="e">
        <f t="shared" si="72"/>
        <v>#REF!</v>
      </c>
      <c r="I106" s="1056" t="e">
        <f t="shared" si="73"/>
        <v>#REF!</v>
      </c>
      <c r="J106" s="1055" t="e">
        <f t="shared" si="74"/>
        <v>#REF!</v>
      </c>
      <c r="K106" s="1063" t="e">
        <f t="shared" si="75"/>
        <v>#REF!</v>
      </c>
      <c r="L106" s="944">
        <f t="shared" ca="1" si="76"/>
        <v>8.7041249763397204</v>
      </c>
      <c r="M106" s="944">
        <f t="shared" ca="1" si="77"/>
        <v>19.189288005338074</v>
      </c>
      <c r="N106" s="1059" t="e">
        <f>(-#REF!*COS($F$18*PI()/180)*$F$21)*$N$99*$C$25*1000/9.81/$O$47*$D$193*#REF!-$N$47/$O$47*$C$20*$F$21</f>
        <v>#REF!</v>
      </c>
      <c r="O106" s="408" t="e">
        <f>(SQRT(((-#REF!*SIN($F$18*PI()/180)*$F$21)*$C$25*1000)^2+(0.001*$C$25*1000*$F$21)^2)/$C$30+(-#REF!*COS($F$18*PI()/180)*$F$21)*$C$25*1000)/9.81*$O$99/$O$47*$F$193*#REF!-$N$47/$O$47*$C$20*$F$21</f>
        <v>#REF!</v>
      </c>
      <c r="P106" s="407" t="e">
        <f>(-#REF!*COS($F$18*PI()/180)*$F$21)*$P$99*$C$25*1000/9.81/$O$47*$D$193*#REF!-$N$47/$O$47*$C$20*$F$21</f>
        <v>#REF!</v>
      </c>
      <c r="Q106" s="408" t="e">
        <f>(SQRT(((-#REF!*SIN($F$18*PI()/180)*$F$21)*$C$25*1000)^2+(0.001*$C$25*1000*$F$21)^2)/$C$30+(-#REF!*COS($F$18*PI()/180)*$F$21)*$C$25*1000)/9.81*$Q$99/$O$47*$F$193*#REF!-$N$47/$O$47*$C$20*$F$21</f>
        <v>#REF!</v>
      </c>
      <c r="R106" s="407" t="e">
        <f>(-#REF!*COS($F$18*PI()/180)*$F$21)*$R$99*$C$25*1000/9.81/$O$47*$D$193*#REF!-$N$47/$O$47*$C$20*$F$21</f>
        <v>#REF!</v>
      </c>
      <c r="S106" s="408" t="e">
        <f>(SQRT(((-#REF!*SIN($F$18*PI()/180)*$F$21)*$C$25*1000)^2+(0.001*$C$25*1000*$F$21)^2)/$C$30+(-#REF!*COS($F$18*PI()/180)*$F$21)*$C$25*1000)/9.81*$S$99/$O$47*$F$193*#REF!-$N$47/$O$47*$C$20*$F$21</f>
        <v>#REF!</v>
      </c>
      <c r="T106" s="407" t="e">
        <f>(-#REF!*COS($F$18*PI()/180)*$F$21)*$T$99*$C$25*1000/9.81/$O$47*$D$193*#REF!-$N$47/$O$47*$C$20*$F$21</f>
        <v>#REF!</v>
      </c>
      <c r="U106" s="408" t="e">
        <f>(SQRT(((-#REF!*SIN($F$18*PI()/180)*$F$21)*$C$25*1000)^2+(0.001*$C$25*1000*$F$21)^2)/$C$30+(-#REF!*COS($F$18*PI()/180)*$F$21)*$C$25*1000)/9.81*$U$99/$O$47*$F$193*#REF!-$N$47/$O$47*$C$20*$F$21</f>
        <v>#REF!</v>
      </c>
      <c r="V106" s="407" t="e">
        <f>(-#REF!*COS($F$18*PI()/180)*$F$21)*$V$99*$C$25*1000/9.81/$O$47*$D$193*#REF!-$N$47/$O$47*$C$20*$F$21</f>
        <v>#REF!</v>
      </c>
      <c r="W106" s="408" t="e">
        <f>(SQRT(((-#REF!*SIN($F$18*PI()/180)*$F$21)*$C$25*1000)^2+(0.001*$C$25*1000*$F$21)^2)/$C$30+(-#REF!*COS($F$18*PI()/180)*$F$21)*$C$25*1000)/9.81*$W$99/$O$47*$F$193*#REF!-$N$47/$O$47*$C$20*$F$21</f>
        <v>#REF!</v>
      </c>
      <c r="X106" s="407" t="e">
        <f>(-#REF!*COS($F$18*PI()/180)*$F$21)*$X$99*$C$25*1000/9.81/$O$47*$D$193*#REF!-$N$47/$O$47*$C$20*$F$21</f>
        <v>#REF!</v>
      </c>
      <c r="Y106" s="408" t="e">
        <f>(SQRT(((-#REF!*SIN($F$18*PI()/180)*$F$21)*$C$25*1000)^2+(0.001*$C$25*1000*$F$21)^2)/$C$30+(-#REF!*COS($F$18*PI()/180)*$F$21)*$C$25*1000)/9.81*$Y$99/$O$47*$F$193*#REF!-$N$47/$O$47*$C$20*$F$21</f>
        <v>#REF!</v>
      </c>
      <c r="Z106" s="407">
        <f ca="1">(-'int. presets cp_10d'!I29*COS($F$18*PI()/180)*$F$21)*$Z$99*$C$25*1000/9.81/$O$47*$D$193*'int. presets cp_10d'!$I$214-$N$47/$O$47*$C$20*$F$21</f>
        <v>2.9751291376178841</v>
      </c>
      <c r="AA106" s="1022">
        <f ca="1">(SQRT(((-'int. presets cp_10d'!D29*SIN($F$18*PI()/180)*$F$21)*$C$25*1000)^2+(0.001*$C$25*1000*$F$21)^2)/$C$30+(-'int. presets cp_10d'!D29*COS($F$18*PI()/180)*$F$21)*$C$25*1000)/9.81*$AA$99/$O$47*$F$193*'int. presets cp_10d'!$D$214-$N$47/$O$47*$C$20*$F$21</f>
        <v>8.7041249763397204</v>
      </c>
      <c r="A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CW106" s="178"/>
      <c r="CX106" s="178"/>
      <c r="CY106" s="178"/>
      <c r="CZ106" s="178"/>
      <c r="DA106" s="178"/>
      <c r="DB106" s="178"/>
      <c r="DC106" s="178"/>
      <c r="DD106" s="178"/>
      <c r="DE106" s="178"/>
      <c r="DF106" s="178"/>
      <c r="DG106" s="178"/>
      <c r="DH106" s="178"/>
      <c r="DI106" s="178"/>
      <c r="DJ106" s="178"/>
      <c r="DK106" s="178"/>
      <c r="DL106" s="178"/>
      <c r="DM106" s="178"/>
      <c r="DN106" s="178"/>
      <c r="DO106" s="178"/>
      <c r="DP106" s="178"/>
      <c r="DQ106" s="178"/>
      <c r="DR106" s="178"/>
      <c r="DS106" s="178"/>
      <c r="DT106" s="178"/>
      <c r="DU106" s="178"/>
      <c r="DV106" s="178"/>
      <c r="DW106" s="178"/>
      <c r="DX106" s="178"/>
      <c r="DY106" s="178"/>
      <c r="DZ106" s="178"/>
      <c r="EA106" s="178"/>
      <c r="EB106" s="178"/>
      <c r="EC106" s="178"/>
      <c r="ED106" s="178"/>
    </row>
    <row r="107" spans="2:134" ht="13.5" customHeight="1" x14ac:dyDescent="0.2">
      <c r="B107" s="1580" t="s">
        <v>464</v>
      </c>
      <c r="C107" s="1581">
        <v>0</v>
      </c>
      <c r="D107" s="1582" t="s">
        <v>464</v>
      </c>
      <c r="E107" s="342" t="s">
        <v>461</v>
      </c>
      <c r="F107" s="1057" t="e">
        <f t="shared" si="70"/>
        <v>#REF!</v>
      </c>
      <c r="G107" s="1057" t="e">
        <f t="shared" si="71"/>
        <v>#REF!</v>
      </c>
      <c r="H107" s="1057" t="e">
        <f t="shared" si="72"/>
        <v>#REF!</v>
      </c>
      <c r="I107" s="1054" t="e">
        <f t="shared" si="73"/>
        <v>#REF!</v>
      </c>
      <c r="J107" s="1057" t="e">
        <f t="shared" si="74"/>
        <v>#REF!</v>
      </c>
      <c r="K107" s="1064" t="e">
        <f t="shared" si="75"/>
        <v>#REF!</v>
      </c>
      <c r="L107" s="945">
        <f t="shared" ca="1" si="76"/>
        <v>10.804747842572461</v>
      </c>
      <c r="M107" s="945">
        <f t="shared" ca="1" si="77"/>
        <v>23.820363188692095</v>
      </c>
      <c r="N107" s="1060" t="e">
        <f>(-#REF!*COS($F$18*PI()/180)*$F$21)*$N$99*$C$25*1000/9.81/$O$47*$D$193*#REF!-$N$47/$O$47*$C$20*$F$21</f>
        <v>#REF!</v>
      </c>
      <c r="O107" s="410" t="e">
        <f>(SQRT(((-#REF!*SIN($F$18*PI()/180)*$F$21)*$C$25*1000)^2+(0.001*$C$25*1000*$F$21)^2)/$C$30+(-#REF!*COS($F$18*PI()/180)*$F$21)*$C$25*1000)/9.81*$O$99/$O$47*$F$193*#REF!-$N$47/$O$47*$C$20*$F$21</f>
        <v>#REF!</v>
      </c>
      <c r="P107" s="409" t="e">
        <f>(-#REF!*COS($F$18*PI()/180)*$F$21)*$P$99*$C$25*1000/9.81/$O$47*$D$193*#REF!-$N$47/$O$47*$C$20*$F$21</f>
        <v>#REF!</v>
      </c>
      <c r="Q107" s="410" t="e">
        <f>(SQRT(((-#REF!*SIN($F$18*PI()/180)*$F$21)*$C$25*1000)^2+(0.001*$C$25*1000*$F$21)^2)/$C$30+(-#REF!*COS($F$18*PI()/180)*$F$21)*$C$25*1000)/9.81*$Q$99/$O$47*$F$193*#REF!-$N$47/$O$47*$C$20*$F$21</f>
        <v>#REF!</v>
      </c>
      <c r="R107" s="409" t="e">
        <f>(-#REF!*COS($F$18*PI()/180)*$F$21)*$R$99*$C$25*1000/9.81/$O$47*$D$193*#REF!-$N$47/$O$47*$C$20*$F$21</f>
        <v>#REF!</v>
      </c>
      <c r="S107" s="410" t="e">
        <f>(SQRT(((-#REF!*SIN($F$18*PI()/180)*$F$21)*$C$25*1000)^2+(0.001*$C$25*1000*$F$21)^2)/$C$30+(-#REF!*COS($F$18*PI()/180)*$F$21)*$C$25*1000)/9.81*$S$99/$O$47*$F$193*#REF!-$N$47/$O$47*$C$20*$F$21</f>
        <v>#REF!</v>
      </c>
      <c r="T107" s="409" t="e">
        <f>(-#REF!*COS($F$18*PI()/180)*$F$21)*$T$99*$C$25*1000/9.81/$O$47*$D$193*#REF!-$N$47/$O$47*$C$20*$F$21</f>
        <v>#REF!</v>
      </c>
      <c r="U107" s="410" t="e">
        <f>(SQRT(((-#REF!*SIN($F$18*PI()/180)*$F$21)*$C$25*1000)^2+(0.001*$C$25*1000*$F$21)^2)/$C$30+(-#REF!*COS($F$18*PI()/180)*$F$21)*$C$25*1000)/9.81*$U$99/$O$47*$F$193*#REF!-$N$47/$O$47*$C$20*$F$21</f>
        <v>#REF!</v>
      </c>
      <c r="V107" s="409" t="e">
        <f>(-#REF!*COS($F$18*PI()/180)*$F$21)*$V$99*$C$25*1000/9.81/$O$47*$D$193*#REF!-$N$47/$O$47*$C$20*$F$21</f>
        <v>#REF!</v>
      </c>
      <c r="W107" s="410" t="e">
        <f>(SQRT(((-#REF!*SIN($F$18*PI()/180)*$F$21)*$C$25*1000)^2+(0.001*$C$25*1000*$F$21)^2)/$C$30+(-#REF!*COS($F$18*PI()/180)*$F$21)*$C$25*1000)/9.81*$W$99/$O$47*$F$193*#REF!-$N$47/$O$47*$C$20*$F$21</f>
        <v>#REF!</v>
      </c>
      <c r="X107" s="409" t="e">
        <f>(-#REF!*COS($F$18*PI()/180)*$F$21)*$X$99*$C$25*1000/9.81/$O$47*$D$193*#REF!-$N$47/$O$47*$C$20*$F$21</f>
        <v>#REF!</v>
      </c>
      <c r="Y107" s="410" t="e">
        <f>(SQRT(((-#REF!*SIN($F$18*PI()/180)*$F$21)*$C$25*1000)^2+(0.001*$C$25*1000*$F$21)^2)/$C$30+(-#REF!*COS($F$18*PI()/180)*$F$21)*$C$25*1000)/9.81*$Y$99/$O$47*$F$193*#REF!-$N$47/$O$47*$C$20*$F$21</f>
        <v>#REF!</v>
      </c>
      <c r="Z107" s="409">
        <f ca="1">(-'int. presets cp_10d'!I30*COS($F$18*PI()/180)*$F$21)*$Z$99*$C$25*1000/9.81/$O$47*$D$193*'int. presets cp_10d'!$I$214-$N$47/$O$47*$C$20*$F$21</f>
        <v>10.804747842572461</v>
      </c>
      <c r="AA107" s="1024">
        <f ca="1">(SQRT(((-'int. presets cp_10d'!D30*SIN($F$18*PI()/180)*$F$21)*$C$25*1000)^2+(0.001*$C$25*1000*$F$21)^2)/$C$30+(-'int. presets cp_10d'!D30*COS($F$18*PI()/180)*$F$21)*$C$25*1000)/9.81*$AA$99/$O$47*$F$193*'int. presets cp_10d'!$D$214-$N$47/$O$47*$C$20*$F$21</f>
        <v>10.737136503688035</v>
      </c>
      <c r="A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CW107" s="178"/>
      <c r="CX107" s="178"/>
      <c r="CY107" s="178"/>
      <c r="CZ107" s="178"/>
      <c r="DA107" s="178"/>
      <c r="DB107" s="178"/>
      <c r="DC107" s="178"/>
      <c r="DD107" s="178"/>
      <c r="DE107" s="178"/>
      <c r="DF107" s="178"/>
      <c r="DG107" s="178"/>
      <c r="DH107" s="178"/>
      <c r="DI107" s="178"/>
      <c r="DJ107" s="178"/>
      <c r="DK107" s="178"/>
      <c r="DL107" s="178"/>
      <c r="DM107" s="178"/>
      <c r="DN107" s="178"/>
      <c r="DO107" s="178"/>
      <c r="DP107" s="178"/>
      <c r="DQ107" s="178"/>
      <c r="DR107" s="178"/>
      <c r="DS107" s="178"/>
      <c r="DT107" s="178"/>
      <c r="DU107" s="178"/>
      <c r="DV107" s="178"/>
      <c r="DW107" s="178"/>
      <c r="DX107" s="178"/>
      <c r="DY107" s="178"/>
      <c r="DZ107" s="178"/>
      <c r="EA107" s="178"/>
      <c r="EB107" s="178"/>
      <c r="EC107" s="178"/>
      <c r="ED107" s="178"/>
    </row>
    <row r="108" spans="2:134" ht="13.5" customHeight="1" thickBot="1" x14ac:dyDescent="0.25">
      <c r="B108" s="1586" t="e">
        <v>#REF!</v>
      </c>
      <c r="C108" s="1587">
        <v>0</v>
      </c>
      <c r="D108" s="1588">
        <v>0</v>
      </c>
      <c r="E108" s="343" t="s">
        <v>462</v>
      </c>
      <c r="F108" s="1055" t="e">
        <f t="shared" si="70"/>
        <v>#REF!</v>
      </c>
      <c r="G108" s="1055" t="e">
        <f t="shared" si="71"/>
        <v>#REF!</v>
      </c>
      <c r="H108" s="1055" t="e">
        <f t="shared" si="72"/>
        <v>#REF!</v>
      </c>
      <c r="I108" s="1056" t="e">
        <f t="shared" si="73"/>
        <v>#REF!</v>
      </c>
      <c r="J108" s="1055" t="e">
        <f t="shared" si="74"/>
        <v>#REF!</v>
      </c>
      <c r="K108" s="1063" t="e">
        <f t="shared" si="75"/>
        <v>#REF!</v>
      </c>
      <c r="L108" s="944">
        <f t="shared" ca="1" si="76"/>
        <v>8.5875955637480104</v>
      </c>
      <c r="M108" s="944">
        <f t="shared" ca="1" si="77"/>
        <v>18.932384931750136</v>
      </c>
      <c r="N108" s="1059" t="e">
        <f>(-#REF!*COS($F$18*PI()/180)*$F$21)*$N$99*$C$25*1000/9.81/$O$47*$D$193*#REF!-$N$47/$O$47*$C$20*$F$21</f>
        <v>#REF!</v>
      </c>
      <c r="O108" s="408" t="e">
        <f>(SQRT(((-#REF!*SIN($F$18*PI()/180)*$F$21)*$C$25*1000)^2+(0.001*$C$25*1000*$F$21)^2)/$C$30+(-#REF!*COS($F$18*PI()/180)*$F$21)*$C$25*1000)/9.81*$O$99/$O$47*$F$193*#REF!-$N$47/$O$47*$C$20*$F$21</f>
        <v>#REF!</v>
      </c>
      <c r="P108" s="407" t="e">
        <f>(-#REF!*COS($F$18*PI()/180)*$F$21)*$P$99*$C$25*1000/9.81/$O$47*$D$193*#REF!-$N$47/$O$47*$C$20*$F$21</f>
        <v>#REF!</v>
      </c>
      <c r="Q108" s="408" t="e">
        <f>(SQRT(((-#REF!*SIN($F$18*PI()/180)*$F$21)*$C$25*1000)^2+(0.001*$C$25*1000*$F$21)^2)/$C$30+(-#REF!*COS($F$18*PI()/180)*$F$21)*$C$25*1000)/9.81*$Q$99/$O$47*$F$193*#REF!-$N$47/$O$47*$C$20*$F$21</f>
        <v>#REF!</v>
      </c>
      <c r="R108" s="407" t="e">
        <f>(-#REF!*COS($F$18*PI()/180)*$F$21)*$R$99*$C$25*1000/9.81/$O$47*$D$193*#REF!-$N$47/$O$47*$C$20*$F$21</f>
        <v>#REF!</v>
      </c>
      <c r="S108" s="408" t="e">
        <f>(SQRT(((-#REF!*SIN($F$18*PI()/180)*$F$21)*$C$25*1000)^2+(0.001*$C$25*1000*$F$21)^2)/$C$30+(-#REF!*COS($F$18*PI()/180)*$F$21)*$C$25*1000)/9.81*$S$99/$O$47*$F$193*#REF!-$N$47/$O$47*$C$20*$F$21</f>
        <v>#REF!</v>
      </c>
      <c r="T108" s="407" t="e">
        <f>(-#REF!*COS($F$18*PI()/180)*$F$21)*$T$99*$C$25*1000/9.81/$O$47*$D$193*#REF!-$N$47/$O$47*$C$20*$F$21</f>
        <v>#REF!</v>
      </c>
      <c r="U108" s="408" t="e">
        <f>(SQRT(((-#REF!*SIN($F$18*PI()/180)*$F$21)*$C$25*1000)^2+(0.001*$C$25*1000*$F$21)^2)/$C$30+(-#REF!*COS($F$18*PI()/180)*$F$21)*$C$25*1000)/9.81*$U$99/$O$47*$F$193*#REF!-$N$47/$O$47*$C$20*$F$21</f>
        <v>#REF!</v>
      </c>
      <c r="V108" s="407" t="e">
        <f>(-#REF!*COS($F$18*PI()/180)*$F$21)*$V$99*$C$25*1000/9.81/$O$47*$D$193*#REF!-$N$47/$O$47*$C$20*$F$21</f>
        <v>#REF!</v>
      </c>
      <c r="W108" s="408" t="e">
        <f>(SQRT(((-#REF!*SIN($F$18*PI()/180)*$F$21)*$C$25*1000)^2+(0.001*$C$25*1000*$F$21)^2)/$C$30+(-#REF!*COS($F$18*PI()/180)*$F$21)*$C$25*1000)/9.81*$W$99/$O$47*$F$193*#REF!-$N$47/$O$47*$C$20*$F$21</f>
        <v>#REF!</v>
      </c>
      <c r="X108" s="407" t="e">
        <f>(-#REF!*COS($F$18*PI()/180)*$F$21)*$X$99*$C$25*1000/9.81/$O$47*$D$193*#REF!-$N$47/$O$47*$C$20*$F$21</f>
        <v>#REF!</v>
      </c>
      <c r="Y108" s="408" t="e">
        <f>(SQRT(((-#REF!*SIN($F$18*PI()/180)*$F$21)*$C$25*1000)^2+(0.001*$C$25*1000*$F$21)^2)/$C$30+(-#REF!*COS($F$18*PI()/180)*$F$21)*$C$25*1000)/9.81*$Y$99/$O$47*$F$193*#REF!-$N$47/$O$47*$C$20*$F$21</f>
        <v>#REF!</v>
      </c>
      <c r="Z108" s="407">
        <f ca="1">(-'int. presets cp_10d'!I31*COS($F$18*PI()/180)*$F$21)*$Z$99*$C$25*1000/9.81/$O$47*$D$193*'int. presets cp_10d'!$I$214-$N$47/$O$47*$C$20*$F$21</f>
        <v>2.8878484767819259</v>
      </c>
      <c r="AA108" s="1022">
        <f ca="1">(SQRT(((-'int. presets cp_10d'!D31*SIN($F$18*PI()/180)*$F$21)*$C$25*1000)^2+(0.001*$C$25*1000*$F$21)^2)/$C$30+(-'int. presets cp_10d'!D31*COS($F$18*PI()/180)*$F$21)*$C$25*1000)/9.81*$AA$99/$O$47*$F$193*'int. presets cp_10d'!$D$214-$N$47/$O$47*$C$20*$F$21</f>
        <v>8.5875955637480104</v>
      </c>
      <c r="A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CW108" s="178"/>
      <c r="CX108" s="178"/>
      <c r="CY108" s="178"/>
      <c r="CZ108" s="178"/>
      <c r="DA108" s="178"/>
      <c r="DB108" s="178"/>
      <c r="DC108" s="178"/>
      <c r="DD108" s="178"/>
      <c r="DE108" s="178"/>
      <c r="DF108" s="178"/>
      <c r="DG108" s="178"/>
      <c r="DH108" s="178"/>
      <c r="DI108" s="178"/>
      <c r="DJ108" s="178"/>
      <c r="DK108" s="178"/>
      <c r="DL108" s="178"/>
      <c r="DM108" s="178"/>
      <c r="DN108" s="178"/>
      <c r="DO108" s="178"/>
      <c r="DP108" s="178"/>
      <c r="DQ108" s="178"/>
      <c r="DR108" s="178"/>
      <c r="DS108" s="178"/>
      <c r="DT108" s="178"/>
      <c r="DU108" s="178"/>
      <c r="DV108" s="178"/>
      <c r="DW108" s="178"/>
      <c r="DX108" s="178"/>
      <c r="DY108" s="178"/>
      <c r="DZ108" s="178"/>
      <c r="EA108" s="178"/>
      <c r="EB108" s="178"/>
      <c r="EC108" s="178"/>
      <c r="ED108" s="178"/>
    </row>
    <row r="109" spans="2:134" ht="13.5" customHeight="1" x14ac:dyDescent="0.2">
      <c r="B109" s="1580" t="s">
        <v>465</v>
      </c>
      <c r="C109" s="1581">
        <v>0</v>
      </c>
      <c r="D109" s="1582" t="s">
        <v>465</v>
      </c>
      <c r="E109" s="342" t="s">
        <v>461</v>
      </c>
      <c r="F109" s="1057" t="e">
        <f t="shared" si="70"/>
        <v>#REF!</v>
      </c>
      <c r="G109" s="1057" t="e">
        <f t="shared" si="71"/>
        <v>#REF!</v>
      </c>
      <c r="H109" s="1057" t="e">
        <f t="shared" si="72"/>
        <v>#REF!</v>
      </c>
      <c r="I109" s="1054" t="e">
        <f t="shared" si="73"/>
        <v>#REF!</v>
      </c>
      <c r="J109" s="1057" t="e">
        <f t="shared" si="74"/>
        <v>#REF!</v>
      </c>
      <c r="K109" s="1064" t="e">
        <f t="shared" si="75"/>
        <v>#REF!</v>
      </c>
      <c r="L109" s="945">
        <f t="shared" ca="1" si="76"/>
        <v>9.0326023553902814</v>
      </c>
      <c r="M109" s="945">
        <f t="shared" ca="1" si="77"/>
        <v>19.913455804740522</v>
      </c>
      <c r="N109" s="1060" t="e">
        <f>(-#REF!*COS($F$18*PI()/180)*$F$21)*$N$99*$C$25*1000/9.81/$O$47*$D$193*#REF!-$N$47/$O$47*$C$20*$F$21</f>
        <v>#REF!</v>
      </c>
      <c r="O109" s="406" t="e">
        <f>(SQRT(((-#REF!*SIN($F$18*PI()/180)*$F$21)*$C$25*1000)^2+(0.001*$C$25*1000*$F$21)^2)/$C$30+(-#REF!*COS($F$18*PI()/180)*$F$21)*$C$25*1000)/9.81*$O$99/$O$47*$F$193*#REF!-$N$47/$O$47*$C$20*$F$21</f>
        <v>#REF!</v>
      </c>
      <c r="P109" s="409" t="e">
        <f>(-#REF!*COS($F$18*PI()/180)*$F$21)*$P$99*$C$25*1000/9.81/$O$47*$D$193*#REF!-$N$47/$O$47*$C$20*$F$21</f>
        <v>#REF!</v>
      </c>
      <c r="Q109" s="406" t="e">
        <f>(SQRT(((-#REF!*SIN($F$18*PI()/180)*$F$21)*$C$25*1000)^2+(0.001*$C$25*1000*$F$21)^2)/$C$30+(-#REF!*COS($F$18*PI()/180)*$F$21)*$C$25*1000)/9.81*$Q$99/$O$47*$F$193*#REF!-$N$47/$O$47*$C$20*$F$21</f>
        <v>#REF!</v>
      </c>
      <c r="R109" s="409" t="e">
        <f>(-#REF!*COS($F$18*PI()/180)*$F$21)*$R$99*$C$25*1000/9.81/$O$47*$D$193*#REF!-$N$47/$O$47*$C$20*$F$21</f>
        <v>#REF!</v>
      </c>
      <c r="S109" s="406" t="e">
        <f>(SQRT(((-#REF!*SIN($F$18*PI()/180)*$F$21)*$C$25*1000)^2+(0.001*$C$25*1000*$F$21)^2)/$C$30+(-#REF!*COS($F$18*PI()/180)*$F$21)*$C$25*1000)/9.81*$S$99/$O$47*$F$193*#REF!-$N$47/$O$47*$C$20*$F$21</f>
        <v>#REF!</v>
      </c>
      <c r="T109" s="409" t="e">
        <f>(-#REF!*COS($F$18*PI()/180)*$F$21)*$T$99*$C$25*1000/9.81/$O$47*$D$193*#REF!-$N$47/$O$47*$C$20*$F$21</f>
        <v>#REF!</v>
      </c>
      <c r="U109" s="406" t="e">
        <f>(SQRT(((-#REF!*SIN($F$18*PI()/180)*$F$21)*$C$25*1000)^2+(0.001*$C$25*1000*$F$21)^2)/$C$30+(-#REF!*COS($F$18*PI()/180)*$F$21)*$C$25*1000)/9.81*$U$99/$O$47*$F$193*#REF!-$N$47/$O$47*$C$20*$F$21</f>
        <v>#REF!</v>
      </c>
      <c r="V109" s="409" t="e">
        <f>(-#REF!*COS($F$18*PI()/180)*$F$21)*$V$99*$C$25*1000/9.81/$O$47*$D$193*#REF!-$N$47/$O$47*$C$20*$F$21</f>
        <v>#REF!</v>
      </c>
      <c r="W109" s="406" t="e">
        <f>(SQRT(((-#REF!*SIN($F$18*PI()/180)*$F$21)*$C$25*1000)^2+(0.001*$C$25*1000*$F$21)^2)/$C$30+(-#REF!*COS($F$18*PI()/180)*$F$21)*$C$25*1000)/9.81*$W$99/$O$47*$F$193*#REF!-$N$47/$O$47*$C$20*$F$21</f>
        <v>#REF!</v>
      </c>
      <c r="X109" s="409" t="e">
        <f>(-#REF!*COS($F$18*PI()/180)*$F$21)*$X$99*$C$25*1000/9.81/$O$47*$D$193*#REF!-$N$47/$O$47*$C$20*$F$21</f>
        <v>#REF!</v>
      </c>
      <c r="Y109" s="406" t="e">
        <f>(SQRT(((-#REF!*SIN($F$18*PI()/180)*$F$21)*$C$25*1000)^2+(0.001*$C$25*1000*$F$21)^2)/$C$30+(-#REF!*COS($F$18*PI()/180)*$F$21)*$C$25*1000)/9.81*$Y$99/$O$47*$F$193*#REF!-$N$47/$O$47*$C$20*$F$21</f>
        <v>#REF!</v>
      </c>
      <c r="Z109" s="409">
        <f ca="1">(-'int. presets cp_10d'!I32*COS($F$18*PI()/180)*$F$21)*$Z$99*$C$25*1000/9.81/$O$47*$D$193*'int. presets cp_10d'!$I$214-$N$47/$O$47*$C$20*$F$21</f>
        <v>4.5268612840077935</v>
      </c>
      <c r="AA109" s="1020">
        <f ca="1">(SQRT(((-'int. presets cp_10d'!D32*SIN($F$18*PI()/180)*$F$21)*$C$25*1000)^2+(0.001*$C$25*1000*$F$21)^2)/$C$30+(-'int. presets cp_10d'!D32*COS($F$18*PI()/180)*$F$21)*$C$25*1000)/9.81*$AA$99/$O$47*$F$193*'int. presets cp_10d'!$D$214-$N$47/$O$47*$C$20*$F$21</f>
        <v>9.0326023553902814</v>
      </c>
      <c r="A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CW109" s="178"/>
      <c r="CX109" s="178"/>
      <c r="CY109" s="178"/>
      <c r="CZ109" s="178"/>
      <c r="DA109" s="178"/>
      <c r="DB109" s="178"/>
      <c r="DC109" s="178"/>
      <c r="DD109" s="178"/>
      <c r="DE109" s="178"/>
      <c r="DF109" s="178"/>
      <c r="DG109" s="178"/>
      <c r="DH109" s="178"/>
      <c r="DI109" s="178"/>
      <c r="DJ109" s="178"/>
      <c r="DK109" s="178"/>
      <c r="DL109" s="178"/>
      <c r="DM109" s="178"/>
      <c r="DN109" s="178"/>
      <c r="DO109" s="178"/>
      <c r="DP109" s="178"/>
      <c r="DQ109" s="178"/>
      <c r="DR109" s="178"/>
      <c r="DS109" s="178"/>
      <c r="DT109" s="178"/>
      <c r="DU109" s="178"/>
      <c r="DV109" s="178"/>
      <c r="DW109" s="178"/>
      <c r="DX109" s="178"/>
      <c r="DY109" s="178"/>
      <c r="DZ109" s="178"/>
      <c r="EA109" s="178"/>
      <c r="EB109" s="178"/>
      <c r="EC109" s="178"/>
      <c r="ED109" s="178"/>
    </row>
    <row r="110" spans="2:134" ht="13.5" customHeight="1" thickBot="1" x14ac:dyDescent="0.25">
      <c r="B110" s="1583" t="e">
        <v>#REF!</v>
      </c>
      <c r="C110" s="1584">
        <v>0</v>
      </c>
      <c r="D110" s="1585">
        <v>0</v>
      </c>
      <c r="E110" s="986" t="s">
        <v>462</v>
      </c>
      <c r="F110" s="1055" t="e">
        <f t="shared" si="70"/>
        <v>#REF!</v>
      </c>
      <c r="G110" s="1055" t="e">
        <f t="shared" si="71"/>
        <v>#REF!</v>
      </c>
      <c r="H110" s="1055" t="e">
        <f t="shared" si="72"/>
        <v>#REF!</v>
      </c>
      <c r="I110" s="1056" t="e">
        <f t="shared" si="73"/>
        <v>#REF!</v>
      </c>
      <c r="J110" s="1055" t="e">
        <f t="shared" si="74"/>
        <v>#REF!</v>
      </c>
      <c r="K110" s="1063" t="e">
        <f t="shared" si="75"/>
        <v>#REF!</v>
      </c>
      <c r="L110" s="944">
        <f t="shared" ca="1" si="76"/>
        <v>9.3019455592249187</v>
      </c>
      <c r="M110" s="944">
        <f t="shared" ca="1" si="77"/>
        <v>20.50725521877844</v>
      </c>
      <c r="N110" s="1060" t="e">
        <f>(-#REF!*COS($F$18*PI()/180)*$F$21)*$N$99*$C$25*1000/9.81/$O$47*$D$193*#REF!-$N$47/$O$47*$C$20*$F$21</f>
        <v>#REF!</v>
      </c>
      <c r="O110" s="410" t="e">
        <f>(SQRT(((-#REF!*SIN($F$18*PI()/180)*$F$21)*$C$25*1000)^2+(0.001*$C$25*1000*$F$21)^2)/$C$30+(-#REF!*COS($F$18*PI()/180)*$F$21)*$C$25*1000)/9.81*$O$99/$O$47*$F$193*#REF!-$N$47/$O$47*$C$20*$F$21</f>
        <v>#REF!</v>
      </c>
      <c r="P110" s="409" t="e">
        <f>(-#REF!*COS($F$18*PI()/180)*$F$21)*$P$99*$C$25*1000/9.81/$O$47*$D$193*#REF!-$N$47/$O$47*$C$20*$F$21</f>
        <v>#REF!</v>
      </c>
      <c r="Q110" s="410" t="e">
        <f>(SQRT(((-#REF!*SIN($F$18*PI()/180)*$F$21)*$C$25*1000)^2+(0.001*$C$25*1000*$F$21)^2)/$C$30+(-#REF!*COS($F$18*PI()/180)*$F$21)*$C$25*1000)/9.81*$Q$99/$O$47*$F$193*#REF!-$N$47/$O$47*$C$20*$F$21</f>
        <v>#REF!</v>
      </c>
      <c r="R110" s="409" t="e">
        <f>(-#REF!*COS($F$18*PI()/180)*$F$21)*$R$99*$C$25*1000/9.81/$O$47*$D$193*#REF!-$N$47/$O$47*$C$20*$F$21</f>
        <v>#REF!</v>
      </c>
      <c r="S110" s="410" t="e">
        <f>(SQRT(((-#REF!*SIN($F$18*PI()/180)*$F$21)*$C$25*1000)^2+(0.001*$C$25*1000*$F$21)^2)/$C$30+(-#REF!*COS($F$18*PI()/180)*$F$21)*$C$25*1000)/9.81*$S$99/$O$47*$F$193*#REF!-$N$47/$O$47*$C$20*$F$21</f>
        <v>#REF!</v>
      </c>
      <c r="T110" s="409" t="e">
        <f>(-#REF!*COS($F$18*PI()/180)*$F$21)*$T$99*$C$25*1000/9.81/$O$47*$D$193*#REF!-$N$47/$O$47*$C$20*$F$21</f>
        <v>#REF!</v>
      </c>
      <c r="U110" s="410" t="e">
        <f>(SQRT(((-#REF!*SIN($F$18*PI()/180)*$F$21)*$C$25*1000)^2+(0.001*$C$25*1000*$F$21)^2)/$C$30+(-#REF!*COS($F$18*PI()/180)*$F$21)*$C$25*1000)/9.81*$U$99/$O$47*$F$193*#REF!-$N$47/$O$47*$C$20*$F$21</f>
        <v>#REF!</v>
      </c>
      <c r="V110" s="409" t="e">
        <f>(-#REF!*COS($F$18*PI()/180)*$F$21)*$V$99*$C$25*1000/9.81/$O$47*$D$193*#REF!-$N$47/$O$47*$C$20*$F$21</f>
        <v>#REF!</v>
      </c>
      <c r="W110" s="410" t="e">
        <f>(SQRT(((-#REF!*SIN($F$18*PI()/180)*$F$21)*$C$25*1000)^2+(0.001*$C$25*1000*$F$21)^2)/$C$30+(-#REF!*COS($F$18*PI()/180)*$F$21)*$C$25*1000)/9.81*$W$99/$O$47*$F$193*#REF!-$N$47/$O$47*$C$20*$F$21</f>
        <v>#REF!</v>
      </c>
      <c r="X110" s="409" t="e">
        <f>(-#REF!*COS($F$18*PI()/180)*$F$21)*$X$99*$C$25*1000/9.81/$O$47*$D$193*#REF!-$N$47/$O$47*$C$20*$F$21</f>
        <v>#REF!</v>
      </c>
      <c r="Y110" s="410" t="e">
        <f>(SQRT(((-#REF!*SIN($F$18*PI()/180)*$F$21)*$C$25*1000)^2+(0.001*$C$25*1000*$F$21)^2)/$C$30+(-#REF!*COS($F$18*PI()/180)*$F$21)*$C$25*1000)/9.81*$Y$99/$O$47*$F$193*#REF!-$N$47/$O$47*$C$20*$F$21</f>
        <v>#REF!</v>
      </c>
      <c r="Z110" s="409">
        <f ca="1">(-'int. presets cp_10d'!I33*COS($F$18*PI()/180)*$F$21)*$Z$99*$C$25*1000/9.81/$O$47*$D$193*'int. presets cp_10d'!$I$214-$N$47/$O$47*$C$20*$F$21</f>
        <v>5.5188780000805551</v>
      </c>
      <c r="AA110" s="1024">
        <f ca="1">(SQRT(((-'int. presets cp_10d'!D33*SIN($F$18*PI()/180)*$F$21)*$C$25*1000)^2+(0.001*$C$25*1000*$F$21)^2)/$C$30+(-'int. presets cp_10d'!D33*COS($F$18*PI()/180)*$F$21)*$C$25*1000)/9.81*$AA$99/$O$47*$F$193*'int. presets cp_10d'!$D$214-$N$47/$O$47*$C$20*$F$21</f>
        <v>9.3019455592249187</v>
      </c>
      <c r="A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EC110" s="178"/>
    </row>
    <row r="111" spans="2:134" ht="13.5" customHeight="1" thickTop="1" thickBot="1" x14ac:dyDescent="0.25">
      <c r="B111" s="1658" t="s">
        <v>340</v>
      </c>
      <c r="C111" s="1659"/>
      <c r="D111" s="1659"/>
      <c r="E111" s="1659"/>
      <c r="F111" s="1661"/>
      <c r="G111" s="1661"/>
      <c r="H111" s="1661"/>
      <c r="I111" s="1661"/>
      <c r="J111" s="1661"/>
      <c r="K111" s="1661"/>
      <c r="L111" s="1662"/>
      <c r="M111" s="1067"/>
      <c r="N111" s="1006"/>
      <c r="O111" s="1007"/>
      <c r="P111" s="1007"/>
      <c r="Q111" s="1007"/>
      <c r="R111" s="1007"/>
      <c r="S111" s="1007"/>
      <c r="T111" s="1007"/>
      <c r="U111" s="1007"/>
      <c r="V111" s="1007"/>
      <c r="W111" s="1007"/>
      <c r="X111" s="1007"/>
      <c r="Y111" s="1007"/>
      <c r="Z111" s="1007"/>
      <c r="AA111" s="1010"/>
      <c r="A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EC111" s="178"/>
    </row>
    <row r="112" spans="2:134" ht="13.5" customHeight="1" x14ac:dyDescent="0.2">
      <c r="B112" s="1580" t="s">
        <v>460</v>
      </c>
      <c r="C112" s="1581">
        <v>0</v>
      </c>
      <c r="D112" s="1582">
        <v>0</v>
      </c>
      <c r="E112" s="478" t="s">
        <v>461</v>
      </c>
      <c r="F112" s="1053" t="e">
        <f t="shared" ref="F112:F119" si="78">MAX(N112,O112)</f>
        <v>#REF!</v>
      </c>
      <c r="G112" s="1053" t="e">
        <f t="shared" ref="G112:G119" si="79">MAX(P112,Q112)</f>
        <v>#REF!</v>
      </c>
      <c r="H112" s="1053" t="e">
        <f t="shared" si="72"/>
        <v>#REF!</v>
      </c>
      <c r="I112" s="1061" t="e">
        <f t="shared" si="73"/>
        <v>#REF!</v>
      </c>
      <c r="J112" s="1053" t="e">
        <f t="shared" si="74"/>
        <v>#REF!</v>
      </c>
      <c r="K112" s="1062" t="e">
        <f t="shared" si="75"/>
        <v>#REF!</v>
      </c>
      <c r="L112" s="940">
        <f t="shared" ca="1" si="76"/>
        <v>24.000905596357896</v>
      </c>
      <c r="M112" s="1071">
        <f t="shared" ca="1" si="77"/>
        <v>52.912876495842539</v>
      </c>
      <c r="N112" s="497" t="e">
        <f>(-#REF!*COS($F$18*PI()/180)*$F$21)*$N$99*$C$25*1000/9.81/$O$47*$D$193*#REF!-$N$47/$O$47*$C$20*$F$21</f>
        <v>#REF!</v>
      </c>
      <c r="O112" s="198" t="e">
        <f>(SQRT(((-#REF!*SIN($F$18*PI()/180)*$F$21)*$C$25*1000)^2+(0.001*$C$25*1000*$F$21)^2)/$C$30+(-#REF!*COS($F$18*PI()/180)*$F$21)*$C$25*1000)/9.81*$O$99/$O$47*$F$193*#REF!-$N$47/$O$47*$C$20*$F$21</f>
        <v>#REF!</v>
      </c>
      <c r="P112" s="181" t="e">
        <f>(-#REF!*COS($F$18*PI()/180)*$F$21)*$P$99*$C$25*1000/9.81/$O$47*$D$193*#REF!-$N$47/$O$47*$C$20*$F$21</f>
        <v>#REF!</v>
      </c>
      <c r="Q112" s="198" t="e">
        <f>(SQRT(((-#REF!*SIN($F$18*PI()/180)*$F$21)*$C$25*1000)^2+(0.001*$C$25*1000*$F$21)^2)/$C$30+(-#REF!*COS($F$18*PI()/180)*$F$21)*$C$25*1000)/9.81*$Q$99/$O$47*$F$193*#REF!-$N$47/$O$47*$C$20*$F$21</f>
        <v>#REF!</v>
      </c>
      <c r="R112" s="181" t="e">
        <f>(-#REF!*COS($F$18*PI()/180)*$F$21)*$R$99*$C$25*1000/9.81/$O$47*$D$193*#REF!-$N$47/$O$47*$C$20*$F$21</f>
        <v>#REF!</v>
      </c>
      <c r="S112" s="198" t="e">
        <f>(SQRT(((-#REF!*SIN($F$18*PI()/180)*$F$21)*$C$25*1000)^2+(0.001*$C$25*1000*$F$21)^2)/$C$30+(-#REF!*COS($F$18*PI()/180)*$F$21)*$C$25*1000)/9.81*$S$99/$O$47*$F$193*#REF!-$N$47/$O$47*$C$20*$F$21</f>
        <v>#REF!</v>
      </c>
      <c r="T112" s="181" t="e">
        <f>(-#REF!*COS($F$18*PI()/180)*$F$21)*$T$99*$C$25*1000/9.81/$O$47*$D$193*#REF!-$N$47/$O$47*$C$20*$F$21</f>
        <v>#REF!</v>
      </c>
      <c r="U112" s="198" t="e">
        <f>(SQRT(((-#REF!*SIN($F$18*PI()/180)*$F$21)*$C$25*1000)^2+(0.001*$C$25*1000*$F$21)^2)/$C$30+(-#REF!*COS($F$18*PI()/180)*$F$21)*$C$25*1000)/9.81*$U$99/$O$47*$F$193*#REF!-$N$47/$O$47*$C$20*$F$21</f>
        <v>#REF!</v>
      </c>
      <c r="V112" s="181" t="e">
        <f>(-#REF!*COS($F$18*PI()/180)*$F$21)*$V$99*$C$25*1000/9.81/$O$47*$D$193*#REF!-$N$47/$O$47*$C$20*$F$21</f>
        <v>#REF!</v>
      </c>
      <c r="W112" s="198" t="e">
        <f>(SQRT(((-#REF!*SIN($F$18*PI()/180)*$F$21)*$C$25*1000)^2+(0.001*$C$25*1000*$F$21)^2)/$C$30+(-#REF!*COS($F$18*PI()/180)*$F$21)*$C$25*1000)/9.81*$W$99/$O$47*$F$193*#REF!-$N$47/$O$47*$C$20*$F$21</f>
        <v>#REF!</v>
      </c>
      <c r="X112" s="181" t="e">
        <f>(-#REF!*COS($F$18*PI()/180)*$F$21)*$X$99*$C$25*1000/9.81/$O$47*$D$193*#REF!-$N$47/$O$47*$C$20*$F$21</f>
        <v>#REF!</v>
      </c>
      <c r="Y112" s="198" t="e">
        <f>(SQRT(((-#REF!*SIN($F$18*PI()/180)*$F$21)*$C$25*1000)^2+(0.001*$C$25*1000*$F$21)^2)/$C$30+(-#REF!*COS($F$18*PI()/180)*$F$21)*$C$25*1000)/9.81*$Y$99/$O$47*$F$193*#REF!-$N$47/$O$47*$C$20*$F$21</f>
        <v>#REF!</v>
      </c>
      <c r="Z112" s="181">
        <f ca="1">(-'int. presets cp_10d'!J26*COS($F$18*PI()/180)*$F$21)*$Z$99*$C$25*1000/9.81/$O$47*$D$193*'int. presets cp_10d'!$J$214-$N$47/$O$47*$C$20*$F$21</f>
        <v>24.000905596357896</v>
      </c>
      <c r="AA112" s="1026">
        <f ca="1">(SQRT(((-'int. presets cp_10d'!E26*SIN($F$18*PI()/180)*$F$21)*$C$25*1000)^2+(0.001*$C$25*1000*$F$21)^2)/$C$30+(-'int. presets cp_10d'!E26*COS($F$18*PI()/180)*$F$21)*$C$25*1000)/9.81*$AA$99/$O$47*$F$193*'int. presets cp_10d'!$E$214-$N$47/$O$47*$C$20*$F$21</f>
        <v>16.155147539286929</v>
      </c>
      <c r="A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EC112" s="178"/>
    </row>
    <row r="113" spans="2:133" ht="13.5" thickBot="1" x14ac:dyDescent="0.25">
      <c r="B113" s="1586">
        <v>0</v>
      </c>
      <c r="C113" s="1587">
        <v>0</v>
      </c>
      <c r="D113" s="1588">
        <v>0</v>
      </c>
      <c r="E113" s="481" t="s">
        <v>462</v>
      </c>
      <c r="F113" s="1055" t="e">
        <f t="shared" si="78"/>
        <v>#REF!</v>
      </c>
      <c r="G113" s="1055" t="e">
        <f t="shared" si="79"/>
        <v>#REF!</v>
      </c>
      <c r="H113" s="1055" t="e">
        <f t="shared" si="72"/>
        <v>#REF!</v>
      </c>
      <c r="I113" s="1056" t="e">
        <f t="shared" si="73"/>
        <v>#REF!</v>
      </c>
      <c r="J113" s="1055" t="e">
        <f t="shared" si="74"/>
        <v>#REF!</v>
      </c>
      <c r="K113" s="1063" t="e">
        <f t="shared" si="75"/>
        <v>#REF!</v>
      </c>
      <c r="L113" s="941">
        <f t="shared" ca="1" si="76"/>
        <v>29.773241717743176</v>
      </c>
      <c r="M113" s="1072">
        <f t="shared" ca="1" si="77"/>
        <v>65.63868415577096</v>
      </c>
      <c r="N113" s="1068" t="e">
        <f>(-#REF!*COS($F$18*PI()/180)*$F$21)*$N$99*$C$25*1000/9.81/$O$47*$D$193*#REF!-$N$47/$O$47*$C$20*$F$21</f>
        <v>#REF!</v>
      </c>
      <c r="O113" s="164" t="e">
        <f>(SQRT(((-#REF!*SIN($F$18*PI()/180)*$F$21)*$C$25*1000)^2+(0.001*$C$25*1000*$F$21)^2)/$C$30+(-#REF!*COS($F$18*PI()/180)*$F$21)*$C$25*1000)/9.81*$O$99/$O$47*$F$193*#REF!-$N$47/$O$47*$C$20*$F$21</f>
        <v>#REF!</v>
      </c>
      <c r="P113" s="199" t="e">
        <f>(-#REF!*COS($F$18*PI()/180)*$F$21)*$P$99*$C$25*1000/9.81/$O$47*$D$193*#REF!-$N$47/$O$47*$C$20*$F$21</f>
        <v>#REF!</v>
      </c>
      <c r="Q113" s="164" t="e">
        <f>(SQRT(((-#REF!*SIN($F$18*PI()/180)*$F$21)*$C$25*1000)^2+(0.001*$C$25*1000*$F$21)^2)/$C$30+(-#REF!*COS($F$18*PI()/180)*$F$21)*$C$25*1000)/9.81*$Q$99/$O$47*$F$193*#REF!-$N$47/$O$47*$C$20*$F$21</f>
        <v>#REF!</v>
      </c>
      <c r="R113" s="199" t="e">
        <f>(-#REF!*COS($F$18*PI()/180)*$F$21)*$R$99*$C$25*1000/9.81/$O$47*$D$193*#REF!-$N$47/$O$47*$C$20*$F$21</f>
        <v>#REF!</v>
      </c>
      <c r="S113" s="164" t="e">
        <f>(SQRT(((-#REF!*SIN($F$18*PI()/180)*$F$21)*$C$25*1000)^2+(0.001*$C$25*1000*$F$21)^2)/$C$30+(-#REF!*COS($F$18*PI()/180)*$F$21)*$C$25*1000)/9.81*$S$99/$O$47*$F$193*#REF!-$N$47/$O$47*$C$20*$F$21</f>
        <v>#REF!</v>
      </c>
      <c r="T113" s="199" t="e">
        <f>(-#REF!*COS($F$18*PI()/180)*$F$21)*$T$99*$C$25*1000/9.81/$O$47*$D$193*#REF!-$N$47/$O$47*$C$20*$F$21</f>
        <v>#REF!</v>
      </c>
      <c r="U113" s="164" t="e">
        <f>(SQRT(((-#REF!*SIN($F$18*PI()/180)*$F$21)*$C$25*1000)^2+(0.001*$C$25*1000*$F$21)^2)/$C$30+(-#REF!*COS($F$18*PI()/180)*$F$21)*$C$25*1000)/9.81*$U$99/$O$47*$F$193*#REF!-$N$47/$O$47*$C$20*$F$21</f>
        <v>#REF!</v>
      </c>
      <c r="V113" s="199" t="e">
        <f>(-#REF!*COS($F$18*PI()/180)*$F$21)*$V$99*$C$25*1000/9.81/$O$47*$D$193*#REF!-$N$47/$O$47*$C$20*$F$21</f>
        <v>#REF!</v>
      </c>
      <c r="W113" s="164" t="e">
        <f>(SQRT(((-#REF!*SIN($F$18*PI()/180)*$F$21)*$C$25*1000)^2+(0.001*$C$25*1000*$F$21)^2)/$C$30+(-#REF!*COS($F$18*PI()/180)*$F$21)*$C$25*1000)/9.81*$W$99/$O$47*$F$193*#REF!-$N$47/$O$47*$C$20*$F$21</f>
        <v>#REF!</v>
      </c>
      <c r="X113" s="199" t="e">
        <f>(-#REF!*COS($F$18*PI()/180)*$F$21)*$X$99*$C$25*1000/9.81/$O$47*$D$193*#REF!-$N$47/$O$47*$C$20*$F$21</f>
        <v>#REF!</v>
      </c>
      <c r="Y113" s="164" t="e">
        <f>(SQRT(((-#REF!*SIN($F$18*PI()/180)*$F$21)*$C$25*1000)^2+(0.001*$C$25*1000*$F$21)^2)/$C$30+(-#REF!*COS($F$18*PI()/180)*$F$21)*$C$25*1000)/9.81*$Y$99/$O$47*$F$193*#REF!-$N$47/$O$47*$C$20*$F$21</f>
        <v>#REF!</v>
      </c>
      <c r="Z113" s="199">
        <f ca="1">(-'int. presets cp_10d'!J27*COS($F$18*PI()/180)*$F$21)*$Z$99*$C$25*1000/9.81/$O$47*$D$193*'int. presets cp_10d'!$J$214-$N$47/$O$47*$C$20*$F$21</f>
        <v>29.773241717743176</v>
      </c>
      <c r="AA113" s="1028">
        <f ca="1">(SQRT(((-'int. presets cp_10d'!E27*SIN($F$18*PI()/180)*$F$21)*$C$25*1000)^2+(0.001*$C$25*1000*$F$21)^2)/$C$30+(-'int. presets cp_10d'!E27*COS($F$18*PI()/180)*$F$21)*$C$25*1000)/9.81*$AA$99/$O$47*$F$193*'int. presets cp_10d'!$E$214-$N$47/$O$47*$C$20*$F$21</f>
        <v>16.062539305569501</v>
      </c>
      <c r="A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EC113" s="178"/>
    </row>
    <row r="114" spans="2:133" ht="12.75" customHeight="1" x14ac:dyDescent="0.2">
      <c r="B114" s="1580" t="s">
        <v>463</v>
      </c>
      <c r="C114" s="1581">
        <v>0</v>
      </c>
      <c r="D114" s="1582" t="s">
        <v>463</v>
      </c>
      <c r="E114" s="479" t="s">
        <v>461</v>
      </c>
      <c r="F114" s="1057" t="e">
        <f t="shared" si="78"/>
        <v>#REF!</v>
      </c>
      <c r="G114" s="1057" t="e">
        <f t="shared" si="79"/>
        <v>#REF!</v>
      </c>
      <c r="H114" s="1057" t="e">
        <f t="shared" si="72"/>
        <v>#REF!</v>
      </c>
      <c r="I114" s="1054" t="e">
        <f t="shared" si="73"/>
        <v>#REF!</v>
      </c>
      <c r="J114" s="1057" t="e">
        <f t="shared" si="74"/>
        <v>#REF!</v>
      </c>
      <c r="K114" s="1064" t="e">
        <f t="shared" si="75"/>
        <v>#REF!</v>
      </c>
      <c r="L114" s="940">
        <f t="shared" ca="1" si="76"/>
        <v>16.075747210942808</v>
      </c>
      <c r="M114" s="1073">
        <f t="shared" ca="1" si="77"/>
        <v>35.440913816188733</v>
      </c>
      <c r="N114" s="1069" t="e">
        <f>(-#REF!*COS($F$18*PI()/180)*$F$21)*$N$99*$C$25*1000/9.81/$O$47*$D$193*#REF!-$N$47/$O$47*$C$20*$F$21</f>
        <v>#REF!</v>
      </c>
      <c r="O114" s="162" t="e">
        <f>(SQRT(((-#REF!*SIN($F$18*PI()/180)*$F$21)*$C$25*1000)^2+(0.001*$C$25*1000*$F$21)^2)/$C$30+(-#REF!*COS($F$18*PI()/180)*$F$21)*$C$25*1000)/9.81*$O$99/$O$47*$F$193*#REF!-$N$47/$O$47*$C$20*$F$21</f>
        <v>#REF!</v>
      </c>
      <c r="P114" s="161" t="e">
        <f>(-#REF!*COS($F$18*PI()/180)*$F$21)*$P$99*$C$25*1000/9.81/$O$47*$D$193*#REF!-$N$47/$O$47*$C$20*$F$21</f>
        <v>#REF!</v>
      </c>
      <c r="Q114" s="162" t="e">
        <f>(SQRT(((-#REF!*SIN($F$18*PI()/180)*$F$21)*$C$25*1000)^2+(0.001*$C$25*1000*$F$21)^2)/$C$30+(-#REF!*COS($F$18*PI()/180)*$F$21)*$C$25*1000)/9.81*$Q$99/$O$47*$F$193*#REF!-$N$47/$O$47*$C$20*$F$21</f>
        <v>#REF!</v>
      </c>
      <c r="R114" s="161" t="e">
        <f>(-#REF!*COS($F$18*PI()/180)*$F$21)*$R$99*$C$25*1000/9.81/$O$47*$D$193*#REF!-$N$47/$O$47*$C$20*$F$21</f>
        <v>#REF!</v>
      </c>
      <c r="S114" s="162" t="e">
        <f>(SQRT(((-#REF!*SIN($F$18*PI()/180)*$F$21)*$C$25*1000)^2+(0.001*$C$25*1000*$F$21)^2)/$C$30+(-#REF!*COS($F$18*PI()/180)*$F$21)*$C$25*1000)/9.81*$S$99/$O$47*$F$193*#REF!-$N$47/$O$47*$C$20*$F$21</f>
        <v>#REF!</v>
      </c>
      <c r="T114" s="161" t="e">
        <f>(-#REF!*COS($F$18*PI()/180)*$F$21)*$T$99*$C$25*1000/9.81/$O$47*$D$193*#REF!-$N$47/$O$47*$C$20*$F$21</f>
        <v>#REF!</v>
      </c>
      <c r="U114" s="162" t="e">
        <f>(SQRT(((-#REF!*SIN($F$18*PI()/180)*$F$21)*$C$25*1000)^2+(0.001*$C$25*1000*$F$21)^2)/$C$30+(-#REF!*COS($F$18*PI()/180)*$F$21)*$C$25*1000)/9.81*$U$99/$O$47*$F$193*#REF!-$N$47/$O$47*$C$20*$F$21</f>
        <v>#REF!</v>
      </c>
      <c r="V114" s="161" t="e">
        <f>(-#REF!*COS($F$18*PI()/180)*$F$21)*$V$99*$C$25*1000/9.81/$O$47*$D$193*#REF!-$N$47/$O$47*$C$20*$F$21</f>
        <v>#REF!</v>
      </c>
      <c r="W114" s="162" t="e">
        <f>(SQRT(((-#REF!*SIN($F$18*PI()/180)*$F$21)*$C$25*1000)^2+(0.001*$C$25*1000*$F$21)^2)/$C$30+(-#REF!*COS($F$18*PI()/180)*$F$21)*$C$25*1000)/9.81*$W$99/$O$47*$F$193*#REF!-$N$47/$O$47*$C$20*$F$21</f>
        <v>#REF!</v>
      </c>
      <c r="X114" s="161" t="e">
        <f>(-#REF!*COS($F$18*PI()/180)*$F$21)*$X$99*$C$25*1000/9.81/$O$47*$D$193*#REF!-$N$47/$O$47*$C$20*$F$21</f>
        <v>#REF!</v>
      </c>
      <c r="Y114" s="162" t="e">
        <f>(SQRT(((-#REF!*SIN($F$18*PI()/180)*$F$21)*$C$25*1000)^2+(0.001*$C$25*1000*$F$21)^2)/$C$30+(-#REF!*COS($F$18*PI()/180)*$F$21)*$C$25*1000)/9.81*$Y$99/$O$47*$F$193*#REF!-$N$47/$O$47*$C$20*$F$21</f>
        <v>#REF!</v>
      </c>
      <c r="Z114" s="161">
        <f ca="1">(-'int. presets cp_10d'!J28*COS($F$18*PI()/180)*$F$21)*$Z$99*$C$25*1000/9.81/$O$47*$D$193*'int. presets cp_10d'!$J$214-$N$47/$O$47*$C$20*$F$21</f>
        <v>8.0904324364521969</v>
      </c>
      <c r="AA114" s="1030">
        <f ca="1">(SQRT(((-'int. presets cp_10d'!E28*SIN($F$18*PI()/180)*$F$21)*$C$25*1000)^2+(0.001*$C$25*1000*$F$21)^2)/$C$30+(-'int. presets cp_10d'!E28*COS($F$18*PI()/180)*$F$21)*$C$25*1000)/9.81*$AA$99/$O$47*$F$193*'int. presets cp_10d'!$E$214-$N$47/$O$47*$C$20*$F$21</f>
        <v>16.075747210942808</v>
      </c>
      <c r="A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EC114" s="178"/>
    </row>
    <row r="115" spans="2:133" ht="13.5" thickBot="1" x14ac:dyDescent="0.25">
      <c r="B115" s="1586" t="e">
        <v>#REF!</v>
      </c>
      <c r="C115" s="1587">
        <v>0</v>
      </c>
      <c r="D115" s="1588">
        <v>0</v>
      </c>
      <c r="E115" s="481" t="s">
        <v>462</v>
      </c>
      <c r="F115" s="1055" t="e">
        <f t="shared" si="78"/>
        <v>#REF!</v>
      </c>
      <c r="G115" s="1055" t="e">
        <f t="shared" si="79"/>
        <v>#REF!</v>
      </c>
      <c r="H115" s="1055" t="e">
        <f t="shared" si="72"/>
        <v>#REF!</v>
      </c>
      <c r="I115" s="1056" t="e">
        <f t="shared" si="73"/>
        <v>#REF!</v>
      </c>
      <c r="J115" s="1055" t="e">
        <f t="shared" si="74"/>
        <v>#REF!</v>
      </c>
      <c r="K115" s="1063" t="e">
        <f t="shared" si="75"/>
        <v>#REF!</v>
      </c>
      <c r="L115" s="941">
        <f t="shared" ca="1" si="76"/>
        <v>15.459339816834621</v>
      </c>
      <c r="M115" s="1072">
        <f t="shared" ca="1" si="77"/>
        <v>34.081969746989941</v>
      </c>
      <c r="N115" s="1068" t="e">
        <f>(-#REF!*COS($F$18*PI()/180)*$F$21)*$N$99*$C$25*1000/9.81/$O$47*$D$193*#REF!-$N$47/$O$47*$C$20*$F$21</f>
        <v>#REF!</v>
      </c>
      <c r="O115" s="164" t="e">
        <f>(SQRT(((-#REF!*SIN($F$18*PI()/180)*$F$21)*$C$25*1000)^2+(0.001*$C$25*1000*$F$21)^2)/$C$30+(-#REF!*COS($F$18*PI()/180)*$F$21)*$C$25*1000)/9.81*$O$99/$O$47*$F$193*#REF!-$N$47/$O$47*$C$20*$F$21</f>
        <v>#REF!</v>
      </c>
      <c r="P115" s="199" t="e">
        <f>(-#REF!*COS($F$18*PI()/180)*$F$21)*$P$99*$C$25*1000/9.81/$O$47*$D$193*#REF!-$N$47/$O$47*$C$20*$F$21</f>
        <v>#REF!</v>
      </c>
      <c r="Q115" s="164" t="e">
        <f>(SQRT(((-#REF!*SIN($F$18*PI()/180)*$F$21)*$C$25*1000)^2+(0.001*$C$25*1000*$F$21)^2)/$C$30+(-#REF!*COS($F$18*PI()/180)*$F$21)*$C$25*1000)/9.81*$Q$99/$O$47*$F$193*#REF!-$N$47/$O$47*$C$20*$F$21</f>
        <v>#REF!</v>
      </c>
      <c r="R115" s="199" t="e">
        <f>(-#REF!*COS($F$18*PI()/180)*$F$21)*$R$99*$C$25*1000/9.81/$O$47*$D$193*#REF!-$N$47/$O$47*$C$20*$F$21</f>
        <v>#REF!</v>
      </c>
      <c r="S115" s="164" t="e">
        <f>(SQRT(((-#REF!*SIN($F$18*PI()/180)*$F$21)*$C$25*1000)^2+(0.001*$C$25*1000*$F$21)^2)/$C$30+(-#REF!*COS($F$18*PI()/180)*$F$21)*$C$25*1000)/9.81*$S$99/$O$47*$F$193*#REF!-$N$47/$O$47*$C$20*$F$21</f>
        <v>#REF!</v>
      </c>
      <c r="T115" s="199" t="e">
        <f>(-#REF!*COS($F$18*PI()/180)*$F$21)*$T$99*$C$25*1000/9.81/$O$47*$D$193*#REF!-$N$47/$O$47*$C$20*$F$21</f>
        <v>#REF!</v>
      </c>
      <c r="U115" s="164" t="e">
        <f>(SQRT(((-#REF!*SIN($F$18*PI()/180)*$F$21)*$C$25*1000)^2+(0.001*$C$25*1000*$F$21)^2)/$C$30+(-#REF!*COS($F$18*PI()/180)*$F$21)*$C$25*1000)/9.81*$U$99/$O$47*$F$193*#REF!-$N$47/$O$47*$C$20*$F$21</f>
        <v>#REF!</v>
      </c>
      <c r="V115" s="199" t="e">
        <f>(-#REF!*COS($F$18*PI()/180)*$F$21)*$V$99*$C$25*1000/9.81/$O$47*$D$193*#REF!-$N$47/$O$47*$C$20*$F$21</f>
        <v>#REF!</v>
      </c>
      <c r="W115" s="164" t="e">
        <f>(SQRT(((-#REF!*SIN($F$18*PI()/180)*$F$21)*$C$25*1000)^2+(0.001*$C$25*1000*$F$21)^2)/$C$30+(-#REF!*COS($F$18*PI()/180)*$F$21)*$C$25*1000)/9.81*$W$99/$O$47*$F$193*#REF!-$N$47/$O$47*$C$20*$F$21</f>
        <v>#REF!</v>
      </c>
      <c r="X115" s="199" t="e">
        <f>(-#REF!*COS($F$18*PI()/180)*$F$21)*$X$99*$C$25*1000/9.81/$O$47*$D$193*#REF!-$N$47/$O$47*$C$20*$F$21</f>
        <v>#REF!</v>
      </c>
      <c r="Y115" s="164" t="e">
        <f>(SQRT(((-#REF!*SIN($F$18*PI()/180)*$F$21)*$C$25*1000)^2+(0.001*$C$25*1000*$F$21)^2)/$C$30+(-#REF!*COS($F$18*PI()/180)*$F$21)*$C$25*1000)/9.81*$Y$99/$O$47*$F$193*#REF!-$N$47/$O$47*$C$20*$F$21</f>
        <v>#REF!</v>
      </c>
      <c r="Z115" s="199">
        <f ca="1">(-'int. presets cp_10d'!J29*COS($F$18*PI()/180)*$F$21)*$Z$99*$C$25*1000/9.81/$O$47*$D$193*'int. presets cp_10d'!$J$214-$N$47/$O$47*$C$20*$F$21</f>
        <v>7.7355334153085025</v>
      </c>
      <c r="AA115" s="1028">
        <f ca="1">(SQRT(((-'int. presets cp_10d'!E29*SIN($F$18*PI()/180)*$F$21)*$C$25*1000)^2+(0.001*$C$25*1000*$F$21)^2)/$C$30+(-'int. presets cp_10d'!E29*COS($F$18*PI()/180)*$F$21)*$C$25*1000)/9.81*$AA$99/$O$47*$F$193*'int. presets cp_10d'!$E$214-$N$47/$O$47*$C$20*$F$21</f>
        <v>15.459339816834621</v>
      </c>
    </row>
    <row r="116" spans="2:133" ht="12.75" customHeight="1" x14ac:dyDescent="0.2">
      <c r="B116" s="1580" t="s">
        <v>464</v>
      </c>
      <c r="C116" s="1581">
        <v>0</v>
      </c>
      <c r="D116" s="1582" t="s">
        <v>464</v>
      </c>
      <c r="E116" s="479" t="s">
        <v>461</v>
      </c>
      <c r="F116" s="1057" t="e">
        <f t="shared" si="78"/>
        <v>#REF!</v>
      </c>
      <c r="G116" s="1057" t="e">
        <f t="shared" si="79"/>
        <v>#REF!</v>
      </c>
      <c r="H116" s="1057" t="e">
        <f t="shared" si="72"/>
        <v>#REF!</v>
      </c>
      <c r="I116" s="1054" t="e">
        <f t="shared" si="73"/>
        <v>#REF!</v>
      </c>
      <c r="J116" s="1057" t="e">
        <f t="shared" si="74"/>
        <v>#REF!</v>
      </c>
      <c r="K116" s="1064" t="e">
        <f t="shared" si="75"/>
        <v>#REF!</v>
      </c>
      <c r="L116" s="940">
        <f t="shared" ca="1" si="76"/>
        <v>15.180328310098126</v>
      </c>
      <c r="M116" s="1073">
        <f t="shared" ca="1" si="77"/>
        <v>33.46685539900853</v>
      </c>
      <c r="N116" s="1069" t="e">
        <f>(-#REF!*COS($F$18*PI()/180)*$F$21)*$N$99*$C$25*1000/9.81/$O$47*$D$193*#REF!-$N$47/$O$47*$C$20*$F$21</f>
        <v>#REF!</v>
      </c>
      <c r="O116" s="162" t="e">
        <f>(SQRT(((-#REF!*SIN($F$18*PI()/180)*$F$21)*$C$25*1000)^2+(0.001*$C$25*1000*$F$21)^2)/$C$30+(-#REF!*COS($F$18*PI()/180)*$F$21)*$C$25*1000)/9.81*$O$99/$O$47*$F$193*#REF!-$N$47/$O$47*$C$20*$F$21</f>
        <v>#REF!</v>
      </c>
      <c r="P116" s="161" t="e">
        <f>(-#REF!*COS($F$18*PI()/180)*$F$21)*$P$99*$C$25*1000/9.81/$O$47*$D$193*#REF!-$N$47/$O$47*$C$20*$F$21</f>
        <v>#REF!</v>
      </c>
      <c r="Q116" s="162" t="e">
        <f>(SQRT(((-#REF!*SIN($F$18*PI()/180)*$F$21)*$C$25*1000)^2+(0.001*$C$25*1000*$F$21)^2)/$C$30+(-#REF!*COS($F$18*PI()/180)*$F$21)*$C$25*1000)/9.81*$Q$99/$O$47*$F$193*#REF!-$N$47/$O$47*$C$20*$F$21</f>
        <v>#REF!</v>
      </c>
      <c r="R116" s="161" t="e">
        <f>(-#REF!*COS($F$18*PI()/180)*$F$21)*$R$99*$C$25*1000/9.81/$O$47*$D$193*#REF!-$N$47/$O$47*$C$20*$F$21</f>
        <v>#REF!</v>
      </c>
      <c r="S116" s="162" t="e">
        <f>(SQRT(((-#REF!*SIN($F$18*PI()/180)*$F$21)*$C$25*1000)^2+(0.001*$C$25*1000*$F$21)^2)/$C$30+(-#REF!*COS($F$18*PI()/180)*$F$21)*$C$25*1000)/9.81*$S$99/$O$47*$F$193*#REF!-$N$47/$O$47*$C$20*$F$21</f>
        <v>#REF!</v>
      </c>
      <c r="T116" s="161" t="e">
        <f>(-#REF!*COS($F$18*PI()/180)*$F$21)*$T$99*$C$25*1000/9.81/$O$47*$D$193*#REF!-$N$47/$O$47*$C$20*$F$21</f>
        <v>#REF!</v>
      </c>
      <c r="U116" s="162" t="e">
        <f>(SQRT(((-#REF!*SIN($F$18*PI()/180)*$F$21)*$C$25*1000)^2+(0.001*$C$25*1000*$F$21)^2)/$C$30+(-#REF!*COS($F$18*PI()/180)*$F$21)*$C$25*1000)/9.81*$U$99/$O$47*$F$193*#REF!-$N$47/$O$47*$C$20*$F$21</f>
        <v>#REF!</v>
      </c>
      <c r="V116" s="161" t="e">
        <f>(-#REF!*COS($F$18*PI()/180)*$F$21)*$V$99*$C$25*1000/9.81/$O$47*$D$193*#REF!-$N$47/$O$47*$C$20*$F$21</f>
        <v>#REF!</v>
      </c>
      <c r="W116" s="162" t="e">
        <f>(SQRT(((-#REF!*SIN($F$18*PI()/180)*$F$21)*$C$25*1000)^2+(0.001*$C$25*1000*$F$21)^2)/$C$30+(-#REF!*COS($F$18*PI()/180)*$F$21)*$C$25*1000)/9.81*$W$99/$O$47*$F$193*#REF!-$N$47/$O$47*$C$20*$F$21</f>
        <v>#REF!</v>
      </c>
      <c r="X116" s="161" t="e">
        <f>(-#REF!*COS($F$18*PI()/180)*$F$21)*$X$99*$C$25*1000/9.81/$O$47*$D$193*#REF!-$N$47/$O$47*$C$20*$F$21</f>
        <v>#REF!</v>
      </c>
      <c r="Y116" s="162" t="e">
        <f>(SQRT(((-#REF!*SIN($F$18*PI()/180)*$F$21)*$C$25*1000)^2+(0.001*$C$25*1000*$F$21)^2)/$C$30+(-#REF!*COS($F$18*PI()/180)*$F$21)*$C$25*1000)/9.81*$Y$99/$O$47*$F$193*#REF!-$N$47/$O$47*$C$20*$F$21</f>
        <v>#REF!</v>
      </c>
      <c r="Z116" s="161">
        <f ca="1">(-'int. presets cp_10d'!J30*COS($F$18*PI()/180)*$F$21)*$Z$99*$C$25*1000/9.81/$O$47*$D$193*'int. presets cp_10d'!$J$214-$N$47/$O$47*$C$20*$F$21</f>
        <v>8.0716209271908639</v>
      </c>
      <c r="AA116" s="1030">
        <f ca="1">(SQRT(((-'int. presets cp_10d'!E30*SIN($F$18*PI()/180)*$F$21)*$C$25*1000)^2+(0.001*$C$25*1000*$F$21)^2)/$C$30+(-'int. presets cp_10d'!E30*COS($F$18*PI()/180)*$F$21)*$C$25*1000)/9.81*$AA$99/$O$47*$F$193*'int. presets cp_10d'!$E$214-$N$47/$O$47*$C$20*$F$21</f>
        <v>15.180328310098126</v>
      </c>
    </row>
    <row r="117" spans="2:133" ht="13.5" customHeight="1" thickBot="1" x14ac:dyDescent="0.25">
      <c r="B117" s="1586" t="e">
        <v>#REF!</v>
      </c>
      <c r="C117" s="1587">
        <v>0</v>
      </c>
      <c r="D117" s="1588">
        <v>0</v>
      </c>
      <c r="E117" s="481" t="s">
        <v>462</v>
      </c>
      <c r="F117" s="1055" t="e">
        <f t="shared" si="78"/>
        <v>#REF!</v>
      </c>
      <c r="G117" s="1055" t="e">
        <f t="shared" si="79"/>
        <v>#REF!</v>
      </c>
      <c r="H117" s="1055" t="e">
        <f t="shared" si="72"/>
        <v>#REF!</v>
      </c>
      <c r="I117" s="1056" t="e">
        <f t="shared" si="73"/>
        <v>#REF!</v>
      </c>
      <c r="J117" s="1055" t="e">
        <f t="shared" si="74"/>
        <v>#REF!</v>
      </c>
      <c r="K117" s="1063" t="e">
        <f t="shared" si="75"/>
        <v>#REF!</v>
      </c>
      <c r="L117" s="941">
        <f t="shared" ca="1" si="76"/>
        <v>16.724168738246576</v>
      </c>
      <c r="M117" s="1072">
        <f t="shared" ca="1" si="77"/>
        <v>36.870436883713161</v>
      </c>
      <c r="N117" s="1068" t="e">
        <f>(-#REF!*COS($F$18*PI()/180)*$F$21)*$N$99*$C$25*1000/9.81/$O$47*$D$193*#REF!-$N$47/$O$47*$C$20*$F$21</f>
        <v>#REF!</v>
      </c>
      <c r="O117" s="164" t="e">
        <f>(SQRT(((-#REF!*SIN($F$18*PI()/180)*$F$21)*$C$25*1000)^2+(0.001*$C$25*1000*$F$21)^2)/$C$30+(-#REF!*COS($F$18*PI()/180)*$F$21)*$C$25*1000)/9.81*$O$99/$O$47*$F$193*#REF!-$N$47/$O$47*$C$20*$F$21</f>
        <v>#REF!</v>
      </c>
      <c r="P117" s="199" t="e">
        <f>(-#REF!*COS($F$18*PI()/180)*$F$21)*$P$99*$C$25*1000/9.81/$O$47*$D$193*#REF!-$N$47/$O$47*$C$20*$F$21</f>
        <v>#REF!</v>
      </c>
      <c r="Q117" s="164" t="e">
        <f>(SQRT(((-#REF!*SIN($F$18*PI()/180)*$F$21)*$C$25*1000)^2+(0.001*$C$25*1000*$F$21)^2)/$C$30+(-#REF!*COS($F$18*PI()/180)*$F$21)*$C$25*1000)/9.81*$Q$99/$O$47*$F$193*#REF!-$N$47/$O$47*$C$20*$F$21</f>
        <v>#REF!</v>
      </c>
      <c r="R117" s="199" t="e">
        <f>(-#REF!*COS($F$18*PI()/180)*$F$21)*$R$99*$C$25*1000/9.81/$O$47*$D$193*#REF!-$N$47/$O$47*$C$20*$F$21</f>
        <v>#REF!</v>
      </c>
      <c r="S117" s="164" t="e">
        <f>(SQRT(((-#REF!*SIN($F$18*PI()/180)*$F$21)*$C$25*1000)^2+(0.001*$C$25*1000*$F$21)^2)/$C$30+(-#REF!*COS($F$18*PI()/180)*$F$21)*$C$25*1000)/9.81*$S$99/$O$47*$F$193*#REF!-$N$47/$O$47*$C$20*$F$21</f>
        <v>#REF!</v>
      </c>
      <c r="T117" s="199" t="e">
        <f>(-#REF!*COS($F$18*PI()/180)*$F$21)*$T$99*$C$25*1000/9.81/$O$47*$D$193*#REF!-$N$47/$O$47*$C$20*$F$21</f>
        <v>#REF!</v>
      </c>
      <c r="U117" s="164" t="e">
        <f>(SQRT(((-#REF!*SIN($F$18*PI()/180)*$F$21)*$C$25*1000)^2+(0.001*$C$25*1000*$F$21)^2)/$C$30+(-#REF!*COS($F$18*PI()/180)*$F$21)*$C$25*1000)/9.81*$U$99/$O$47*$F$193*#REF!-$N$47/$O$47*$C$20*$F$21</f>
        <v>#REF!</v>
      </c>
      <c r="V117" s="199" t="e">
        <f>(-#REF!*COS($F$18*PI()/180)*$F$21)*$V$99*$C$25*1000/9.81/$O$47*$D$193*#REF!-$N$47/$O$47*$C$20*$F$21</f>
        <v>#REF!</v>
      </c>
      <c r="W117" s="164" t="e">
        <f>(SQRT(((-#REF!*SIN($F$18*PI()/180)*$F$21)*$C$25*1000)^2+(0.001*$C$25*1000*$F$21)^2)/$C$30+(-#REF!*COS($F$18*PI()/180)*$F$21)*$C$25*1000)/9.81*$W$99/$O$47*$F$193*#REF!-$N$47/$O$47*$C$20*$F$21</f>
        <v>#REF!</v>
      </c>
      <c r="X117" s="199" t="e">
        <f>(-#REF!*COS($F$18*PI()/180)*$F$21)*$X$99*$C$25*1000/9.81/$O$47*$D$193*#REF!-$N$47/$O$47*$C$20*$F$21</f>
        <v>#REF!</v>
      </c>
      <c r="Y117" s="164" t="e">
        <f>(SQRT(((-#REF!*SIN($F$18*PI()/180)*$F$21)*$C$25*1000)^2+(0.001*$C$25*1000*$F$21)^2)/$C$30+(-#REF!*COS($F$18*PI()/180)*$F$21)*$C$25*1000)/9.81*$Y$99/$O$47*$F$193*#REF!-$N$47/$O$47*$C$20*$F$21</f>
        <v>#REF!</v>
      </c>
      <c r="Z117" s="199">
        <f ca="1">(-'int. presets cp_10d'!J31*COS($F$18*PI()/180)*$F$21)*$Z$99*$C$25*1000/9.81/$O$47*$D$193*'int. presets cp_10d'!$J$214-$N$47/$O$47*$C$20*$F$21</f>
        <v>9.3107447210778034</v>
      </c>
      <c r="AA117" s="1028">
        <f ca="1">(SQRT(((-'int. presets cp_10d'!E31*SIN($F$18*PI()/180)*$F$21)*$C$25*1000)^2+(0.001*$C$25*1000*$F$21)^2)/$C$30+(-'int. presets cp_10d'!E31*COS($F$18*PI()/180)*$F$21)*$C$25*1000)/9.81*$AA$99/$O$47*$F$193*'int. presets cp_10d'!$E$214-$N$47/$O$47*$C$20*$F$21</f>
        <v>16.724168738246576</v>
      </c>
    </row>
    <row r="118" spans="2:133" x14ac:dyDescent="0.2">
      <c r="B118" s="1580" t="s">
        <v>465</v>
      </c>
      <c r="C118" s="1581">
        <v>0</v>
      </c>
      <c r="D118" s="1582" t="s">
        <v>465</v>
      </c>
      <c r="E118" s="479" t="s">
        <v>461</v>
      </c>
      <c r="F118" s="1057" t="e">
        <f t="shared" si="78"/>
        <v>#REF!</v>
      </c>
      <c r="G118" s="1057" t="e">
        <f t="shared" si="79"/>
        <v>#REF!</v>
      </c>
      <c r="H118" s="1057" t="e">
        <f t="shared" si="72"/>
        <v>#REF!</v>
      </c>
      <c r="I118" s="1054" t="e">
        <f t="shared" si="73"/>
        <v>#REF!</v>
      </c>
      <c r="J118" s="1057" t="e">
        <f t="shared" si="74"/>
        <v>#REF!</v>
      </c>
      <c r="K118" s="1064" t="e">
        <f t="shared" si="75"/>
        <v>#REF!</v>
      </c>
      <c r="L118" s="940">
        <f t="shared" ca="1" si="76"/>
        <v>15.729431325768878</v>
      </c>
      <c r="M118" s="1073">
        <f t="shared" ca="1" si="77"/>
        <v>34.677418889416579</v>
      </c>
      <c r="N118" s="1069" t="e">
        <f>(-#REF!*COS($F$18*PI()/180)*$F$21)*$N$99*$C$25*1000/9.81/$O$47*$D$193*#REF!-$N$47/$O$47*$C$20*$F$21</f>
        <v>#REF!</v>
      </c>
      <c r="O118" s="198" t="e">
        <f>(SQRT(((-#REF!*SIN($F$18*PI()/180)*$F$21)*$C$25*1000)^2+(0.001*$C$25*1000*$F$21)^2)/$C$30+(-#REF!*COS($F$18*PI()/180)*$F$21)*$C$25*1000)/9.81*$O$99/$O$47*$F$193*#REF!-$N$47/$O$47*$C$20*$F$21</f>
        <v>#REF!</v>
      </c>
      <c r="P118" s="161" t="e">
        <f>(-#REF!*COS($F$18*PI()/180)*$F$21)*$P$99*$C$25*1000/9.81/$O$47*$D$193*#REF!-$N$47/$O$47*$C$20*$F$21</f>
        <v>#REF!</v>
      </c>
      <c r="Q118" s="198" t="e">
        <f>(SQRT(((-#REF!*SIN($F$18*PI()/180)*$F$21)*$C$25*1000)^2+(0.001*$C$25*1000*$F$21)^2)/$C$30+(-#REF!*COS($F$18*PI()/180)*$F$21)*$C$25*1000)/9.81*$Q$99/$O$47*$F$193*#REF!-$N$47/$O$47*$C$20*$F$21</f>
        <v>#REF!</v>
      </c>
      <c r="R118" s="161" t="e">
        <f>(-#REF!*COS($F$18*PI()/180)*$F$21)*$R$99*$C$25*1000/9.81/$O$47*$D$193*#REF!-$N$47/$O$47*$C$20*$F$21</f>
        <v>#REF!</v>
      </c>
      <c r="S118" s="198" t="e">
        <f>(SQRT(((-#REF!*SIN($F$18*PI()/180)*$F$21)*$C$25*1000)^2+(0.001*$C$25*1000*$F$21)^2)/$C$30+(-#REF!*COS($F$18*PI()/180)*$F$21)*$C$25*1000)/9.81*$S$99/$O$47*$F$193*#REF!-$N$47/$O$47*$C$20*$F$21</f>
        <v>#REF!</v>
      </c>
      <c r="T118" s="161" t="e">
        <f>(-#REF!*COS($F$18*PI()/180)*$F$21)*$T$99*$C$25*1000/9.81/$O$47*$D$193*#REF!-$N$47/$O$47*$C$20*$F$21</f>
        <v>#REF!</v>
      </c>
      <c r="U118" s="198" t="e">
        <f>(SQRT(((-#REF!*SIN($F$18*PI()/180)*$F$21)*$C$25*1000)^2+(0.001*$C$25*1000*$F$21)^2)/$C$30+(-#REF!*COS($F$18*PI()/180)*$F$21)*$C$25*1000)/9.81*$U$99/$O$47*$F$193*#REF!-$N$47/$O$47*$C$20*$F$21</f>
        <v>#REF!</v>
      </c>
      <c r="V118" s="161" t="e">
        <f>(-#REF!*COS($F$18*PI()/180)*$F$21)*$V$99*$C$25*1000/9.81/$O$47*$D$193*#REF!-$N$47/$O$47*$C$20*$F$21</f>
        <v>#REF!</v>
      </c>
      <c r="W118" s="198" t="e">
        <f>(SQRT(((-#REF!*SIN($F$18*PI()/180)*$F$21)*$C$25*1000)^2+(0.001*$C$25*1000*$F$21)^2)/$C$30+(-#REF!*COS($F$18*PI()/180)*$F$21)*$C$25*1000)/9.81*$W$99/$O$47*$F$193*#REF!-$N$47/$O$47*$C$20*$F$21</f>
        <v>#REF!</v>
      </c>
      <c r="X118" s="161" t="e">
        <f>(-#REF!*COS($F$18*PI()/180)*$F$21)*$X$99*$C$25*1000/9.81/$O$47*$D$193*#REF!-$N$47/$O$47*$C$20*$F$21</f>
        <v>#REF!</v>
      </c>
      <c r="Y118" s="198" t="e">
        <f>(SQRT(((-#REF!*SIN($F$18*PI()/180)*$F$21)*$C$25*1000)^2+(0.001*$C$25*1000*$F$21)^2)/$C$30+(-#REF!*COS($F$18*PI()/180)*$F$21)*$C$25*1000)/9.81*$Y$99/$O$47*$F$193*#REF!-$N$47/$O$47*$C$20*$F$21</f>
        <v>#REF!</v>
      </c>
      <c r="Z118" s="161">
        <f ca="1">(-'int. presets cp_10d'!J32*COS($F$18*PI()/180)*$F$21)*$Z$99*$C$25*1000/9.81/$O$47*$D$193*'int. presets cp_10d'!$J$214-$N$47/$O$47*$C$20*$F$21</f>
        <v>7.3152197320027454</v>
      </c>
      <c r="AA118" s="1026">
        <f ca="1">(SQRT(((-'int. presets cp_10d'!E32*SIN($F$18*PI()/180)*$F$21)*$C$25*1000)^2+(0.001*$C$25*1000*$F$21)^2)/$C$30+(-'int. presets cp_10d'!E32*COS($F$18*PI()/180)*$F$21)*$C$25*1000)/9.81*$AA$99/$O$47*$F$193*'int. presets cp_10d'!$E$214-$N$47/$O$47*$C$20*$F$21</f>
        <v>15.729431325768878</v>
      </c>
    </row>
    <row r="119" spans="2:133" ht="13.5" customHeight="1" thickBot="1" x14ac:dyDescent="0.25">
      <c r="B119" s="1583" t="e">
        <v>#REF!</v>
      </c>
      <c r="C119" s="1584">
        <v>0</v>
      </c>
      <c r="D119" s="1585">
        <v>0</v>
      </c>
      <c r="E119" s="989" t="s">
        <v>462</v>
      </c>
      <c r="F119" s="1055" t="e">
        <f t="shared" si="78"/>
        <v>#REF!</v>
      </c>
      <c r="G119" s="1055" t="e">
        <f t="shared" si="79"/>
        <v>#REF!</v>
      </c>
      <c r="H119" s="1055" t="e">
        <f>MAX(R119,S119)</f>
        <v>#REF!</v>
      </c>
      <c r="I119" s="1056" t="e">
        <f t="shared" si="73"/>
        <v>#REF!</v>
      </c>
      <c r="J119" s="1055" t="e">
        <f t="shared" si="74"/>
        <v>#REF!</v>
      </c>
      <c r="K119" s="1063" t="e">
        <f t="shared" si="75"/>
        <v>#REF!</v>
      </c>
      <c r="L119" s="990">
        <f t="shared" ca="1" si="76"/>
        <v>15.729431325768878</v>
      </c>
      <c r="M119" s="1072">
        <f t="shared" ca="1" si="77"/>
        <v>34.677418889416579</v>
      </c>
      <c r="N119" s="1069" t="e">
        <f>(-#REF!*COS($F$18*PI()/180)*$F$21)*$N$99*$C$25*1000/9.81/$O$47*$D$193*#REF!-$N$47/$O$47*$C$20*$F$21</f>
        <v>#REF!</v>
      </c>
      <c r="O119" s="162" t="e">
        <f>(SQRT(((-#REF!*SIN($F$18*PI()/180)*$F$21)*$C$25*1000)^2+(0.001*$C$25*1000*$F$21)^2)/$C$30+(-#REF!*COS($F$18*PI()/180)*$F$21)*$C$25*1000)/9.81*$O$99/$O$47*$F$193*#REF!-$N$47/$O$47*$C$20*$F$21</f>
        <v>#REF!</v>
      </c>
      <c r="P119" s="161" t="e">
        <f>(-#REF!*COS($F$18*PI()/180)*$F$21)*$P$99*$C$25*1000/9.81/$O$47*$D$193*#REF!-$N$47/$O$47*$C$20*$F$21</f>
        <v>#REF!</v>
      </c>
      <c r="Q119" s="162" t="e">
        <f>(SQRT(((-#REF!*SIN($F$18*PI()/180)*$F$21)*$C$25*1000)^2+(0.001*$C$25*1000*$F$21)^2)/$C$30+(-#REF!*COS($F$18*PI()/180)*$F$21)*$C$25*1000)/9.81*$Q$99/$O$47*$F$193*#REF!-$N$47/$O$47*$C$20*$F$21</f>
        <v>#REF!</v>
      </c>
      <c r="R119" s="161" t="e">
        <f>(-#REF!*COS($F$18*PI()/180)*$F$21)*$R$99*$C$25*1000/9.81/$O$47*$D$193*#REF!-$N$47/$O$47*$C$20*$F$21</f>
        <v>#REF!</v>
      </c>
      <c r="S119" s="162" t="e">
        <f>(SQRT(((-#REF!*SIN($F$18*PI()/180)*$F$21)*$C$25*1000)^2+(0.001*$C$25*1000*$F$21)^2)/$C$30+(-#REF!*COS($F$18*PI()/180)*$F$21)*$C$25*1000)/9.81*$S$99/$O$47*$F$193*#REF!-$N$47/$O$47*$C$20*$F$21</f>
        <v>#REF!</v>
      </c>
      <c r="T119" s="161" t="e">
        <f>(-#REF!*COS($F$18*PI()/180)*$F$21)*$T$99*$C$25*1000/9.81/$O$47*$D$193*#REF!-$N$47/$O$47*$C$20*$F$21</f>
        <v>#REF!</v>
      </c>
      <c r="U119" s="162" t="e">
        <f>(SQRT(((-#REF!*SIN($F$18*PI()/180)*$F$21)*$C$25*1000)^2+(0.001*$C$25*1000*$F$21)^2)/$C$30+(-#REF!*COS($F$18*PI()/180)*$F$21)*$C$25*1000)/9.81*$U$99/$O$47*$F$193*#REF!-$N$47/$O$47*$C$20*$F$21</f>
        <v>#REF!</v>
      </c>
      <c r="V119" s="161" t="e">
        <f>(-#REF!*COS($F$18*PI()/180)*$F$21)*$V$99*$C$25*1000/9.81/$O$47*$D$193*#REF!-$N$47/$O$47*$C$20*$F$21</f>
        <v>#REF!</v>
      </c>
      <c r="W119" s="162" t="e">
        <f>(SQRT(((-#REF!*SIN($F$18*PI()/180)*$F$21)*$C$25*1000)^2+(0.001*$C$25*1000*$F$21)^2)/$C$30+(-#REF!*COS($F$18*PI()/180)*$F$21)*$C$25*1000)/9.81*$W$99/$O$47*$F$193*#REF!-$N$47/$O$47*$C$20*$F$21</f>
        <v>#REF!</v>
      </c>
      <c r="X119" s="161" t="e">
        <f>(-#REF!*COS($F$18*PI()/180)*$F$21)*$X$99*$C$25*1000/9.81/$O$47*$D$193*#REF!-$N$47/$O$47*$C$20*$F$21</f>
        <v>#REF!</v>
      </c>
      <c r="Y119" s="162" t="e">
        <f>(SQRT(((-#REF!*SIN($F$18*PI()/180)*$F$21)*$C$25*1000)^2+(0.001*$C$25*1000*$F$21)^2)/$C$30+(-#REF!*COS($F$18*PI()/180)*$F$21)*$C$25*1000)/9.81*$Y$99/$O$47*$F$193*#REF!-$N$47/$O$47*$C$20*$F$21</f>
        <v>#REF!</v>
      </c>
      <c r="Z119" s="161">
        <f ca="1">(-'int. presets cp_10d'!J33*COS($F$18*PI()/180)*$F$21)*$Z$99*$C$25*1000/9.81/$O$47*$D$193*'int. presets cp_10d'!$J$214-$N$47/$O$47*$C$20*$F$21</f>
        <v>7.7913200922285242</v>
      </c>
      <c r="AA119" s="1030">
        <f ca="1">(SQRT(((-'int. presets cp_10d'!E33*SIN($F$18*PI()/180)*$F$21)*$C$25*1000)^2+(0.001*$C$25*1000*$F$21)^2)/$C$30+(-'int. presets cp_10d'!E33*COS($F$18*PI()/180)*$F$21)*$C$25*1000)/9.81*$AA$99/$O$47*$F$193*'int. presets cp_10d'!$E$214-$N$47/$O$47*$C$20*$F$21</f>
        <v>15.729431325768878</v>
      </c>
    </row>
    <row r="120" spans="2:133" ht="16.5" customHeight="1" thickTop="1" thickBot="1" x14ac:dyDescent="0.25">
      <c r="B120" s="1658" t="s">
        <v>341</v>
      </c>
      <c r="C120" s="1659"/>
      <c r="D120" s="1659"/>
      <c r="E120" s="1659"/>
      <c r="F120" s="1659"/>
      <c r="G120" s="1659"/>
      <c r="H120" s="1659"/>
      <c r="I120" s="1659"/>
      <c r="J120" s="1659"/>
      <c r="K120" s="1659"/>
      <c r="L120" s="1660"/>
      <c r="M120" s="1067"/>
      <c r="N120" s="1006"/>
      <c r="O120" s="1007"/>
      <c r="P120" s="1007"/>
      <c r="Q120" s="1007"/>
      <c r="R120" s="1007"/>
      <c r="S120" s="1007"/>
      <c r="T120" s="1007"/>
      <c r="U120" s="1007"/>
      <c r="V120" s="1007"/>
      <c r="W120" s="1007"/>
      <c r="X120" s="1007"/>
      <c r="Y120" s="1007"/>
      <c r="Z120" s="1007"/>
      <c r="AA120" s="1010"/>
    </row>
    <row r="121" spans="2:133" x14ac:dyDescent="0.2">
      <c r="B121" s="1580" t="s">
        <v>460</v>
      </c>
      <c r="C121" s="1581">
        <v>0</v>
      </c>
      <c r="D121" s="1582">
        <v>0</v>
      </c>
      <c r="E121" s="350" t="s">
        <v>461</v>
      </c>
      <c r="F121" s="1053" t="e">
        <f t="shared" ref="F121:F128" si="80">MAX(N121,O121)</f>
        <v>#REF!</v>
      </c>
      <c r="G121" s="1053" t="e">
        <f t="shared" ref="G121:G128" si="81">MAX(P121,Q121)</f>
        <v>#REF!</v>
      </c>
      <c r="H121" s="1053" t="e">
        <f t="shared" si="72"/>
        <v>#REF!</v>
      </c>
      <c r="I121" s="1061" t="e">
        <f t="shared" si="73"/>
        <v>#REF!</v>
      </c>
      <c r="J121" s="1053" t="e">
        <f t="shared" si="74"/>
        <v>#REF!</v>
      </c>
      <c r="K121" s="1062" t="e">
        <f t="shared" si="75"/>
        <v>#REF!</v>
      </c>
      <c r="L121" s="940">
        <f t="shared" ca="1" si="76"/>
        <v>10.342906472120134</v>
      </c>
      <c r="M121" s="1071">
        <f t="shared" ca="1" si="77"/>
        <v>22.80217846656549</v>
      </c>
      <c r="N121" s="497" t="e">
        <f>(-#REF!*COS($F$18*PI()/180)*$F$21)*$N$99*$C$25*1000/9.81/$O$47*$D$193*#REF!-$N$47/$O$47*$C$20*$F$21</f>
        <v>#REF!</v>
      </c>
      <c r="O121" s="198" t="e">
        <f>(SQRT(((-#REF!*SIN($F$18*PI()/180)*$F$21)*$C$25*1000)^2+(0.001*$C$25*1000*$F$21)^2)/$C$30+(-#REF!*COS($F$18*PI()/180)*$F$21)*$C$25*1000)/9.81*$O$99/$O$47*$F$193*#REF!-$N$47/$O$47*$C$20*$F$21</f>
        <v>#REF!</v>
      </c>
      <c r="P121" s="181" t="e">
        <f>(-#REF!*COS($F$18*PI()/180)*$F$21)*$P$99*$C$25*1000/9.81/$O$47*$D$193*#REF!-$N$47/$O$47*$C$20*$F$21</f>
        <v>#REF!</v>
      </c>
      <c r="Q121" s="198" t="e">
        <f>(SQRT(((-#REF!*SIN($F$18*PI()/180)*$F$21)*$C$25*1000)^2+(0.001*$C$25*1000*$F$21)^2)/$C$30+(-#REF!*COS($F$18*PI()/180)*$F$21)*$C$25*1000)/9.81*$Q$99/$O$47*$F$193*#REF!-$N$47/$O$47*$C$20*$F$21</f>
        <v>#REF!</v>
      </c>
      <c r="R121" s="181" t="e">
        <f>(-#REF!*COS($F$18*PI()/180)*$F$21)*$R$99*$C$25*1000/9.81/$O$47*$D$193*#REF!-$N$47/$O$47*$C$20*$F$21</f>
        <v>#REF!</v>
      </c>
      <c r="S121" s="198" t="e">
        <f>(SQRT(((-#REF!*SIN($F$18*PI()/180)*$F$21)*$C$25*1000)^2+(0.001*$C$25*1000*$F$21)^2)/$C$30+(-#REF!*COS($F$18*PI()/180)*$F$21)*$C$25*1000)/9.81*$S$99/$O$47*$F$193*#REF!-$N$47/$O$47*$C$20*$F$21</f>
        <v>#REF!</v>
      </c>
      <c r="T121" s="181" t="e">
        <f>(-#REF!*COS($F$18*PI()/180)*$F$21)*$T$99*$C$25*1000/9.81/$O$47*$D$193*#REF!-$N$47/$O$47*$C$20*$F$21</f>
        <v>#REF!</v>
      </c>
      <c r="U121" s="198" t="e">
        <f>(SQRT(((-#REF!*SIN($F$18*PI()/180)*$F$21)*$C$25*1000)^2+(0.001*$C$25*1000*$F$21)^2)/$C$30+(-#REF!*COS($F$18*PI()/180)*$F$21)*$C$25*1000)/9.81*$U$99/$O$47*$F$193*#REF!-$N$47/$O$47*$C$20*$F$21</f>
        <v>#REF!</v>
      </c>
      <c r="V121" s="181" t="e">
        <f>(-#REF!*COS($F$18*PI()/180)*$F$21)*$V$99*$C$25*1000/9.81/$O$47*$D$193*#REF!-$N$47/$O$47*$C$20*$F$21</f>
        <v>#REF!</v>
      </c>
      <c r="W121" s="198" t="e">
        <f>(SQRT(((-#REF!*SIN($F$18*PI()/180)*$F$21)*$C$25*1000)^2+(0.001*$C$25*1000*$F$21)^2)/$C$30+(-#REF!*COS($F$18*PI()/180)*$F$21)*$C$25*1000)/9.81*$W$99/$O$47*$F$193*#REF!-$N$47/$O$47*$C$20*$F$21</f>
        <v>#REF!</v>
      </c>
      <c r="X121" s="181" t="e">
        <f>(-#REF!*COS($F$18*PI()/180)*$F$21)*$X$99*$C$25*1000/9.81/$O$47*$D$193*#REF!-$N$47/$O$47*$C$20*$F$21</f>
        <v>#REF!</v>
      </c>
      <c r="Y121" s="198" t="e">
        <f>(SQRT(((-#REF!*SIN($F$18*PI()/180)*$F$21)*$C$25*1000)^2+(0.001*$C$25*1000*$F$21)^2)/$C$30+(-#REF!*COS($F$18*PI()/180)*$F$21)*$C$25*1000)/9.81*$Y$99/$O$47*$F$193*#REF!-$N$47/$O$47*$C$20*$F$21</f>
        <v>#REF!</v>
      </c>
      <c r="Z121" s="181">
        <f ca="1">(-'int. presets cp_10d'!K26*COS($F$18*PI()/180)*$F$21)*$Z$99*$C$25*1000/9.81/$O$47*$D$193*'int. presets cp_10d'!$K$214-$N$47/$O$47*$C$20*$F$21</f>
        <v>7.4562224317320798</v>
      </c>
      <c r="AA121" s="1026">
        <f ca="1">(SQRT(((-'int. presets cp_10d'!F26*SIN($F$18*PI()/180)*$F$21)*$C$25*1000)^2+(0.001*$C$25*1000*$F$21)^2)/$C$30+(-'int. presets cp_10d'!F26*COS($F$18*PI()/180)*$F$21)*$C$25*1000)/9.81*$AA$99/$O$47*$F$193*'int. presets cp_10d'!$F$214-$N$47/$O$47*$C$20*$F$21</f>
        <v>10.342906472120134</v>
      </c>
    </row>
    <row r="122" spans="2:133" ht="13.5" thickBot="1" x14ac:dyDescent="0.25">
      <c r="B122" s="1586">
        <v>0</v>
      </c>
      <c r="C122" s="1587">
        <v>0</v>
      </c>
      <c r="D122" s="1588">
        <v>0</v>
      </c>
      <c r="E122" s="344" t="s">
        <v>462</v>
      </c>
      <c r="F122" s="1055" t="e">
        <f t="shared" si="80"/>
        <v>#REF!</v>
      </c>
      <c r="G122" s="1055" t="e">
        <f t="shared" si="81"/>
        <v>#REF!</v>
      </c>
      <c r="H122" s="1055" t="e">
        <f t="shared" si="72"/>
        <v>#REF!</v>
      </c>
      <c r="I122" s="1056" t="e">
        <f t="shared" si="73"/>
        <v>#REF!</v>
      </c>
      <c r="J122" s="1055" t="e">
        <f t="shared" si="74"/>
        <v>#REF!</v>
      </c>
      <c r="K122" s="1063" t="e">
        <f t="shared" si="75"/>
        <v>#REF!</v>
      </c>
      <c r="L122" s="941">
        <f t="shared" ca="1" si="76"/>
        <v>10.342906472120134</v>
      </c>
      <c r="M122" s="1072">
        <f t="shared" ca="1" si="77"/>
        <v>22.80217846656549</v>
      </c>
      <c r="N122" s="1068" t="e">
        <f>(-#REF!*COS($F$18*PI()/180)*$F$21)*$N$99*$C$25*1000/9.81/$O$47*$D$193*#REF!-$N$47/$O$47*$C$20*$F$21</f>
        <v>#REF!</v>
      </c>
      <c r="O122" s="164" t="e">
        <f>(SQRT(((-#REF!*SIN($F$18*PI()/180)*$F$21)*$C$25*1000)^2+(0.001*$C$25*1000*$F$21)^2)/$C$30+(-#REF!*COS($F$18*PI()/180)*$F$21)*$C$25*1000)/9.81*$O$99/$O$47*$F$193*#REF!-$N$47/$O$47*$C$20*$F$21</f>
        <v>#REF!</v>
      </c>
      <c r="P122" s="199" t="e">
        <f>(-#REF!*COS($F$18*PI()/180)*$F$21)*$P$99*$C$25*1000/9.81/$O$47*$D$193*#REF!-$N$47/$O$47*$C$20*$F$21</f>
        <v>#REF!</v>
      </c>
      <c r="Q122" s="164" t="e">
        <f>(SQRT(((-#REF!*SIN($F$18*PI()/180)*$F$21)*$C$25*1000)^2+(0.001*$C$25*1000*$F$21)^2)/$C$30+(-#REF!*COS($F$18*PI()/180)*$F$21)*$C$25*1000)/9.81*$Q$99/$O$47*$F$193*#REF!-$N$47/$O$47*$C$20*$F$21</f>
        <v>#REF!</v>
      </c>
      <c r="R122" s="199" t="e">
        <f>(-#REF!*COS($F$18*PI()/180)*$F$21)*$R$99*$C$25*1000/9.81/$O$47*$D$193*#REF!-$N$47/$O$47*$C$20*$F$21</f>
        <v>#REF!</v>
      </c>
      <c r="S122" s="164" t="e">
        <f>(SQRT(((-#REF!*SIN($F$18*PI()/180)*$F$21)*$C$25*1000)^2+(0.001*$C$25*1000*$F$21)^2)/$C$30+(-#REF!*COS($F$18*PI()/180)*$F$21)*$C$25*1000)/9.81*$S$99/$O$47*$F$193*#REF!-$N$47/$O$47*$C$20*$F$21</f>
        <v>#REF!</v>
      </c>
      <c r="T122" s="199" t="e">
        <f>(-#REF!*COS($F$18*PI()/180)*$F$21)*$T$99*$C$25*1000/9.81/$O$47*$D$193*#REF!-$N$47/$O$47*$C$20*$F$21</f>
        <v>#REF!</v>
      </c>
      <c r="U122" s="164" t="e">
        <f>(SQRT(((-#REF!*SIN($F$18*PI()/180)*$F$21)*$C$25*1000)^2+(0.001*$C$25*1000*$F$21)^2)/$C$30+(-#REF!*COS($F$18*PI()/180)*$F$21)*$C$25*1000)/9.81*$U$99/$O$47*$F$193*#REF!-$N$47/$O$47*$C$20*$F$21</f>
        <v>#REF!</v>
      </c>
      <c r="V122" s="199" t="e">
        <f>(-#REF!*COS($F$18*PI()/180)*$F$21)*$V$99*$C$25*1000/9.81/$O$47*$D$193*#REF!-$N$47/$O$47*$C$20*$F$21</f>
        <v>#REF!</v>
      </c>
      <c r="W122" s="164" t="e">
        <f>(SQRT(((-#REF!*SIN($F$18*PI()/180)*$F$21)*$C$25*1000)^2+(0.001*$C$25*1000*$F$21)^2)/$C$30+(-#REF!*COS($F$18*PI()/180)*$F$21)*$C$25*1000)/9.81*$W$99/$O$47*$F$193*#REF!-$N$47/$O$47*$C$20*$F$21</f>
        <v>#REF!</v>
      </c>
      <c r="X122" s="199" t="e">
        <f>(-#REF!*COS($F$18*PI()/180)*$F$21)*$X$99*$C$25*1000/9.81/$O$47*$D$193*#REF!-$N$47/$O$47*$C$20*$F$21</f>
        <v>#REF!</v>
      </c>
      <c r="Y122" s="164" t="e">
        <f>(SQRT(((-#REF!*SIN($F$18*PI()/180)*$F$21)*$C$25*1000)^2+(0.001*$C$25*1000*$F$21)^2)/$C$30+(-#REF!*COS($F$18*PI()/180)*$F$21)*$C$25*1000)/9.81*$Y$99/$O$47*$F$193*#REF!-$N$47/$O$47*$C$20*$F$21</f>
        <v>#REF!</v>
      </c>
      <c r="Z122" s="199">
        <f ca="1">(-'int. presets cp_10d'!K27*COS($F$18*PI()/180)*$F$21)*$Z$99*$C$25*1000/9.81/$O$47*$D$193*'int. presets cp_10d'!$K$214-$N$47/$O$47*$C$20*$F$21</f>
        <v>2.49182912360979E-3</v>
      </c>
      <c r="AA122" s="1028">
        <f ca="1">(SQRT(((-'int. presets cp_10d'!F27*SIN($F$18*PI()/180)*$F$21)*$C$25*1000)^2+(0.001*$C$25*1000*$F$21)^2)/$C$30+(-'int. presets cp_10d'!F27*COS($F$18*PI()/180)*$F$21)*$C$25*1000)/9.81*$AA$99/$O$47*$F$193*'int. presets cp_10d'!$F$214-$N$47/$O$47*$C$20*$F$21</f>
        <v>10.342906472120134</v>
      </c>
    </row>
    <row r="123" spans="2:133" ht="12.75" customHeight="1" x14ac:dyDescent="0.2">
      <c r="B123" s="1580" t="s">
        <v>463</v>
      </c>
      <c r="C123" s="1581">
        <v>0</v>
      </c>
      <c r="D123" s="1582" t="s">
        <v>463</v>
      </c>
      <c r="E123" s="348" t="s">
        <v>461</v>
      </c>
      <c r="F123" s="1057" t="e">
        <f t="shared" si="80"/>
        <v>#REF!</v>
      </c>
      <c r="G123" s="1057" t="e">
        <f t="shared" si="81"/>
        <v>#REF!</v>
      </c>
      <c r="H123" s="1057" t="e">
        <f t="shared" si="72"/>
        <v>#REF!</v>
      </c>
      <c r="I123" s="1054" t="e">
        <f t="shared" si="73"/>
        <v>#REF!</v>
      </c>
      <c r="J123" s="1057" t="e">
        <f t="shared" si="74"/>
        <v>#REF!</v>
      </c>
      <c r="K123" s="1064" t="e">
        <f t="shared" si="75"/>
        <v>#REF!</v>
      </c>
      <c r="L123" s="940">
        <f t="shared" ca="1" si="76"/>
        <v>10.342906472120134</v>
      </c>
      <c r="M123" s="1073">
        <f t="shared" ca="1" si="77"/>
        <v>22.80217846656549</v>
      </c>
      <c r="N123" s="1069" t="e">
        <f>(-#REF!*COS($F$18*PI()/180)*$F$21)*$N$99*$C$25*1000/9.81/$O$47*$D$193*#REF!-$N$47/$O$47*$C$20*$F$21</f>
        <v>#REF!</v>
      </c>
      <c r="O123" s="162" t="e">
        <f>(SQRT(((-#REF!*SIN($F$18*PI()/180)*$F$21)*$C$25*1000)^2+(0.001*$C$25*1000*$F$21)^2)/$C$30+(-#REF!*COS($F$18*PI()/180)*$F$21)*$C$25*1000)/9.81*$O$99/$O$47*$F$193*#REF!-$N$47/$O$47*$C$20*$F$21</f>
        <v>#REF!</v>
      </c>
      <c r="P123" s="161" t="e">
        <f>(-#REF!*COS($F$18*PI()/180)*$F$21)*$P$99*$C$25*1000/9.81/$O$47*$D$193*#REF!-$N$47/$O$47*$C$20*$F$21</f>
        <v>#REF!</v>
      </c>
      <c r="Q123" s="162" t="e">
        <f>(SQRT(((-#REF!*SIN($F$18*PI()/180)*$F$21)*$C$25*1000)^2+(0.001*$C$25*1000*$F$21)^2)/$C$30+(-#REF!*COS($F$18*PI()/180)*$F$21)*$C$25*1000)/9.81*$Q$99/$O$47*$F$193*#REF!-$N$47/$O$47*$C$20*$F$21</f>
        <v>#REF!</v>
      </c>
      <c r="R123" s="161" t="e">
        <f>(-#REF!*COS($F$18*PI()/180)*$F$21)*$R$99*$C$25*1000/9.81/$O$47*$D$193*#REF!-$N$47/$O$47*$C$20*$F$21</f>
        <v>#REF!</v>
      </c>
      <c r="S123" s="162" t="e">
        <f>(SQRT(((-#REF!*SIN($F$18*PI()/180)*$F$21)*$C$25*1000)^2+(0.001*$C$25*1000*$F$21)^2)/$C$30+(-#REF!*COS($F$18*PI()/180)*$F$21)*$C$25*1000)/9.81*$S$99/$O$47*$F$193*#REF!-$N$47/$O$47*$C$20*$F$21</f>
        <v>#REF!</v>
      </c>
      <c r="T123" s="161" t="e">
        <f>(-#REF!*COS($F$18*PI()/180)*$F$21)*$T$99*$C$25*1000/9.81/$O$47*$D$193*#REF!-$N$47/$O$47*$C$20*$F$21</f>
        <v>#REF!</v>
      </c>
      <c r="U123" s="162" t="e">
        <f>(SQRT(((-#REF!*SIN($F$18*PI()/180)*$F$21)*$C$25*1000)^2+(0.001*$C$25*1000*$F$21)^2)/$C$30+(-#REF!*COS($F$18*PI()/180)*$F$21)*$C$25*1000)/9.81*$U$99/$O$47*$F$193*#REF!-$N$47/$O$47*$C$20*$F$21</f>
        <v>#REF!</v>
      </c>
      <c r="V123" s="161" t="e">
        <f>(-#REF!*COS($F$18*PI()/180)*$F$21)*$V$99*$C$25*1000/9.81/$O$47*$D$193*#REF!-$N$47/$O$47*$C$20*$F$21</f>
        <v>#REF!</v>
      </c>
      <c r="W123" s="162" t="e">
        <f>(SQRT(((-#REF!*SIN($F$18*PI()/180)*$F$21)*$C$25*1000)^2+(0.001*$C$25*1000*$F$21)^2)/$C$30+(-#REF!*COS($F$18*PI()/180)*$F$21)*$C$25*1000)/9.81*$W$99/$O$47*$F$193*#REF!-$N$47/$O$47*$C$20*$F$21</f>
        <v>#REF!</v>
      </c>
      <c r="X123" s="161" t="e">
        <f>(-#REF!*COS($F$18*PI()/180)*$F$21)*$X$99*$C$25*1000/9.81/$O$47*$D$193*#REF!-$N$47/$O$47*$C$20*$F$21</f>
        <v>#REF!</v>
      </c>
      <c r="Y123" s="162" t="e">
        <f>(SQRT(((-#REF!*SIN($F$18*PI()/180)*$F$21)*$C$25*1000)^2+(0.001*$C$25*1000*$F$21)^2)/$C$30+(-#REF!*COS($F$18*PI()/180)*$F$21)*$C$25*1000)/9.81*$Y$99/$O$47*$F$193*#REF!-$N$47/$O$47*$C$20*$F$21</f>
        <v>#REF!</v>
      </c>
      <c r="Z123" s="161">
        <f ca="1">(-'int. presets cp_10d'!K28*COS($F$18*PI()/180)*$F$21)*$Z$99*$C$25*1000/9.81/$O$47*$D$193*'int. presets cp_10d'!$K$214-$N$47/$O$47*$C$20*$F$21</f>
        <v>-3.9802471014425365</v>
      </c>
      <c r="AA123" s="1030">
        <f ca="1">(SQRT(((-'int. presets cp_10d'!F28*SIN($F$18*PI()/180)*$F$21)*$C$25*1000)^2+(0.001*$C$25*1000*$F$21)^2)/$C$30+(-'int. presets cp_10d'!F28*COS($F$18*PI()/180)*$F$21)*$C$25*1000)/9.81*$AA$99/$O$47*$F$193*'int. presets cp_10d'!$F$214-$N$47/$O$47*$C$20*$F$21</f>
        <v>10.342906472120134</v>
      </c>
    </row>
    <row r="124" spans="2:133" ht="13.5" thickBot="1" x14ac:dyDescent="0.25">
      <c r="B124" s="1586" t="e">
        <v>#REF!</v>
      </c>
      <c r="C124" s="1587">
        <v>0</v>
      </c>
      <c r="D124" s="1588">
        <v>0</v>
      </c>
      <c r="E124" s="344" t="s">
        <v>462</v>
      </c>
      <c r="F124" s="1055" t="e">
        <f t="shared" si="80"/>
        <v>#REF!</v>
      </c>
      <c r="G124" s="1055" t="e">
        <f t="shared" si="81"/>
        <v>#REF!</v>
      </c>
      <c r="H124" s="1055" t="e">
        <f t="shared" si="72"/>
        <v>#REF!</v>
      </c>
      <c r="I124" s="1056" t="e">
        <f t="shared" si="73"/>
        <v>#REF!</v>
      </c>
      <c r="J124" s="1055" t="e">
        <f t="shared" si="74"/>
        <v>#REF!</v>
      </c>
      <c r="K124" s="1063" t="e">
        <f t="shared" si="75"/>
        <v>#REF!</v>
      </c>
      <c r="L124" s="941">
        <f t="shared" ca="1" si="76"/>
        <v>10.342906472120134</v>
      </c>
      <c r="M124" s="1072">
        <f t="shared" ca="1" si="77"/>
        <v>22.80217846656549</v>
      </c>
      <c r="N124" s="1068" t="e">
        <f>(-#REF!*COS($F$18*PI()/180)*$F$21)*$N$99*$C$25*1000/9.81/$O$47*$D$193*#REF!-$N$47/$O$47*$C$20*$F$21</f>
        <v>#REF!</v>
      </c>
      <c r="O124" s="164" t="e">
        <f>(SQRT(((-#REF!*SIN($F$18*PI()/180)*$F$21)*$C$25*1000)^2+(0.001*$C$25*1000*$F$21)^2)/$C$30+(-#REF!*COS($F$18*PI()/180)*$F$21)*$C$25*1000)/9.81*$O$99/$O$47*$F$193*#REF!-$N$47/$O$47*$C$20*$F$21</f>
        <v>#REF!</v>
      </c>
      <c r="P124" s="199" t="e">
        <f>(-#REF!*COS($F$18*PI()/180)*$F$21)*$P$99*$C$25*1000/9.81/$O$47*$D$193*#REF!-$N$47/$O$47*$C$20*$F$21</f>
        <v>#REF!</v>
      </c>
      <c r="Q124" s="164" t="e">
        <f>(SQRT(((-#REF!*SIN($F$18*PI()/180)*$F$21)*$C$25*1000)^2+(0.001*$C$25*1000*$F$21)^2)/$C$30+(-#REF!*COS($F$18*PI()/180)*$F$21)*$C$25*1000)/9.81*$Q$99/$O$47*$F$193*#REF!-$N$47/$O$47*$C$20*$F$21</f>
        <v>#REF!</v>
      </c>
      <c r="R124" s="199" t="e">
        <f>(-#REF!*COS($F$18*PI()/180)*$F$21)*$R$99*$C$25*1000/9.81/$O$47*$D$193*#REF!-$N$47/$O$47*$C$20*$F$21</f>
        <v>#REF!</v>
      </c>
      <c r="S124" s="164" t="e">
        <f>(SQRT(((-#REF!*SIN($F$18*PI()/180)*$F$21)*$C$25*1000)^2+(0.001*$C$25*1000*$F$21)^2)/$C$30+(-#REF!*COS($F$18*PI()/180)*$F$21)*$C$25*1000)/9.81*$S$99/$O$47*$F$193*#REF!-$N$47/$O$47*$C$20*$F$21</f>
        <v>#REF!</v>
      </c>
      <c r="T124" s="199" t="e">
        <f>(-#REF!*COS($F$18*PI()/180)*$F$21)*$T$99*$C$25*1000/9.81/$O$47*$D$193*#REF!-$N$47/$O$47*$C$20*$F$21</f>
        <v>#REF!</v>
      </c>
      <c r="U124" s="164" t="e">
        <f>(SQRT(((-#REF!*SIN($F$18*PI()/180)*$F$21)*$C$25*1000)^2+(0.001*$C$25*1000*$F$21)^2)/$C$30+(-#REF!*COS($F$18*PI()/180)*$F$21)*$C$25*1000)/9.81*$U$99/$O$47*$F$193*#REF!-$N$47/$O$47*$C$20*$F$21</f>
        <v>#REF!</v>
      </c>
      <c r="V124" s="199" t="e">
        <f>(-#REF!*COS($F$18*PI()/180)*$F$21)*$V$99*$C$25*1000/9.81/$O$47*$D$193*#REF!-$N$47/$O$47*$C$20*$F$21</f>
        <v>#REF!</v>
      </c>
      <c r="W124" s="164" t="e">
        <f>(SQRT(((-#REF!*SIN($F$18*PI()/180)*$F$21)*$C$25*1000)^2+(0.001*$C$25*1000*$F$21)^2)/$C$30+(-#REF!*COS($F$18*PI()/180)*$F$21)*$C$25*1000)/9.81*$W$99/$O$47*$F$193*#REF!-$N$47/$O$47*$C$20*$F$21</f>
        <v>#REF!</v>
      </c>
      <c r="X124" s="199" t="e">
        <f>(-#REF!*COS($F$18*PI()/180)*$F$21)*$X$99*$C$25*1000/9.81/$O$47*$D$193*#REF!-$N$47/$O$47*$C$20*$F$21</f>
        <v>#REF!</v>
      </c>
      <c r="Y124" s="164" t="e">
        <f>(SQRT(((-#REF!*SIN($F$18*PI()/180)*$F$21)*$C$25*1000)^2+(0.001*$C$25*1000*$F$21)^2)/$C$30+(-#REF!*COS($F$18*PI()/180)*$F$21)*$C$25*1000)/9.81*$Y$99/$O$47*$F$193*#REF!-$N$47/$O$47*$C$20*$F$21</f>
        <v>#REF!</v>
      </c>
      <c r="Z124" s="199">
        <f ca="1">(-'int. presets cp_10d'!K29*COS($F$18*PI()/180)*$F$21)*$Z$99*$C$25*1000/9.81/$O$47*$D$193*'int. presets cp_10d'!$K$214-$N$47/$O$47*$C$20*$F$21</f>
        <v>-3.9802471014425365</v>
      </c>
      <c r="AA124" s="1028">
        <f ca="1">(SQRT(((-'int. presets cp_10d'!F29*SIN($F$18*PI()/180)*$F$21)*$C$25*1000)^2+(0.001*$C$25*1000*$F$21)^2)/$C$30+(-'int. presets cp_10d'!F29*COS($F$18*PI()/180)*$F$21)*$C$25*1000)/9.81*$AA$99/$O$47*$F$193*'int. presets cp_10d'!$F$214-$N$47/$O$47*$C$20*$F$21</f>
        <v>10.342906472120134</v>
      </c>
    </row>
    <row r="125" spans="2:133" ht="12.75" customHeight="1" x14ac:dyDescent="0.2">
      <c r="B125" s="1580" t="s">
        <v>464</v>
      </c>
      <c r="C125" s="1581">
        <v>0</v>
      </c>
      <c r="D125" s="1582" t="s">
        <v>464</v>
      </c>
      <c r="E125" s="348" t="s">
        <v>461</v>
      </c>
      <c r="F125" s="1057" t="e">
        <f t="shared" si="80"/>
        <v>#REF!</v>
      </c>
      <c r="G125" s="1057" t="e">
        <f t="shared" si="81"/>
        <v>#REF!</v>
      </c>
      <c r="H125" s="1057" t="e">
        <f t="shared" si="72"/>
        <v>#REF!</v>
      </c>
      <c r="I125" s="1054" t="e">
        <f t="shared" si="73"/>
        <v>#REF!</v>
      </c>
      <c r="J125" s="1057" t="e">
        <f t="shared" si="74"/>
        <v>#REF!</v>
      </c>
      <c r="K125" s="1064" t="e">
        <f t="shared" si="75"/>
        <v>#REF!</v>
      </c>
      <c r="L125" s="940">
        <f t="shared" ca="1" si="76"/>
        <v>10.342906472120134</v>
      </c>
      <c r="M125" s="1073">
        <f t="shared" ca="1" si="77"/>
        <v>22.80217846656549</v>
      </c>
      <c r="N125" s="1069" t="e">
        <f>(-#REF!*COS($F$18*PI()/180)*$F$21)*$N$99*$C$25*1000/9.81/$O$47*$D$193*#REF!-$N$47/$O$47*$C$20*$F$21</f>
        <v>#REF!</v>
      </c>
      <c r="O125" s="162" t="e">
        <f>(SQRT(((-#REF!*SIN($F$18*PI()/180)*$F$21)*$C$25*1000)^2+(0.001*$C$25*1000*$F$21)^2)/$C$30+(-#REF!*COS($F$18*PI()/180)*$F$21)*$C$25*1000)/9.81*$O$99/$O$47*$F$193*#REF!-$N$47/$O$47*$C$20*$F$21</f>
        <v>#REF!</v>
      </c>
      <c r="P125" s="161" t="e">
        <f>(-#REF!*COS($F$18*PI()/180)*$F$21)*$P$99*$C$25*1000/9.81/$O$47*$D$193*#REF!-$N$47/$O$47*$C$20*$F$21</f>
        <v>#REF!</v>
      </c>
      <c r="Q125" s="162" t="e">
        <f>(SQRT(((-#REF!*SIN($F$18*PI()/180)*$F$21)*$C$25*1000)^2+(0.001*$C$25*1000*$F$21)^2)/$C$30+(-#REF!*COS($F$18*PI()/180)*$F$21)*$C$25*1000)/9.81*$Q$99/$O$47*$F$193*#REF!-$N$47/$O$47*$C$20*$F$21</f>
        <v>#REF!</v>
      </c>
      <c r="R125" s="161" t="e">
        <f>(-#REF!*COS($F$18*PI()/180)*$F$21)*$R$99*$C$25*1000/9.81/$O$47*$D$193*#REF!-$N$47/$O$47*$C$20*$F$21</f>
        <v>#REF!</v>
      </c>
      <c r="S125" s="162" t="e">
        <f>(SQRT(((-#REF!*SIN($F$18*PI()/180)*$F$21)*$C$25*1000)^2+(0.001*$C$25*1000*$F$21)^2)/$C$30+(-#REF!*COS($F$18*PI()/180)*$F$21)*$C$25*1000)/9.81*$S$99/$O$47*$F$193*#REF!-$N$47/$O$47*$C$20*$F$21</f>
        <v>#REF!</v>
      </c>
      <c r="T125" s="161" t="e">
        <f>(-#REF!*COS($F$18*PI()/180)*$F$21)*$T$99*$C$25*1000/9.81/$O$47*$D$193*#REF!-$N$47/$O$47*$C$20*$F$21</f>
        <v>#REF!</v>
      </c>
      <c r="U125" s="162" t="e">
        <f>(SQRT(((-#REF!*SIN($F$18*PI()/180)*$F$21)*$C$25*1000)^2+(0.001*$C$25*1000*$F$21)^2)/$C$30+(-#REF!*COS($F$18*PI()/180)*$F$21)*$C$25*1000)/9.81*$U$99/$O$47*$F$193*#REF!-$N$47/$O$47*$C$20*$F$21</f>
        <v>#REF!</v>
      </c>
      <c r="V125" s="161" t="e">
        <f>(-#REF!*COS($F$18*PI()/180)*$F$21)*$V$99*$C$25*1000/9.81/$O$47*$D$193*#REF!-$N$47/$O$47*$C$20*$F$21</f>
        <v>#REF!</v>
      </c>
      <c r="W125" s="162" t="e">
        <f>(SQRT(((-#REF!*SIN($F$18*PI()/180)*$F$21)*$C$25*1000)^2+(0.001*$C$25*1000*$F$21)^2)/$C$30+(-#REF!*COS($F$18*PI()/180)*$F$21)*$C$25*1000)/9.81*$W$99/$O$47*$F$193*#REF!-$N$47/$O$47*$C$20*$F$21</f>
        <v>#REF!</v>
      </c>
      <c r="X125" s="161" t="e">
        <f>(-#REF!*COS($F$18*PI()/180)*$F$21)*$X$99*$C$25*1000/9.81/$O$47*$D$193*#REF!-$N$47/$O$47*$C$20*$F$21</f>
        <v>#REF!</v>
      </c>
      <c r="Y125" s="162" t="e">
        <f>(SQRT(((-#REF!*SIN($F$18*PI()/180)*$F$21)*$C$25*1000)^2+(0.001*$C$25*1000*$F$21)^2)/$C$30+(-#REF!*COS($F$18*PI()/180)*$F$21)*$C$25*1000)/9.81*$Y$99/$O$47*$F$193*#REF!-$N$47/$O$47*$C$20*$F$21</f>
        <v>#REF!</v>
      </c>
      <c r="Z125" s="161">
        <f ca="1">(-'int. presets cp_10d'!K30*COS($F$18*PI()/180)*$F$21)*$Z$99*$C$25*1000/9.81/$O$47*$D$193*'int. presets cp_10d'!$K$214-$N$47/$O$47*$C$20*$F$21</f>
        <v>-2.5915468562587911</v>
      </c>
      <c r="AA125" s="1030">
        <f ca="1">(SQRT(((-'int. presets cp_10d'!F30*SIN($F$18*PI()/180)*$F$21)*$C$25*1000)^2+(0.001*$C$25*1000*$F$21)^2)/$C$30+(-'int. presets cp_10d'!F30*COS($F$18*PI()/180)*$F$21)*$C$25*1000)/9.81*$AA$99/$O$47*$F$193*'int. presets cp_10d'!$F$214-$N$47/$O$47*$C$20*$F$21</f>
        <v>10.342906472120134</v>
      </c>
    </row>
    <row r="126" spans="2:133" ht="13.5" customHeight="1" thickBot="1" x14ac:dyDescent="0.25">
      <c r="B126" s="1586" t="e">
        <v>#REF!</v>
      </c>
      <c r="C126" s="1587">
        <v>0</v>
      </c>
      <c r="D126" s="1588">
        <v>0</v>
      </c>
      <c r="E126" s="344" t="s">
        <v>462</v>
      </c>
      <c r="F126" s="1055" t="e">
        <f t="shared" si="80"/>
        <v>#REF!</v>
      </c>
      <c r="G126" s="1055" t="e">
        <f t="shared" si="81"/>
        <v>#REF!</v>
      </c>
      <c r="H126" s="1055" t="e">
        <f t="shared" si="72"/>
        <v>#REF!</v>
      </c>
      <c r="I126" s="1056" t="e">
        <f t="shared" si="73"/>
        <v>#REF!</v>
      </c>
      <c r="J126" s="1055" t="e">
        <f t="shared" si="74"/>
        <v>#REF!</v>
      </c>
      <c r="K126" s="1063" t="e">
        <f t="shared" si="75"/>
        <v>#REF!</v>
      </c>
      <c r="L126" s="941">
        <f t="shared" ca="1" si="76"/>
        <v>10.342906472120134</v>
      </c>
      <c r="M126" s="1072">
        <f t="shared" ca="1" si="77"/>
        <v>22.80217846656549</v>
      </c>
      <c r="N126" s="1068" t="e">
        <f>(-#REF!*COS($F$18*PI()/180)*$F$21)*$N$99*$C$25*1000/9.81/$O$47*$D$193*#REF!-$N$47/$O$47*$C$20*$F$21</f>
        <v>#REF!</v>
      </c>
      <c r="O126" s="164" t="e">
        <f>(SQRT(((-#REF!*SIN($F$18*PI()/180)*$F$21)*$C$25*1000)^2+(0.001*$C$25*1000*$F$21)^2)/$C$30+(-#REF!*COS($F$18*PI()/180)*$F$21)*$C$25*1000)/9.81*$O$99/$O$47*$F$193*#REF!-$N$47/$O$47*$C$20*$F$21</f>
        <v>#REF!</v>
      </c>
      <c r="P126" s="199" t="e">
        <f>(-#REF!*COS($F$18*PI()/180)*$F$21)*$P$99*$C$25*1000/9.81/$O$47*$D$193*#REF!-$N$47/$O$47*$C$20*$F$21</f>
        <v>#REF!</v>
      </c>
      <c r="Q126" s="164" t="e">
        <f>(SQRT(((-#REF!*SIN($F$18*PI()/180)*$F$21)*$C$25*1000)^2+(0.001*$C$25*1000*$F$21)^2)/$C$30+(-#REF!*COS($F$18*PI()/180)*$F$21)*$C$25*1000)/9.81*$Q$99/$O$47*$F$193*#REF!-$N$47/$O$47*$C$20*$F$21</f>
        <v>#REF!</v>
      </c>
      <c r="R126" s="199" t="e">
        <f>(-#REF!*COS($F$18*PI()/180)*$F$21)*$R$99*$C$25*1000/9.81/$O$47*$D$193*#REF!-$N$47/$O$47*$C$20*$F$21</f>
        <v>#REF!</v>
      </c>
      <c r="S126" s="164" t="e">
        <f>(SQRT(((-#REF!*SIN($F$18*PI()/180)*$F$21)*$C$25*1000)^2+(0.001*$C$25*1000*$F$21)^2)/$C$30+(-#REF!*COS($F$18*PI()/180)*$F$21)*$C$25*1000)/9.81*$S$99/$O$47*$F$193*#REF!-$N$47/$O$47*$C$20*$F$21</f>
        <v>#REF!</v>
      </c>
      <c r="T126" s="199" t="e">
        <f>(-#REF!*COS($F$18*PI()/180)*$F$21)*$T$99*$C$25*1000/9.81/$O$47*$D$193*#REF!-$N$47/$O$47*$C$20*$F$21</f>
        <v>#REF!</v>
      </c>
      <c r="U126" s="164" t="e">
        <f>(SQRT(((-#REF!*SIN($F$18*PI()/180)*$F$21)*$C$25*1000)^2+(0.001*$C$25*1000*$F$21)^2)/$C$30+(-#REF!*COS($F$18*PI()/180)*$F$21)*$C$25*1000)/9.81*$U$99/$O$47*$F$193*#REF!-$N$47/$O$47*$C$20*$F$21</f>
        <v>#REF!</v>
      </c>
      <c r="V126" s="199" t="e">
        <f>(-#REF!*COS($F$18*PI()/180)*$F$21)*$V$99*$C$25*1000/9.81/$O$47*$D$193*#REF!-$N$47/$O$47*$C$20*$F$21</f>
        <v>#REF!</v>
      </c>
      <c r="W126" s="164" t="e">
        <f>(SQRT(((-#REF!*SIN($F$18*PI()/180)*$F$21)*$C$25*1000)^2+(0.001*$C$25*1000*$F$21)^2)/$C$30+(-#REF!*COS($F$18*PI()/180)*$F$21)*$C$25*1000)/9.81*$W$99/$O$47*$F$193*#REF!-$N$47/$O$47*$C$20*$F$21</f>
        <v>#REF!</v>
      </c>
      <c r="X126" s="199" t="e">
        <f>(-#REF!*COS($F$18*PI()/180)*$F$21)*$X$99*$C$25*1000/9.81/$O$47*$D$193*#REF!-$N$47/$O$47*$C$20*$F$21</f>
        <v>#REF!</v>
      </c>
      <c r="Y126" s="164" t="e">
        <f>(SQRT(((-#REF!*SIN($F$18*PI()/180)*$F$21)*$C$25*1000)^2+(0.001*$C$25*1000*$F$21)^2)/$C$30+(-#REF!*COS($F$18*PI()/180)*$F$21)*$C$25*1000)/9.81*$Y$99/$O$47*$F$193*#REF!-$N$47/$O$47*$C$20*$F$21</f>
        <v>#REF!</v>
      </c>
      <c r="Z126" s="199">
        <f ca="1">(-'int. presets cp_10d'!K31*COS($F$18*PI()/180)*$F$21)*$Z$99*$C$25*1000/9.81/$O$47*$D$193*'int. presets cp_10d'!$K$214-$N$47/$O$47*$C$20*$F$21</f>
        <v>-3.9802471014425365</v>
      </c>
      <c r="AA126" s="1028">
        <f ca="1">(SQRT(((-'int. presets cp_10d'!F31*SIN($F$18*PI()/180)*$F$21)*$C$25*1000)^2+(0.001*$C$25*1000*$F$21)^2)/$C$30+(-'int. presets cp_10d'!F31*COS($F$18*PI()/180)*$F$21)*$C$25*1000)/9.81*$AA$99/$O$47*$F$193*'int. presets cp_10d'!$F$214-$N$47/$O$47*$C$20*$F$21</f>
        <v>10.342906472120134</v>
      </c>
    </row>
    <row r="127" spans="2:133" x14ac:dyDescent="0.2">
      <c r="B127" s="1580" t="s">
        <v>465</v>
      </c>
      <c r="C127" s="1581">
        <v>0</v>
      </c>
      <c r="D127" s="1582" t="s">
        <v>465</v>
      </c>
      <c r="E127" s="348" t="s">
        <v>461</v>
      </c>
      <c r="F127" s="1057" t="e">
        <f t="shared" si="80"/>
        <v>#REF!</v>
      </c>
      <c r="G127" s="1057" t="e">
        <f t="shared" si="81"/>
        <v>#REF!</v>
      </c>
      <c r="H127" s="1057" t="e">
        <f t="shared" si="72"/>
        <v>#REF!</v>
      </c>
      <c r="I127" s="1054" t="e">
        <f t="shared" si="73"/>
        <v>#REF!</v>
      </c>
      <c r="J127" s="1057" t="e">
        <f t="shared" si="74"/>
        <v>#REF!</v>
      </c>
      <c r="K127" s="1064" t="e">
        <f t="shared" si="75"/>
        <v>#REF!</v>
      </c>
      <c r="L127" s="940">
        <f t="shared" ca="1" si="76"/>
        <v>10.342906472120134</v>
      </c>
      <c r="M127" s="1073">
        <f t="shared" ca="1" si="77"/>
        <v>22.80217846656549</v>
      </c>
      <c r="N127" s="1069" t="e">
        <f>(-#REF!*COS($F$18*PI()/180)*$F$21)*$N$99*$C$25*1000/9.81/$O$47*$D$193*#REF!-$N$47/$O$47*$C$20*$F$21</f>
        <v>#REF!</v>
      </c>
      <c r="O127" s="198" t="e">
        <f>(SQRT(((-#REF!*SIN($F$18*PI()/180)*$F$21)*$C$25*1000)^2+(0.001*$C$25*1000*$F$21)^2)/$C$30+(-#REF!*COS($F$18*PI()/180)*$F$21)*$C$25*1000)/9.81*$O$99/$O$47*$F$193*#REF!-$N$47/$O$47*$C$20*$F$21</f>
        <v>#REF!</v>
      </c>
      <c r="P127" s="161" t="e">
        <f>(-#REF!*COS($F$18*PI()/180)*$F$21)*$P$99*$C$25*1000/9.81/$O$47*$D$193*#REF!-$N$47/$O$47*$C$20*$F$21</f>
        <v>#REF!</v>
      </c>
      <c r="Q127" s="198" t="e">
        <f>(SQRT(((-#REF!*SIN($F$18*PI()/180)*$F$21)*$C$25*1000)^2+(0.001*$C$25*1000*$F$21)^2)/$C$30+(-#REF!*COS($F$18*PI()/180)*$F$21)*$C$25*1000)/9.81*$Q$99/$O$47*$F$193*#REF!-$N$47/$O$47*$C$20*$F$21</f>
        <v>#REF!</v>
      </c>
      <c r="R127" s="161" t="e">
        <f>(-#REF!*COS($F$18*PI()/180)*$F$21)*$R$99*$C$25*1000/9.81/$O$47*$D$193*#REF!-$N$47/$O$47*$C$20*$F$21</f>
        <v>#REF!</v>
      </c>
      <c r="S127" s="198" t="e">
        <f>(SQRT(((-#REF!*SIN($F$18*PI()/180)*$F$21)*$C$25*1000)^2+(0.001*$C$25*1000*$F$21)^2)/$C$30+(-#REF!*COS($F$18*PI()/180)*$F$21)*$C$25*1000)/9.81*$S$99/$O$47*$F$193*#REF!-$N$47/$O$47*$C$20*$F$21</f>
        <v>#REF!</v>
      </c>
      <c r="T127" s="161" t="e">
        <f>(-#REF!*COS($F$18*PI()/180)*$F$21)*$T$99*$C$25*1000/9.81/$O$47*$D$193*#REF!-$N$47/$O$47*$C$20*$F$21</f>
        <v>#REF!</v>
      </c>
      <c r="U127" s="198" t="e">
        <f>(SQRT(((-#REF!*SIN($F$18*PI()/180)*$F$21)*$C$25*1000)^2+(0.001*$C$25*1000*$F$21)^2)/$C$30+(-#REF!*COS($F$18*PI()/180)*$F$21)*$C$25*1000)/9.81*$U$99/$O$47*$F$193*#REF!-$N$47/$O$47*$C$20*$F$21</f>
        <v>#REF!</v>
      </c>
      <c r="V127" s="161" t="e">
        <f>(-#REF!*COS($F$18*PI()/180)*$F$21)*$V$99*$C$25*1000/9.81/$O$47*$D$193*#REF!-$N$47/$O$47*$C$20*$F$21</f>
        <v>#REF!</v>
      </c>
      <c r="W127" s="198" t="e">
        <f>(SQRT(((-#REF!*SIN($F$18*PI()/180)*$F$21)*$C$25*1000)^2+(0.001*$C$25*1000*$F$21)^2)/$C$30+(-#REF!*COS($F$18*PI()/180)*$F$21)*$C$25*1000)/9.81*$W$99/$O$47*$F$193*#REF!-$N$47/$O$47*$C$20*$F$21</f>
        <v>#REF!</v>
      </c>
      <c r="X127" s="161" t="e">
        <f>(-#REF!*COS($F$18*PI()/180)*$F$21)*$X$99*$C$25*1000/9.81/$O$47*$D$193*#REF!-$N$47/$O$47*$C$20*$F$21</f>
        <v>#REF!</v>
      </c>
      <c r="Y127" s="198" t="e">
        <f>(SQRT(((-#REF!*SIN($F$18*PI()/180)*$F$21)*$C$25*1000)^2+(0.001*$C$25*1000*$F$21)^2)/$C$30+(-#REF!*COS($F$18*PI()/180)*$F$21)*$C$25*1000)/9.81*$Y$99/$O$47*$F$193*#REF!-$N$47/$O$47*$C$20*$F$21</f>
        <v>#REF!</v>
      </c>
      <c r="Z127" s="161">
        <f ca="1">(-'int. presets cp_10d'!K32*COS($F$18*PI()/180)*$F$21)*$Z$99*$C$25*1000/9.81/$O$47*$D$193*'int. presets cp_10d'!$K$214-$N$47/$O$47*$C$20*$F$21</f>
        <v>-3.9802471014425365</v>
      </c>
      <c r="AA127" s="1026">
        <f ca="1">(SQRT(((-'int. presets cp_10d'!F32*SIN($F$18*PI()/180)*$F$21)*$C$25*1000)^2+(0.001*$C$25*1000*$F$21)^2)/$C$30+(-'int. presets cp_10d'!F32*COS($F$18*PI()/180)*$F$21)*$C$25*1000)/9.81*$AA$99/$O$47*$F$193*'int. presets cp_10d'!$F$214-$N$47/$O$47*$C$20*$F$21</f>
        <v>10.342906472120134</v>
      </c>
    </row>
    <row r="128" spans="2:133" ht="13.5" customHeight="1" thickBot="1" x14ac:dyDescent="0.25">
      <c r="B128" s="1583" t="e">
        <v>#REF!</v>
      </c>
      <c r="C128" s="1584">
        <v>0</v>
      </c>
      <c r="D128" s="1585">
        <v>0</v>
      </c>
      <c r="E128" s="992" t="s">
        <v>462</v>
      </c>
      <c r="F128" s="1055" t="e">
        <f t="shared" si="80"/>
        <v>#REF!</v>
      </c>
      <c r="G128" s="1055" t="e">
        <f t="shared" si="81"/>
        <v>#REF!</v>
      </c>
      <c r="H128" s="1055" t="e">
        <f t="shared" si="72"/>
        <v>#REF!</v>
      </c>
      <c r="I128" s="1056" t="e">
        <f t="shared" si="73"/>
        <v>#REF!</v>
      </c>
      <c r="J128" s="1055" t="e">
        <f t="shared" si="74"/>
        <v>#REF!</v>
      </c>
      <c r="K128" s="1063" t="e">
        <f t="shared" si="75"/>
        <v>#REF!</v>
      </c>
      <c r="L128" s="990">
        <f t="shared" ca="1" si="76"/>
        <v>10.342906472120134</v>
      </c>
      <c r="M128" s="1072">
        <f t="shared" ca="1" si="77"/>
        <v>22.80217846656549</v>
      </c>
      <c r="N128" s="1069" t="e">
        <f>(-#REF!*COS($F$18*PI()/180)*$F$21)*$N$99*$C$25*1000/9.81/$O$47*$D$193*#REF!-$N$47/$O$47*$C$20*$F$21</f>
        <v>#REF!</v>
      </c>
      <c r="O128" s="162" t="e">
        <f>(SQRT(((-#REF!*SIN($F$18*PI()/180)*$F$21)*$C$25*1000)^2+(0.001*$C$25*1000*$F$21)^2)/$C$30+(-#REF!*COS($F$18*PI()/180)*$F$21)*$C$25*1000)/9.81*$O$99/$O$47*$F$193*#REF!-$N$47/$O$47*$C$20*$F$21</f>
        <v>#REF!</v>
      </c>
      <c r="P128" s="161" t="e">
        <f>(-#REF!*COS($F$18*PI()/180)*$F$21)*$P$99*$C$25*1000/9.81/$O$47*$D$193*#REF!-$N$47/$O$47*$C$20*$F$21</f>
        <v>#REF!</v>
      </c>
      <c r="Q128" s="162" t="e">
        <f>(SQRT(((-#REF!*SIN($F$18*PI()/180)*$F$21)*$C$25*1000)^2+(0.001*$C$25*1000*$F$21)^2)/$C$30+(-#REF!*COS($F$18*PI()/180)*$F$21)*$C$25*1000)/9.81*$Q$99/$O$47*$F$193*#REF!-$N$47/$O$47*$C$20*$F$21</f>
        <v>#REF!</v>
      </c>
      <c r="R128" s="161" t="e">
        <f>(-#REF!*COS($F$18*PI()/180)*$F$21)*$R$99*$C$25*1000/9.81/$O$47*$D$193*#REF!-$N$47/$O$47*$C$20*$F$21</f>
        <v>#REF!</v>
      </c>
      <c r="S128" s="162" t="e">
        <f>(SQRT(((-#REF!*SIN($F$18*PI()/180)*$F$21)*$C$25*1000)^2+(0.001*$C$25*1000*$F$21)^2)/$C$30+(-#REF!*COS($F$18*PI()/180)*$F$21)*$C$25*1000)/9.81*$S$99/$O$47*$F$193*#REF!-$N$47/$O$47*$C$20*$F$21</f>
        <v>#REF!</v>
      </c>
      <c r="T128" s="161" t="e">
        <f>(-#REF!*COS($F$18*PI()/180)*$F$21)*$T$99*$C$25*1000/9.81/$O$47*$D$193*#REF!-$N$47/$O$47*$C$20*$F$21</f>
        <v>#REF!</v>
      </c>
      <c r="U128" s="162" t="e">
        <f>(SQRT(((-#REF!*SIN($F$18*PI()/180)*$F$21)*$C$25*1000)^2+(0.001*$C$25*1000*$F$21)^2)/$C$30+(-#REF!*COS($F$18*PI()/180)*$F$21)*$C$25*1000)/9.81*$U$99/$O$47*$F$193*#REF!-$N$47/$O$47*$C$20*$F$21</f>
        <v>#REF!</v>
      </c>
      <c r="V128" s="161" t="e">
        <f>(-#REF!*COS($F$18*PI()/180)*$F$21)*$V$99*$C$25*1000/9.81/$O$47*$D$193*#REF!-$N$47/$O$47*$C$20*$F$21</f>
        <v>#REF!</v>
      </c>
      <c r="W128" s="162" t="e">
        <f>(SQRT(((-#REF!*SIN($F$18*PI()/180)*$F$21)*$C$25*1000)^2+(0.001*$C$25*1000*$F$21)^2)/$C$30+(-#REF!*COS($F$18*PI()/180)*$F$21)*$C$25*1000)/9.81*$W$99/$O$47*$F$193*#REF!-$N$47/$O$47*$C$20*$F$21</f>
        <v>#REF!</v>
      </c>
      <c r="X128" s="161" t="e">
        <f>(-#REF!*COS($F$18*PI()/180)*$F$21)*$X$99*$C$25*1000/9.81/$O$47*$D$193*#REF!-$N$47/$O$47*$C$20*$F$21</f>
        <v>#REF!</v>
      </c>
      <c r="Y128" s="162" t="e">
        <f>(SQRT(((-#REF!*SIN($F$18*PI()/180)*$F$21)*$C$25*1000)^2+(0.001*$C$25*1000*$F$21)^2)/$C$30+(-#REF!*COS($F$18*PI()/180)*$F$21)*$C$25*1000)/9.81*$Y$99/$O$47*$F$193*#REF!-$N$47/$O$47*$C$20*$F$21</f>
        <v>#REF!</v>
      </c>
      <c r="Z128" s="161">
        <f ca="1">(-'int. presets cp_10d'!K33*COS($F$18*PI()/180)*$F$21)*$Z$99*$C$25*1000/9.81/$O$47*$D$193*'int. presets cp_10d'!$K$214-$N$47/$O$47*$C$20*$F$21</f>
        <v>-3.9802471014425365</v>
      </c>
      <c r="AA128" s="1030">
        <f ca="1">(SQRT(((-'int. presets cp_10d'!F33*SIN($F$18*PI()/180)*$F$21)*$C$25*1000)^2+(0.001*$C$25*1000*$F$21)^2)/$C$30+(-'int. presets cp_10d'!F33*COS($F$18*PI()/180)*$F$21)*$C$25*1000)/9.81*$AA$99/$O$47*$F$193*'int. presets cp_10d'!$F$214-$N$47/$O$47*$C$20*$F$21</f>
        <v>10.342906472120134</v>
      </c>
    </row>
    <row r="129" spans="2:27" ht="16.5" customHeight="1" thickTop="1" thickBot="1" x14ac:dyDescent="0.25">
      <c r="B129" s="1658" t="s">
        <v>342</v>
      </c>
      <c r="C129" s="1659"/>
      <c r="D129" s="1659"/>
      <c r="E129" s="1659"/>
      <c r="F129" s="1659"/>
      <c r="G129" s="1659"/>
      <c r="H129" s="1659"/>
      <c r="I129" s="1659"/>
      <c r="J129" s="1659"/>
      <c r="K129" s="1659"/>
      <c r="L129" s="1660"/>
      <c r="M129" s="1067"/>
      <c r="N129" s="1006"/>
      <c r="O129" s="1007"/>
      <c r="P129" s="1007"/>
      <c r="Q129" s="1007"/>
      <c r="R129" s="1007"/>
      <c r="S129" s="1007"/>
      <c r="T129" s="1007"/>
      <c r="U129" s="1007"/>
      <c r="V129" s="1007"/>
      <c r="W129" s="1007"/>
      <c r="X129" s="1007"/>
      <c r="Y129" s="1007"/>
      <c r="Z129" s="1007"/>
      <c r="AA129" s="1010"/>
    </row>
    <row r="130" spans="2:27" x14ac:dyDescent="0.2">
      <c r="B130" s="1580" t="s">
        <v>460</v>
      </c>
      <c r="C130" s="1581">
        <v>0</v>
      </c>
      <c r="D130" s="1582">
        <v>0</v>
      </c>
      <c r="E130" s="545" t="s">
        <v>461</v>
      </c>
      <c r="F130" s="1053" t="e">
        <f t="shared" ref="F130:F137" si="82">MAX(N130,O130)</f>
        <v>#REF!</v>
      </c>
      <c r="G130" s="1053" t="e">
        <f t="shared" ref="G130:G137" si="83">MAX(P130,Q130)</f>
        <v>#REF!</v>
      </c>
      <c r="H130" s="1053" t="e">
        <f t="shared" si="72"/>
        <v>#REF!</v>
      </c>
      <c r="I130" s="1061" t="e">
        <f t="shared" si="73"/>
        <v>#REF!</v>
      </c>
      <c r="J130" s="1053" t="e">
        <f t="shared" si="74"/>
        <v>#REF!</v>
      </c>
      <c r="K130" s="1062" t="e">
        <f t="shared" si="75"/>
        <v>#REF!</v>
      </c>
      <c r="L130" s="940">
        <f t="shared" ca="1" si="76"/>
        <v>7.5635981535814594</v>
      </c>
      <c r="M130" s="1071">
        <f t="shared" ca="1" si="77"/>
        <v>16.674859761348756</v>
      </c>
      <c r="N130" s="497" t="e">
        <f>(-#REF!*COS($F$18*PI()/180)*$F$21)*$N$99*$C$25*1000/9.81/$O$47*$D$193*#REF!-$N$47/$O$47*$C$20*$F$21</f>
        <v>#REF!</v>
      </c>
      <c r="O130" s="198" t="e">
        <f>(SQRT(((-#REF!*SIN($F$18*PI()/180)*$F$21)*$C$25*1000)^2+(0.001*$C$25*1000*$F$21)^2)/$C$30+(-#REF!*COS($F$18*PI()/180)*$F$21)*$C$25*1000)/9.81*$O$99/$O$47*$F$193*#REF!-$N$47/$O$47*$C$20*$F$21</f>
        <v>#REF!</v>
      </c>
      <c r="P130" s="181" t="e">
        <f>(-#REF!*COS($F$18*PI()/180)*$F$21)*$P$99*$C$25*1000/9.81/$O$47*$D$193*#REF!-$N$47/$O$47*$C$20*$F$21</f>
        <v>#REF!</v>
      </c>
      <c r="Q130" s="198" t="e">
        <f>(SQRT(((-#REF!*SIN($F$18*PI()/180)*$F$21)*$C$25*1000)^2+(0.001*$C$25*1000*$F$21)^2)/$C$30+(-#REF!*COS($F$18*PI()/180)*$F$21)*$C$25*1000)/9.81*$Q$99/$O$47*$F$193*#REF!-$N$47/$O$47*$C$20*$F$21</f>
        <v>#REF!</v>
      </c>
      <c r="R130" s="181" t="e">
        <f>(-#REF!*COS($F$18*PI()/180)*$F$21)*$R$99*$C$25*1000/9.81/$O$47*$D$193*#REF!-$N$47/$O$47*$C$20*$F$21</f>
        <v>#REF!</v>
      </c>
      <c r="S130" s="198" t="e">
        <f>(SQRT(((-#REF!*SIN($F$18*PI()/180)*$F$21)*$C$25*1000)^2+(0.001*$C$25*1000*$F$21)^2)/$C$30+(-#REF!*COS($F$18*PI()/180)*$F$21)*$C$25*1000)/9.81*$S$99/$O$47*$F$193*#REF!-$N$47/$O$47*$C$20*$F$21</f>
        <v>#REF!</v>
      </c>
      <c r="T130" s="181" t="e">
        <f>(-#REF!*COS($F$18*PI()/180)*$F$21)*$T$99*$C$25*1000/9.81/$O$47*$D$193*#REF!-$N$47/$O$47*$C$20*$F$21</f>
        <v>#REF!</v>
      </c>
      <c r="U130" s="198" t="e">
        <f>(SQRT(((-#REF!*SIN($F$18*PI()/180)*$F$21)*$C$25*1000)^2+(0.001*$C$25*1000*$F$21)^2)/$C$30+(-#REF!*COS($F$18*PI()/180)*$F$21)*$C$25*1000)/9.81*$U$99/$O$47*$F$193*#REF!-$N$47/$O$47*$C$20*$F$21</f>
        <v>#REF!</v>
      </c>
      <c r="V130" s="181" t="e">
        <f>(-#REF!*COS($F$18*PI()/180)*$F$21)*$V$99*$C$25*1000/9.81/$O$47*$D$193*#REF!-$N$47/$O$47*$C$20*$F$21</f>
        <v>#REF!</v>
      </c>
      <c r="W130" s="198" t="e">
        <f>(SQRT(((-#REF!*SIN($F$18*PI()/180)*$F$21)*$C$25*1000)^2+(0.001*$C$25*1000*$F$21)^2)/$C$30+(-#REF!*COS($F$18*PI()/180)*$F$21)*$C$25*1000)/9.81*$W$99/$O$47*$F$193*#REF!-$N$47/$O$47*$C$20*$F$21</f>
        <v>#REF!</v>
      </c>
      <c r="X130" s="181" t="e">
        <f>(-#REF!*COS($F$18*PI()/180)*$F$21)*$X$99*$C$25*1000/9.81/$O$47*$D$193*#REF!-$N$47/$O$47*$C$20*$F$21</f>
        <v>#REF!</v>
      </c>
      <c r="Y130" s="198" t="e">
        <f>(SQRT(((-#REF!*SIN($F$18*PI()/180)*$F$21)*$C$25*1000)^2+(0.001*$C$25*1000*$F$21)^2)/$C$30+(-#REF!*COS($F$18*PI()/180)*$F$21)*$C$25*1000)/9.81*$Y$99/$O$47*$F$193*#REF!-$N$47/$O$47*$C$20*$F$21</f>
        <v>#REF!</v>
      </c>
      <c r="Z130" s="181">
        <f ca="1">(-'int. presets cp_10d'!L26*COS($F$18*PI()/180)*$F$21)*$Z$99*$C$25*1000/9.81/$O$47*$D$193*'int. presets cp_10d'!$L$214-$N$47/$O$47*$C$20*$F$21</f>
        <v>6.5743064582933499</v>
      </c>
      <c r="AA130" s="1026">
        <f ca="1">(SQRT(((-'int. presets cp_10d'!G26*SIN($F$18*PI()/180)*$F$21)*$C$25*1000)^2+(0.001*$C$25*1000*$F$21)^2)/$C$30+(-'int. presets cp_10d'!G26*COS($F$18*PI()/180)*$F$21)*$C$25*1000)/9.81*$AA$99/$O$47*$F$193*'int. presets cp_10d'!$G$214-$N$47/$O$47*$C$20*$F$21</f>
        <v>7.5635981535814594</v>
      </c>
    </row>
    <row r="131" spans="2:27" ht="13.5" thickBot="1" x14ac:dyDescent="0.25">
      <c r="B131" s="1586">
        <v>0</v>
      </c>
      <c r="C131" s="1587">
        <v>0</v>
      </c>
      <c r="D131" s="1588">
        <v>0</v>
      </c>
      <c r="E131" s="547" t="s">
        <v>462</v>
      </c>
      <c r="F131" s="1055" t="e">
        <f t="shared" si="82"/>
        <v>#REF!</v>
      </c>
      <c r="G131" s="1055" t="e">
        <f t="shared" si="83"/>
        <v>#REF!</v>
      </c>
      <c r="H131" s="1055" t="e">
        <f t="shared" si="72"/>
        <v>#REF!</v>
      </c>
      <c r="I131" s="1056" t="e">
        <f t="shared" si="73"/>
        <v>#REF!</v>
      </c>
      <c r="J131" s="1055" t="e">
        <f t="shared" si="74"/>
        <v>#REF!</v>
      </c>
      <c r="K131" s="1063" t="e">
        <f t="shared" si="75"/>
        <v>#REF!</v>
      </c>
      <c r="L131" s="941">
        <f t="shared" ca="1" si="76"/>
        <v>7.5635981535814594</v>
      </c>
      <c r="M131" s="1072">
        <f t="shared" ca="1" si="77"/>
        <v>16.674859761348756</v>
      </c>
      <c r="N131" s="1068" t="e">
        <f>(-#REF!*COS($F$18*PI()/180)*$F$21)*$N$99*$C$25*1000/9.81/$O$47*$D$193*#REF!-$N$47/$O$47*$C$20*$F$21</f>
        <v>#REF!</v>
      </c>
      <c r="O131" s="164" t="e">
        <f>(SQRT(((-#REF!*SIN($F$18*PI()/180)*$F$21)*$C$25*1000)^2+(0.001*$C$25*1000*$F$21)^2)/$C$30+(-#REF!*COS($F$18*PI()/180)*$F$21)*$C$25*1000)/9.81*$O$99/$O$47*$F$193*#REF!-$N$47/$O$47*$C$20*$F$21</f>
        <v>#REF!</v>
      </c>
      <c r="P131" s="199" t="e">
        <f>(-#REF!*COS($F$18*PI()/180)*$F$21)*$P$99*$C$25*1000/9.81/$O$47*$D$193*#REF!-$N$47/$O$47*$C$20*$F$21</f>
        <v>#REF!</v>
      </c>
      <c r="Q131" s="164" t="e">
        <f>(SQRT(((-#REF!*SIN($F$18*PI()/180)*$F$21)*$C$25*1000)^2+(0.001*$C$25*1000*$F$21)^2)/$C$30+(-#REF!*COS($F$18*PI()/180)*$F$21)*$C$25*1000)/9.81*$Q$99/$O$47*$F$193*#REF!-$N$47/$O$47*$C$20*$F$21</f>
        <v>#REF!</v>
      </c>
      <c r="R131" s="199" t="e">
        <f>(-#REF!*COS($F$18*PI()/180)*$F$21)*$R$99*$C$25*1000/9.81/$O$47*$D$193*#REF!-$N$47/$O$47*$C$20*$F$21</f>
        <v>#REF!</v>
      </c>
      <c r="S131" s="164" t="e">
        <f>(SQRT(((-#REF!*SIN($F$18*PI()/180)*$F$21)*$C$25*1000)^2+(0.001*$C$25*1000*$F$21)^2)/$C$30+(-#REF!*COS($F$18*PI()/180)*$F$21)*$C$25*1000)/9.81*$S$99/$O$47*$F$193*#REF!-$N$47/$O$47*$C$20*$F$21</f>
        <v>#REF!</v>
      </c>
      <c r="T131" s="199" t="e">
        <f>(-#REF!*COS($F$18*PI()/180)*$F$21)*$T$99*$C$25*1000/9.81/$O$47*$D$193*#REF!-$N$47/$O$47*$C$20*$F$21</f>
        <v>#REF!</v>
      </c>
      <c r="U131" s="164" t="e">
        <f>(SQRT(((-#REF!*SIN($F$18*PI()/180)*$F$21)*$C$25*1000)^2+(0.001*$C$25*1000*$F$21)^2)/$C$30+(-#REF!*COS($F$18*PI()/180)*$F$21)*$C$25*1000)/9.81*$U$99/$O$47*$F$193*#REF!-$N$47/$O$47*$C$20*$F$21</f>
        <v>#REF!</v>
      </c>
      <c r="V131" s="199" t="e">
        <f>(-#REF!*COS($F$18*PI()/180)*$F$21)*$V$99*$C$25*1000/9.81/$O$47*$D$193*#REF!-$N$47/$O$47*$C$20*$F$21</f>
        <v>#REF!</v>
      </c>
      <c r="W131" s="164" t="e">
        <f>(SQRT(((-#REF!*SIN($F$18*PI()/180)*$F$21)*$C$25*1000)^2+(0.001*$C$25*1000*$F$21)^2)/$C$30+(-#REF!*COS($F$18*PI()/180)*$F$21)*$C$25*1000)/9.81*$W$99/$O$47*$F$193*#REF!-$N$47/$O$47*$C$20*$F$21</f>
        <v>#REF!</v>
      </c>
      <c r="X131" s="199" t="e">
        <f>(-#REF!*COS($F$18*PI()/180)*$F$21)*$X$99*$C$25*1000/9.81/$O$47*$D$193*#REF!-$N$47/$O$47*$C$20*$F$21</f>
        <v>#REF!</v>
      </c>
      <c r="Y131" s="164" t="e">
        <f>(SQRT(((-#REF!*SIN($F$18*PI()/180)*$F$21)*$C$25*1000)^2+(0.001*$C$25*1000*$F$21)^2)/$C$30+(-#REF!*COS($F$18*PI()/180)*$F$21)*$C$25*1000)/9.81*$Y$99/$O$47*$F$193*#REF!-$N$47/$O$47*$C$20*$F$21</f>
        <v>#REF!</v>
      </c>
      <c r="Z131" s="199">
        <f ca="1">(-'int. presets cp_10d'!L27*COS($F$18*PI()/180)*$F$21)*$Z$99*$C$25*1000/9.81/$O$47*$D$193*'int. presets cp_10d'!$L$214-$N$47/$O$47*$C$20*$F$21</f>
        <v>4.9382926589256684</v>
      </c>
      <c r="AA131" s="1028">
        <f ca="1">(SQRT(((-'int. presets cp_10d'!G27*SIN($F$18*PI()/180)*$F$21)*$C$25*1000)^2+(0.001*$C$25*1000*$F$21)^2)/$C$30+(-'int. presets cp_10d'!G27*COS($F$18*PI()/180)*$F$21)*$C$25*1000)/9.81*$AA$99/$O$47*$F$193*'int. presets cp_10d'!$G$214-$N$47/$O$47*$C$20*$F$21</f>
        <v>7.5635981535814594</v>
      </c>
    </row>
    <row r="132" spans="2:27" ht="12.75" customHeight="1" x14ac:dyDescent="0.2">
      <c r="B132" s="1580" t="s">
        <v>463</v>
      </c>
      <c r="C132" s="1581">
        <v>0</v>
      </c>
      <c r="D132" s="1582" t="s">
        <v>463</v>
      </c>
      <c r="E132" s="546" t="s">
        <v>461</v>
      </c>
      <c r="F132" s="1057" t="e">
        <f t="shared" si="82"/>
        <v>#REF!</v>
      </c>
      <c r="G132" s="1057" t="e">
        <f t="shared" si="83"/>
        <v>#REF!</v>
      </c>
      <c r="H132" s="1057" t="e">
        <f t="shared" si="72"/>
        <v>#REF!</v>
      </c>
      <c r="I132" s="1054" t="e">
        <f t="shared" si="73"/>
        <v>#REF!</v>
      </c>
      <c r="J132" s="1057" t="e">
        <f t="shared" si="74"/>
        <v>#REF!</v>
      </c>
      <c r="K132" s="1064" t="e">
        <f t="shared" si="75"/>
        <v>#REF!</v>
      </c>
      <c r="L132" s="940">
        <f ca="1">MAX(Z132,AA132)</f>
        <v>7.5635981535814594</v>
      </c>
      <c r="M132" s="1073">
        <f t="shared" ca="1" si="77"/>
        <v>16.674859761348756</v>
      </c>
      <c r="N132" s="1069" t="e">
        <f>(-#REF!*COS($F$18*PI()/180)*$F$21)*$N$99*$C$25*1000/9.81/$O$47*$D$193*#REF!-$N$47/$O$47*$C$20*$F$21</f>
        <v>#REF!</v>
      </c>
      <c r="O132" s="162" t="e">
        <f>(SQRT(((-#REF!*SIN($F$18*PI()/180)*$F$21)*$C$25*1000)^2+(0.001*$C$25*1000*$F$21)^2)/$C$30+(-#REF!*COS($F$18*PI()/180)*$F$21)*$C$25*1000)/9.81*$O$99/$O$47*$F$193*#REF!-$N$47/$O$47*$C$20*$F$21</f>
        <v>#REF!</v>
      </c>
      <c r="P132" s="161" t="e">
        <f>(-#REF!*COS($F$18*PI()/180)*$F$21)*$P$99*$C$25*1000/9.81/$O$47*$D$193*#REF!-$N$47/$O$47*$C$20*$F$21</f>
        <v>#REF!</v>
      </c>
      <c r="Q132" s="162" t="e">
        <f>(SQRT(((-#REF!*SIN($F$18*PI()/180)*$F$21)*$C$25*1000)^2+(0.001*$C$25*1000*$F$21)^2)/$C$30+(-#REF!*COS($F$18*PI()/180)*$F$21)*$C$25*1000)/9.81*$Q$99/$O$47*$F$193*#REF!-$N$47/$O$47*$C$20*$F$21</f>
        <v>#REF!</v>
      </c>
      <c r="R132" s="161" t="e">
        <f>(-#REF!*COS($F$18*PI()/180)*$F$21)*$R$99*$C$25*1000/9.81/$O$47*$D$193*#REF!-$N$47/$O$47*$C$20*$F$21</f>
        <v>#REF!</v>
      </c>
      <c r="S132" s="162" t="e">
        <f>(SQRT(((-#REF!*SIN($F$18*PI()/180)*$F$21)*$C$25*1000)^2+(0.001*$C$25*1000*$F$21)^2)/$C$30+(-#REF!*COS($F$18*PI()/180)*$F$21)*$C$25*1000)/9.81*$S$99/$O$47*$F$193*#REF!-$N$47/$O$47*$C$20*$F$21</f>
        <v>#REF!</v>
      </c>
      <c r="T132" s="161" t="e">
        <f>(-#REF!*COS($F$18*PI()/180)*$F$21)*$T$99*$C$25*1000/9.81/$O$47*$D$193*#REF!-$N$47/$O$47*$C$20*$F$21</f>
        <v>#REF!</v>
      </c>
      <c r="U132" s="162" t="e">
        <f>(SQRT(((-#REF!*SIN($F$18*PI()/180)*$F$21)*$C$25*1000)^2+(0.001*$C$25*1000*$F$21)^2)/$C$30+(-#REF!*COS($F$18*PI()/180)*$F$21)*$C$25*1000)/9.81*$U$99/$O$47*$F$193*#REF!-$N$47/$O$47*$C$20*$F$21</f>
        <v>#REF!</v>
      </c>
      <c r="V132" s="161" t="e">
        <f>(-#REF!*COS($F$18*PI()/180)*$F$21)*$V$99*$C$25*1000/9.81/$O$47*$D$193*#REF!-$N$47/$O$47*$C$20*$F$21</f>
        <v>#REF!</v>
      </c>
      <c r="W132" s="162" t="e">
        <f>(SQRT(((-#REF!*SIN($F$18*PI()/180)*$F$21)*$C$25*1000)^2+(0.001*$C$25*1000*$F$21)^2)/$C$30+(-#REF!*COS($F$18*PI()/180)*$F$21)*$C$25*1000)/9.81*$W$99/$O$47*$F$193*#REF!-$N$47/$O$47*$C$20*$F$21</f>
        <v>#REF!</v>
      </c>
      <c r="X132" s="161" t="e">
        <f>(-#REF!*COS($F$18*PI()/180)*$F$21)*$X$99*$C$25*1000/9.81/$O$47*$D$193*#REF!-$N$47/$O$47*$C$20*$F$21</f>
        <v>#REF!</v>
      </c>
      <c r="Y132" s="162" t="e">
        <f>(SQRT(((-#REF!*SIN($F$18*PI()/180)*$F$21)*$C$25*1000)^2+(0.001*$C$25*1000*$F$21)^2)/$C$30+(-#REF!*COS($F$18*PI()/180)*$F$21)*$C$25*1000)/9.81*$Y$99/$O$47*$F$193*#REF!-$N$47/$O$47*$C$20*$F$21</f>
        <v>#REF!</v>
      </c>
      <c r="Z132" s="161">
        <f ca="1">(-'int. presets cp_10d'!L28*COS($F$18*PI()/180)*$F$21)*$Z$99*$C$25*1000/9.81/$O$47*$D$193*'int. presets cp_10d'!$L$214-$N$47/$O$47*$C$20*$F$21</f>
        <v>-5.0140209977364698</v>
      </c>
      <c r="AA132" s="1030">
        <f ca="1">(SQRT(((-'int. presets cp_10d'!G28*SIN($F$18*PI()/180)*$F$21)*$C$25*1000)^2+(0.001*$C$25*1000*$F$21)^2)/$C$30+(-'int. presets cp_10d'!G28*COS($F$18*PI()/180)*$F$21)*$C$25*1000)/9.81*$AA$99/$O$47*$F$193*'int. presets cp_10d'!$G$214-$N$47/$O$47*$C$20*$F$21</f>
        <v>7.5635981535814594</v>
      </c>
    </row>
    <row r="133" spans="2:27" ht="13.5" thickBot="1" x14ac:dyDescent="0.25">
      <c r="B133" s="1586" t="e">
        <v>#REF!</v>
      </c>
      <c r="C133" s="1587">
        <v>0</v>
      </c>
      <c r="D133" s="1588">
        <v>0</v>
      </c>
      <c r="E133" s="547" t="s">
        <v>462</v>
      </c>
      <c r="F133" s="1055" t="e">
        <f t="shared" si="82"/>
        <v>#REF!</v>
      </c>
      <c r="G133" s="1055" t="e">
        <f t="shared" si="83"/>
        <v>#REF!</v>
      </c>
      <c r="H133" s="1055" t="e">
        <f t="shared" si="72"/>
        <v>#REF!</v>
      </c>
      <c r="I133" s="1056" t="e">
        <f t="shared" si="73"/>
        <v>#REF!</v>
      </c>
      <c r="J133" s="1055" t="e">
        <f t="shared" si="74"/>
        <v>#REF!</v>
      </c>
      <c r="K133" s="1063" t="e">
        <f t="shared" si="75"/>
        <v>#REF!</v>
      </c>
      <c r="L133" s="941">
        <f t="shared" ca="1" si="76"/>
        <v>7.5635981535814594</v>
      </c>
      <c r="M133" s="1072">
        <f t="shared" ca="1" si="77"/>
        <v>16.674859761348756</v>
      </c>
      <c r="N133" s="1068" t="e">
        <f>(-#REF!*COS($F$18*PI()/180)*$F$21)*$N$99*$C$25*1000/9.81/$O$47*$D$193*#REF!-$N$47/$O$47*$C$20*$F$21</f>
        <v>#REF!</v>
      </c>
      <c r="O133" s="164" t="e">
        <f>(SQRT(((-#REF!*SIN($F$18*PI()/180)*$F$21)*$C$25*1000)^2+(0.001*$C$25*1000*$F$21)^2)/$C$30+(-#REF!*COS($F$18*PI()/180)*$F$21)*$C$25*1000)/9.81*$O$99/$O$47*$F$193*#REF!-$N$47/$O$47*$C$20*$F$21</f>
        <v>#REF!</v>
      </c>
      <c r="P133" s="199" t="e">
        <f>(-#REF!*COS($F$18*PI()/180)*$F$21)*$P$99*$C$25*1000/9.81/$O$47*$D$193*#REF!-$N$47/$O$47*$C$20*$F$21</f>
        <v>#REF!</v>
      </c>
      <c r="Q133" s="164" t="e">
        <f>(SQRT(((-#REF!*SIN($F$18*PI()/180)*$F$21)*$C$25*1000)^2+(0.001*$C$25*1000*$F$21)^2)/$C$30+(-#REF!*COS($F$18*PI()/180)*$F$21)*$C$25*1000)/9.81*$Q$99/$O$47*$F$193*#REF!-$N$47/$O$47*$C$20*$F$21</f>
        <v>#REF!</v>
      </c>
      <c r="R133" s="199" t="e">
        <f>(-#REF!*COS($F$18*PI()/180)*$F$21)*$R$99*$C$25*1000/9.81/$O$47*$D$193*#REF!-$N$47/$O$47*$C$20*$F$21</f>
        <v>#REF!</v>
      </c>
      <c r="S133" s="164" t="e">
        <f>(SQRT(((-#REF!*SIN($F$18*PI()/180)*$F$21)*$C$25*1000)^2+(0.001*$C$25*1000*$F$21)^2)/$C$30+(-#REF!*COS($F$18*PI()/180)*$F$21)*$C$25*1000)/9.81*$S$99/$O$47*$F$193*#REF!-$N$47/$O$47*$C$20*$F$21</f>
        <v>#REF!</v>
      </c>
      <c r="T133" s="199" t="e">
        <f>(-#REF!*COS($F$18*PI()/180)*$F$21)*$T$99*$C$25*1000/9.81/$O$47*$D$193*#REF!-$N$47/$O$47*$C$20*$F$21</f>
        <v>#REF!</v>
      </c>
      <c r="U133" s="164" t="e">
        <f>(SQRT(((-#REF!*SIN($F$18*PI()/180)*$F$21)*$C$25*1000)^2+(0.001*$C$25*1000*$F$21)^2)/$C$30+(-#REF!*COS($F$18*PI()/180)*$F$21)*$C$25*1000)/9.81*$U$99/$O$47*$F$193*#REF!-$N$47/$O$47*$C$20*$F$21</f>
        <v>#REF!</v>
      </c>
      <c r="V133" s="199" t="e">
        <f>(-#REF!*COS($F$18*PI()/180)*$F$21)*$V$99*$C$25*1000/9.81/$O$47*$D$193*#REF!-$N$47/$O$47*$C$20*$F$21</f>
        <v>#REF!</v>
      </c>
      <c r="W133" s="164" t="e">
        <f>(SQRT(((-#REF!*SIN($F$18*PI()/180)*$F$21)*$C$25*1000)^2+(0.001*$C$25*1000*$F$21)^2)/$C$30+(-#REF!*COS($F$18*PI()/180)*$F$21)*$C$25*1000)/9.81*$W$99/$O$47*$F$193*#REF!-$N$47/$O$47*$C$20*$F$21</f>
        <v>#REF!</v>
      </c>
      <c r="X133" s="199" t="e">
        <f>(-#REF!*COS($F$18*PI()/180)*$F$21)*$X$99*$C$25*1000/9.81/$O$47*$D$193*#REF!-$N$47/$O$47*$C$20*$F$21</f>
        <v>#REF!</v>
      </c>
      <c r="Y133" s="164" t="e">
        <f>(SQRT(((-#REF!*SIN($F$18*PI()/180)*$F$21)*$C$25*1000)^2+(0.001*$C$25*1000*$F$21)^2)/$C$30+(-#REF!*COS($F$18*PI()/180)*$F$21)*$C$25*1000)/9.81*$Y$99/$O$47*$F$193*#REF!-$N$47/$O$47*$C$20*$F$21</f>
        <v>#REF!</v>
      </c>
      <c r="Z133" s="199">
        <f ca="1">(-'int. presets cp_10d'!L29*COS($F$18*PI()/180)*$F$21)*$Z$99*$C$25*1000/9.81/$O$47*$D$193*'int. presets cp_10d'!$L$214-$N$47/$O$47*$C$20*$F$21</f>
        <v>-5.4999276250019058</v>
      </c>
      <c r="AA133" s="1028">
        <f ca="1">(SQRT(((-'int. presets cp_10d'!G29*SIN($F$18*PI()/180)*$F$21)*$C$25*1000)^2+(0.001*$C$25*1000*$F$21)^2)/$C$30+(-'int. presets cp_10d'!G29*COS($F$18*PI()/180)*$F$21)*$C$25*1000)/9.81*$AA$99/$O$47*$F$193*'int. presets cp_10d'!$G$214-$N$47/$O$47*$C$20*$F$21</f>
        <v>7.5635981535814594</v>
      </c>
    </row>
    <row r="134" spans="2:27" ht="12.75" customHeight="1" x14ac:dyDescent="0.2">
      <c r="B134" s="1580" t="s">
        <v>464</v>
      </c>
      <c r="C134" s="1581">
        <v>0</v>
      </c>
      <c r="D134" s="1582" t="s">
        <v>464</v>
      </c>
      <c r="E134" s="546" t="s">
        <v>461</v>
      </c>
      <c r="F134" s="1057" t="e">
        <f t="shared" si="82"/>
        <v>#REF!</v>
      </c>
      <c r="G134" s="1057" t="e">
        <f t="shared" si="83"/>
        <v>#REF!</v>
      </c>
      <c r="H134" s="1057" t="e">
        <f t="shared" si="72"/>
        <v>#REF!</v>
      </c>
      <c r="I134" s="1054" t="e">
        <f t="shared" si="73"/>
        <v>#REF!</v>
      </c>
      <c r="J134" s="1057" t="e">
        <f t="shared" si="74"/>
        <v>#REF!</v>
      </c>
      <c r="K134" s="1064" t="e">
        <f t="shared" si="75"/>
        <v>#REF!</v>
      </c>
      <c r="L134" s="940">
        <f t="shared" ca="1" si="76"/>
        <v>7.5635981535814594</v>
      </c>
      <c r="M134" s="1073">
        <f t="shared" ca="1" si="77"/>
        <v>16.674859761348756</v>
      </c>
      <c r="N134" s="1069" t="e">
        <f>(-#REF!*COS($F$18*PI()/180)*$F$21)*$N$99*$C$25*1000/9.81/$O$47*$D$193*#REF!-$N$47/$O$47*$C$20*$F$21</f>
        <v>#REF!</v>
      </c>
      <c r="O134" s="162" t="e">
        <f>(SQRT(((-#REF!*SIN($F$18*PI()/180)*$F$21)*$C$25*1000)^2+(0.001*$C$25*1000*$F$21)^2)/$C$30+(-#REF!*COS($F$18*PI()/180)*$F$21)*$C$25*1000)/9.81*$O$99/$O$47*$F$193*#REF!-$N$47/$O$47*$C$20*$F$21</f>
        <v>#REF!</v>
      </c>
      <c r="P134" s="161" t="e">
        <f>(-#REF!*COS($F$18*PI()/180)*$F$21)*$P$99*$C$25*1000/9.81/$O$47*$D$193*#REF!-$N$47/$O$47*$C$20*$F$21</f>
        <v>#REF!</v>
      </c>
      <c r="Q134" s="162" t="e">
        <f>(SQRT(((-#REF!*SIN($F$18*PI()/180)*$F$21)*$C$25*1000)^2+(0.001*$C$25*1000*$F$21)^2)/$C$30+(-#REF!*COS($F$18*PI()/180)*$F$21)*$C$25*1000)/9.81*$Q$99/$O$47*$F$193*#REF!-$N$47/$O$47*$C$20*$F$21</f>
        <v>#REF!</v>
      </c>
      <c r="R134" s="161" t="e">
        <f>(-#REF!*COS($F$18*PI()/180)*$F$21)*$R$99*$C$25*1000/9.81/$O$47*$D$193*#REF!-$N$47/$O$47*$C$20*$F$21</f>
        <v>#REF!</v>
      </c>
      <c r="S134" s="162" t="e">
        <f>(SQRT(((-#REF!*SIN($F$18*PI()/180)*$F$21)*$C$25*1000)^2+(0.001*$C$25*1000*$F$21)^2)/$C$30+(-#REF!*COS($F$18*PI()/180)*$F$21)*$C$25*1000)/9.81*$S$99/$O$47*$F$193*#REF!-$N$47/$O$47*$C$20*$F$21</f>
        <v>#REF!</v>
      </c>
      <c r="T134" s="161" t="e">
        <f>(-#REF!*COS($F$18*PI()/180)*$F$21)*$T$99*$C$25*1000/9.81/$O$47*$D$193*#REF!-$N$47/$O$47*$C$20*$F$21</f>
        <v>#REF!</v>
      </c>
      <c r="U134" s="162" t="e">
        <f>(SQRT(((-#REF!*SIN($F$18*PI()/180)*$F$21)*$C$25*1000)^2+(0.001*$C$25*1000*$F$21)^2)/$C$30+(-#REF!*COS($F$18*PI()/180)*$F$21)*$C$25*1000)/9.81*$U$99/$O$47*$F$193*#REF!-$N$47/$O$47*$C$20*$F$21</f>
        <v>#REF!</v>
      </c>
      <c r="V134" s="161" t="e">
        <f>(-#REF!*COS($F$18*PI()/180)*$F$21)*$V$99*$C$25*1000/9.81/$O$47*$D$193*#REF!-$N$47/$O$47*$C$20*$F$21</f>
        <v>#REF!</v>
      </c>
      <c r="W134" s="162" t="e">
        <f>(SQRT(((-#REF!*SIN($F$18*PI()/180)*$F$21)*$C$25*1000)^2+(0.001*$C$25*1000*$F$21)^2)/$C$30+(-#REF!*COS($F$18*PI()/180)*$F$21)*$C$25*1000)/9.81*$W$99/$O$47*$F$193*#REF!-$N$47/$O$47*$C$20*$F$21</f>
        <v>#REF!</v>
      </c>
      <c r="X134" s="161" t="e">
        <f>(-#REF!*COS($F$18*PI()/180)*$F$21)*$X$99*$C$25*1000/9.81/$O$47*$D$193*#REF!-$N$47/$O$47*$C$20*$F$21</f>
        <v>#REF!</v>
      </c>
      <c r="Y134" s="162" t="e">
        <f>(SQRT(((-#REF!*SIN($F$18*PI()/180)*$F$21)*$C$25*1000)^2+(0.001*$C$25*1000*$F$21)^2)/$C$30+(-#REF!*COS($F$18*PI()/180)*$F$21)*$C$25*1000)/9.81*$Y$99/$O$47*$F$193*#REF!-$N$47/$O$47*$C$20*$F$21</f>
        <v>#REF!</v>
      </c>
      <c r="Z134" s="161">
        <f ca="1">(-'int. presets cp_10d'!L30*COS($F$18*PI()/180)*$F$21)*$Z$99*$C$25*1000/9.81/$O$47*$D$193*'int. presets cp_10d'!$L$214-$N$47/$O$47*$C$20*$F$21</f>
        <v>-5.9858342522673382</v>
      </c>
      <c r="AA134" s="1030">
        <f ca="1">(SQRT(((-'int. presets cp_10d'!G30*SIN($F$18*PI()/180)*$F$21)*$C$25*1000)^2+(0.001*$C$25*1000*$F$21)^2)/$C$30+(-'int. presets cp_10d'!G30*COS($F$18*PI()/180)*$F$21)*$C$25*1000)/9.81*$AA$99/$O$47*$F$193*'int. presets cp_10d'!$G$214-$N$47/$O$47*$C$20*$F$21</f>
        <v>7.5635981535814594</v>
      </c>
    </row>
    <row r="135" spans="2:27" ht="13.5" customHeight="1" thickBot="1" x14ac:dyDescent="0.25">
      <c r="B135" s="1586" t="e">
        <v>#REF!</v>
      </c>
      <c r="C135" s="1587">
        <v>0</v>
      </c>
      <c r="D135" s="1588">
        <v>0</v>
      </c>
      <c r="E135" s="547" t="s">
        <v>462</v>
      </c>
      <c r="F135" s="1055" t="e">
        <f t="shared" si="82"/>
        <v>#REF!</v>
      </c>
      <c r="G135" s="1055" t="e">
        <f t="shared" si="83"/>
        <v>#REF!</v>
      </c>
      <c r="H135" s="1055" t="e">
        <f t="shared" si="72"/>
        <v>#REF!</v>
      </c>
      <c r="I135" s="1056" t="e">
        <f t="shared" si="73"/>
        <v>#REF!</v>
      </c>
      <c r="J135" s="1055" t="e">
        <f t="shared" si="74"/>
        <v>#REF!</v>
      </c>
      <c r="K135" s="1063" t="e">
        <f t="shared" si="75"/>
        <v>#REF!</v>
      </c>
      <c r="L135" s="941">
        <f t="shared" ca="1" si="76"/>
        <v>7.5635981535814594</v>
      </c>
      <c r="M135" s="1072">
        <f t="shared" ca="1" si="77"/>
        <v>16.674859761348756</v>
      </c>
      <c r="N135" s="1068" t="e">
        <f>(-#REF!*COS($F$18*PI()/180)*$F$21)*$N$99*$C$25*1000/9.81/$O$47*$D$193*#REF!-$N$47/$O$47*$C$20*$F$21</f>
        <v>#REF!</v>
      </c>
      <c r="O135" s="164" t="e">
        <f>(SQRT(((-#REF!*SIN($F$18*PI()/180)*$F$21)*$C$25*1000)^2+(0.001*$C$25*1000*$F$21)^2)/$C$30+(-#REF!*COS($F$18*PI()/180)*$F$21)*$C$25*1000)/9.81*$O$99/$O$47*$F$193*#REF!-$N$47/$O$47*$C$20*$F$21</f>
        <v>#REF!</v>
      </c>
      <c r="P135" s="199" t="e">
        <f>(-#REF!*COS($F$18*PI()/180)*$F$21)*$P$99*$C$25*1000/9.81/$O$47*$D$193*#REF!-$N$47/$O$47*$C$20*$F$21</f>
        <v>#REF!</v>
      </c>
      <c r="Q135" s="164" t="e">
        <f>(SQRT(((-#REF!*SIN($F$18*PI()/180)*$F$21)*$C$25*1000)^2+(0.001*$C$25*1000*$F$21)^2)/$C$30+(-#REF!*COS($F$18*PI()/180)*$F$21)*$C$25*1000)/9.81*$Q$99/$O$47*$F$193*#REF!-$N$47/$O$47*$C$20*$F$21</f>
        <v>#REF!</v>
      </c>
      <c r="R135" s="199" t="e">
        <f>(-#REF!*COS($F$18*PI()/180)*$F$21)*$R$99*$C$25*1000/9.81/$O$47*$D$193*#REF!-$N$47/$O$47*$C$20*$F$21</f>
        <v>#REF!</v>
      </c>
      <c r="S135" s="164" t="e">
        <f>(SQRT(((-#REF!*SIN($F$18*PI()/180)*$F$21)*$C$25*1000)^2+(0.001*$C$25*1000*$F$21)^2)/$C$30+(-#REF!*COS($F$18*PI()/180)*$F$21)*$C$25*1000)/9.81*$S$99/$O$47*$F$193*#REF!-$N$47/$O$47*$C$20*$F$21</f>
        <v>#REF!</v>
      </c>
      <c r="T135" s="199" t="e">
        <f>(-#REF!*COS($F$18*PI()/180)*$F$21)*$T$99*$C$25*1000/9.81/$O$47*$D$193*#REF!-$N$47/$O$47*$C$20*$F$21</f>
        <v>#REF!</v>
      </c>
      <c r="U135" s="164" t="e">
        <f>(SQRT(((-#REF!*SIN($F$18*PI()/180)*$F$21)*$C$25*1000)^2+(0.001*$C$25*1000*$F$21)^2)/$C$30+(-#REF!*COS($F$18*PI()/180)*$F$21)*$C$25*1000)/9.81*$U$99/$O$47*$F$193*#REF!-$N$47/$O$47*$C$20*$F$21</f>
        <v>#REF!</v>
      </c>
      <c r="V135" s="199" t="e">
        <f>(-#REF!*COS($F$18*PI()/180)*$F$21)*$V$99*$C$25*1000/9.81/$O$47*$D$193*#REF!-$N$47/$O$47*$C$20*$F$21</f>
        <v>#REF!</v>
      </c>
      <c r="W135" s="164" t="e">
        <f>(SQRT(((-#REF!*SIN($F$18*PI()/180)*$F$21)*$C$25*1000)^2+(0.001*$C$25*1000*$F$21)^2)/$C$30+(-#REF!*COS($F$18*PI()/180)*$F$21)*$C$25*1000)/9.81*$W$99/$O$47*$F$193*#REF!-$N$47/$O$47*$C$20*$F$21</f>
        <v>#REF!</v>
      </c>
      <c r="X135" s="199" t="e">
        <f>(-#REF!*COS($F$18*PI()/180)*$F$21)*$X$99*$C$25*1000/9.81/$O$47*$D$193*#REF!-$N$47/$O$47*$C$20*$F$21</f>
        <v>#REF!</v>
      </c>
      <c r="Y135" s="164" t="e">
        <f>(SQRT(((-#REF!*SIN($F$18*PI()/180)*$F$21)*$C$25*1000)^2+(0.001*$C$25*1000*$F$21)^2)/$C$30+(-#REF!*COS($F$18*PI()/180)*$F$21)*$C$25*1000)/9.81*$Y$99/$O$47*$F$193*#REF!-$N$47/$O$47*$C$20*$F$21</f>
        <v>#REF!</v>
      </c>
      <c r="Z135" s="199">
        <f ca="1">(-'int. presets cp_10d'!L31*COS($F$18*PI()/180)*$F$21)*$Z$99*$C$25*1000/9.81/$O$47*$D$193*'int. presets cp_10d'!$L$214-$N$47/$O$47*$C$20*$F$21</f>
        <v>-5.9858342522673382</v>
      </c>
      <c r="AA135" s="1028">
        <f ca="1">(SQRT(((-'int. presets cp_10d'!G31*SIN($F$18*PI()/180)*$F$21)*$C$25*1000)^2+(0.001*$C$25*1000*$F$21)^2)/$C$30+(-'int. presets cp_10d'!G31*COS($F$18*PI()/180)*$F$21)*$C$25*1000)/9.81*$AA$99/$O$47*$F$193*'int. presets cp_10d'!$G$214-$N$47/$O$47*$C$20*$F$21</f>
        <v>7.5635981535814594</v>
      </c>
    </row>
    <row r="136" spans="2:27" x14ac:dyDescent="0.2">
      <c r="B136" s="1580" t="s">
        <v>465</v>
      </c>
      <c r="C136" s="1581">
        <v>0</v>
      </c>
      <c r="D136" s="1582" t="s">
        <v>465</v>
      </c>
      <c r="E136" s="546" t="s">
        <v>461</v>
      </c>
      <c r="F136" s="1057" t="e">
        <f t="shared" si="82"/>
        <v>#REF!</v>
      </c>
      <c r="G136" s="1057" t="e">
        <f t="shared" si="83"/>
        <v>#REF!</v>
      </c>
      <c r="H136" s="1057" t="e">
        <f t="shared" si="72"/>
        <v>#REF!</v>
      </c>
      <c r="I136" s="1054" t="e">
        <f t="shared" si="73"/>
        <v>#REF!</v>
      </c>
      <c r="J136" s="1057" t="e">
        <f t="shared" si="74"/>
        <v>#REF!</v>
      </c>
      <c r="K136" s="1064" t="e">
        <f t="shared" si="75"/>
        <v>#REF!</v>
      </c>
      <c r="L136" s="940">
        <f t="shared" ca="1" si="76"/>
        <v>7.5635981535814594</v>
      </c>
      <c r="M136" s="1073">
        <f t="shared" ca="1" si="77"/>
        <v>16.674859761348756</v>
      </c>
      <c r="N136" s="1069" t="e">
        <f>(-#REF!*COS($F$18*PI()/180)*$F$21)*$N$99*$C$25*1000/9.81/$O$47*$D$193*#REF!-$N$47/$O$47*$C$20*$F$21</f>
        <v>#REF!</v>
      </c>
      <c r="O136" s="198" t="e">
        <f>(SQRT(((-#REF!*SIN($F$18*PI()/180)*$F$21)*$C$25*1000)^2+(0.001*$C$25*1000*$F$21)^2)/$C$30+(-#REF!*COS($F$18*PI()/180)*$F$21)*$C$25*1000)/9.81*$O$99/$O$47*$F$193*#REF!-$N$47/$O$47*$C$20*$F$21</f>
        <v>#REF!</v>
      </c>
      <c r="P136" s="161" t="e">
        <f>(-#REF!*COS($F$18*PI()/180)*$F$21)*$P$99*$C$25*1000/9.81/$O$47*$D$193*#REF!-$N$47/$O$47*$C$20*$F$21</f>
        <v>#REF!</v>
      </c>
      <c r="Q136" s="198" t="e">
        <f>(SQRT(((-#REF!*SIN($F$18*PI()/180)*$F$21)*$C$25*1000)^2+(0.001*$C$25*1000*$F$21)^2)/$C$30+(-#REF!*COS($F$18*PI()/180)*$F$21)*$C$25*1000)/9.81*$Q$99/$O$47*$F$193*#REF!-$N$47/$O$47*$C$20*$F$21</f>
        <v>#REF!</v>
      </c>
      <c r="R136" s="161" t="e">
        <f>(-#REF!*COS($F$18*PI()/180)*$F$21)*$R$99*$C$25*1000/9.81/$O$47*$D$193*#REF!-$N$47/$O$47*$C$20*$F$21</f>
        <v>#REF!</v>
      </c>
      <c r="S136" s="198" t="e">
        <f>(SQRT(((-#REF!*SIN($F$18*PI()/180)*$F$21)*$C$25*1000)^2+(0.001*$C$25*1000*$F$21)^2)/$C$30+(-#REF!*COS($F$18*PI()/180)*$F$21)*$C$25*1000)/9.81*$S$99/$O$47*$F$193*#REF!-$N$47/$O$47*$C$20*$F$21</f>
        <v>#REF!</v>
      </c>
      <c r="T136" s="161" t="e">
        <f>(-#REF!*COS($F$18*PI()/180)*$F$21)*$T$99*$C$25*1000/9.81/$O$47*$D$193*#REF!-$N$47/$O$47*$C$20*$F$21</f>
        <v>#REF!</v>
      </c>
      <c r="U136" s="198" t="e">
        <f>(SQRT(((-#REF!*SIN($F$18*PI()/180)*$F$21)*$C$25*1000)^2+(0.001*$C$25*1000*$F$21)^2)/$C$30+(-#REF!*COS($F$18*PI()/180)*$F$21)*$C$25*1000)/9.81*$U$99/$O$47*$F$193*#REF!-$N$47/$O$47*$C$20*$F$21</f>
        <v>#REF!</v>
      </c>
      <c r="V136" s="161" t="e">
        <f>(-#REF!*COS($F$18*PI()/180)*$F$21)*$V$99*$C$25*1000/9.81/$O$47*$D$193*#REF!-$N$47/$O$47*$C$20*$F$21</f>
        <v>#REF!</v>
      </c>
      <c r="W136" s="198" t="e">
        <f>(SQRT(((-#REF!*SIN($F$18*PI()/180)*$F$21)*$C$25*1000)^2+(0.001*$C$25*1000*$F$21)^2)/$C$30+(-#REF!*COS($F$18*PI()/180)*$F$21)*$C$25*1000)/9.81*$W$99/$O$47*$F$193*#REF!-$N$47/$O$47*$C$20*$F$21</f>
        <v>#REF!</v>
      </c>
      <c r="X136" s="161" t="e">
        <f>(-#REF!*COS($F$18*PI()/180)*$F$21)*$X$99*$C$25*1000/9.81/$O$47*$D$193*#REF!-$N$47/$O$47*$C$20*$F$21</f>
        <v>#REF!</v>
      </c>
      <c r="Y136" s="198" t="e">
        <f>(SQRT(((-#REF!*SIN($F$18*PI()/180)*$F$21)*$C$25*1000)^2+(0.001*$C$25*1000*$F$21)^2)/$C$30+(-#REF!*COS($F$18*PI()/180)*$F$21)*$C$25*1000)/9.81*$Y$99/$O$47*$F$193*#REF!-$N$47/$O$47*$C$20*$F$21</f>
        <v>#REF!</v>
      </c>
      <c r="Z136" s="161">
        <f ca="1">(-'int. presets cp_10d'!L32*COS($F$18*PI()/180)*$F$21)*$Z$99*$C$25*1000/9.81/$O$47*$D$193*'int. presets cp_10d'!$L$214-$N$47/$O$47*$C$20*$F$21</f>
        <v>-5.9858342522673382</v>
      </c>
      <c r="AA136" s="1026">
        <f ca="1">(SQRT(((-'int. presets cp_10d'!G32*SIN($F$18*PI()/180)*$F$21)*$C$25*1000)^2+(0.001*$C$25*1000*$F$21)^2)/$C$30+(-'int. presets cp_10d'!G32*COS($F$18*PI()/180)*$F$21)*$C$25*1000)/9.81*$AA$99/$O$47*$F$193*'int. presets cp_10d'!$G$214-$N$47/$O$47*$C$20*$F$21</f>
        <v>7.5635981535814594</v>
      </c>
    </row>
    <row r="137" spans="2:27" ht="13.5" customHeight="1" thickBot="1" x14ac:dyDescent="0.25">
      <c r="B137" s="1583" t="e">
        <v>#REF!</v>
      </c>
      <c r="C137" s="1584">
        <v>0</v>
      </c>
      <c r="D137" s="1585">
        <v>0</v>
      </c>
      <c r="E137" s="993" t="s">
        <v>462</v>
      </c>
      <c r="F137" s="1055" t="e">
        <f t="shared" si="82"/>
        <v>#REF!</v>
      </c>
      <c r="G137" s="1055" t="e">
        <f t="shared" si="83"/>
        <v>#REF!</v>
      </c>
      <c r="H137" s="1055" t="e">
        <f t="shared" si="72"/>
        <v>#REF!</v>
      </c>
      <c r="I137" s="1056" t="e">
        <f t="shared" si="73"/>
        <v>#REF!</v>
      </c>
      <c r="J137" s="1055" t="e">
        <f t="shared" si="74"/>
        <v>#REF!</v>
      </c>
      <c r="K137" s="1063" t="e">
        <f t="shared" si="75"/>
        <v>#REF!</v>
      </c>
      <c r="L137" s="990">
        <f t="shared" ca="1" si="76"/>
        <v>7.5635981535814594</v>
      </c>
      <c r="M137" s="1072">
        <f t="shared" ca="1" si="77"/>
        <v>16.674859761348756</v>
      </c>
      <c r="N137" s="1069" t="e">
        <f>(-#REF!*COS($F$18*PI()/180)*$F$21)*$N$99*$C$25*1000/9.81/$O$47*$D$193*#REF!-$N$47/$O$47*$C$20*$F$21</f>
        <v>#REF!</v>
      </c>
      <c r="O137" s="162" t="e">
        <f>(SQRT(((-#REF!*SIN($F$18*PI()/180)*$F$21)*$C$25*1000)^2+(0.001*$C$25*1000*$F$21)^2)/$C$30+(-#REF!*COS($F$18*PI()/180)*$F$21)*$C$25*1000)/9.81*$O$99/$O$47*$F$193*#REF!-$N$47/$O$47*$C$20*$F$21</f>
        <v>#REF!</v>
      </c>
      <c r="P137" s="161" t="e">
        <f>(-#REF!*COS($F$18*PI()/180)*$F$21)*$P$99*$C$25*1000/9.81/$O$47*$D$193*#REF!-$N$47/$O$47*$C$20*$F$21</f>
        <v>#REF!</v>
      </c>
      <c r="Q137" s="162" t="e">
        <f>(SQRT(((-#REF!*SIN($F$18*PI()/180)*$F$21)*$C$25*1000)^2+(0.001*$C$25*1000*$F$21)^2)/$C$30+(-#REF!*COS($F$18*PI()/180)*$F$21)*$C$25*1000)/9.81*$Q$99/$O$47*$F$193*#REF!-$N$47/$O$47*$C$20*$F$21</f>
        <v>#REF!</v>
      </c>
      <c r="R137" s="161" t="e">
        <f>(-#REF!*COS($F$18*PI()/180)*$F$21)*$R$99*$C$25*1000/9.81/$O$47*$D$193*#REF!-$N$47/$O$47*$C$20*$F$21</f>
        <v>#REF!</v>
      </c>
      <c r="S137" s="162" t="e">
        <f>(SQRT(((-#REF!*SIN($F$18*PI()/180)*$F$21)*$C$25*1000)^2+(0.001*$C$25*1000*$F$21)^2)/$C$30+(-#REF!*COS($F$18*PI()/180)*$F$21)*$C$25*1000)/9.81*$S$99/$O$47*$F$193*#REF!-$N$47/$O$47*$C$20*$F$21</f>
        <v>#REF!</v>
      </c>
      <c r="T137" s="161" t="e">
        <f>(-#REF!*COS($F$18*PI()/180)*$F$21)*$T$99*$C$25*1000/9.81/$O$47*$D$193*#REF!-$N$47/$O$47*$C$20*$F$21</f>
        <v>#REF!</v>
      </c>
      <c r="U137" s="162" t="e">
        <f>(SQRT(((-#REF!*SIN($F$18*PI()/180)*$F$21)*$C$25*1000)^2+(0.001*$C$25*1000*$F$21)^2)/$C$30+(-#REF!*COS($F$18*PI()/180)*$F$21)*$C$25*1000)/9.81*$U$99/$O$47*$F$193*#REF!-$N$47/$O$47*$C$20*$F$21</f>
        <v>#REF!</v>
      </c>
      <c r="V137" s="161" t="e">
        <f>(-#REF!*COS($F$18*PI()/180)*$F$21)*$V$99*$C$25*1000/9.81/$O$47*$D$193*#REF!-$N$47/$O$47*$C$20*$F$21</f>
        <v>#REF!</v>
      </c>
      <c r="W137" s="162" t="e">
        <f>(SQRT(((-#REF!*SIN($F$18*PI()/180)*$F$21)*$C$25*1000)^2+(0.001*$C$25*1000*$F$21)^2)/$C$30+(-#REF!*COS($F$18*PI()/180)*$F$21)*$C$25*1000)/9.81*$W$99/$O$47*$F$193*#REF!-$N$47/$O$47*$C$20*$F$21</f>
        <v>#REF!</v>
      </c>
      <c r="X137" s="161" t="e">
        <f>(-#REF!*COS($F$18*PI()/180)*$F$21)*$X$99*$C$25*1000/9.81/$O$47*$D$193*#REF!-$N$47/$O$47*$C$20*$F$21</f>
        <v>#REF!</v>
      </c>
      <c r="Y137" s="162" t="e">
        <f>(SQRT(((-#REF!*SIN($F$18*PI()/180)*$F$21)*$C$25*1000)^2+(0.001*$C$25*1000*$F$21)^2)/$C$30+(-#REF!*COS($F$18*PI()/180)*$F$21)*$C$25*1000)/9.81*$Y$99/$O$47*$F$193*#REF!-$N$47/$O$47*$C$20*$F$21</f>
        <v>#REF!</v>
      </c>
      <c r="Z137" s="161">
        <f ca="1">(-'int. presets cp_10d'!L33*COS($F$18*PI()/180)*$F$21)*$Z$99*$C$25*1000/9.81/$O$47*$D$193*'int. presets cp_10d'!$L$214-$N$47/$O$47*$C$20*$F$21</f>
        <v>-5.9858342522673382</v>
      </c>
      <c r="AA137" s="1030">
        <f ca="1">(SQRT(((-'int. presets cp_10d'!G33*SIN($F$18*PI()/180)*$F$21)*$C$25*1000)^2+(0.001*$C$25*1000*$F$21)^2)/$C$30+(-'int. presets cp_10d'!G33*COS($F$18*PI()/180)*$F$21)*$C$25*1000)/9.81*$AA$99/$O$47*$F$193*'int. presets cp_10d'!$G$214-$N$47/$O$47*$C$20*$F$21</f>
        <v>7.5635981535814594</v>
      </c>
    </row>
    <row r="138" spans="2:27" ht="16.5" customHeight="1" thickTop="1" thickBot="1" x14ac:dyDescent="0.25">
      <c r="B138" s="1658" t="s">
        <v>343</v>
      </c>
      <c r="C138" s="1659"/>
      <c r="D138" s="1659"/>
      <c r="E138" s="1659"/>
      <c r="F138" s="1659"/>
      <c r="G138" s="1659"/>
      <c r="H138" s="1659"/>
      <c r="I138" s="1659"/>
      <c r="J138" s="1659"/>
      <c r="K138" s="1659"/>
      <c r="L138" s="1660"/>
      <c r="M138" s="1067"/>
      <c r="N138" s="1006"/>
      <c r="O138" s="1007"/>
      <c r="P138" s="1007"/>
      <c r="Q138" s="1007"/>
      <c r="R138" s="1007"/>
      <c r="S138" s="1007"/>
      <c r="T138" s="1007"/>
      <c r="U138" s="1007"/>
      <c r="V138" s="1007"/>
      <c r="W138" s="1007"/>
      <c r="X138" s="1007"/>
      <c r="Y138" s="1007"/>
      <c r="Z138" s="1007"/>
      <c r="AA138" s="1010"/>
    </row>
    <row r="139" spans="2:27" x14ac:dyDescent="0.2">
      <c r="B139" s="1580" t="s">
        <v>460</v>
      </c>
      <c r="C139" s="1581"/>
      <c r="D139" s="1582"/>
      <c r="E139" s="351" t="s">
        <v>461</v>
      </c>
      <c r="F139" s="1053" t="e">
        <f t="shared" ref="F139:F146" si="84">MAX(N139,O139)</f>
        <v>#REF!</v>
      </c>
      <c r="G139" s="1053" t="e">
        <f t="shared" ref="G139:G146" si="85">MAX(P139,Q139)</f>
        <v>#REF!</v>
      </c>
      <c r="H139" s="1053" t="e">
        <f t="shared" si="72"/>
        <v>#REF!</v>
      </c>
      <c r="I139" s="1061" t="e">
        <f t="shared" si="73"/>
        <v>#REF!</v>
      </c>
      <c r="J139" s="1053" t="e">
        <f t="shared" si="74"/>
        <v>#REF!</v>
      </c>
      <c r="K139" s="1062" t="e">
        <f t="shared" si="75"/>
        <v>#REF!</v>
      </c>
      <c r="L139" s="940">
        <f t="shared" ca="1" si="76"/>
        <v>6.1906459074674274</v>
      </c>
      <c r="M139" s="1071">
        <f t="shared" ca="1" si="77"/>
        <v>13.648021780520839</v>
      </c>
      <c r="N139" s="497" t="e">
        <f>(-#REF!*COS($F$18*PI()/180)*$F$21)*$N$99*$C$25*1000/9.81/$O$47*$D$193*#REF!-$N$47/$O$47*$C$20*$F$21</f>
        <v>#REF!</v>
      </c>
      <c r="O139" s="198" t="e">
        <f>(SQRT(((-#REF!*SIN($F$18*PI()/180)*$F$21)*$C$25*1000)^2+(0.001*$C$25*1000*$F$21)^2)/$C$30+(-#REF!*COS($F$18*PI()/180)*$F$21)*$C$25*1000)/9.81*$O$99/$O$47*$F$193*#REF!-$N$47/$O$47*$C$20*$F$21</f>
        <v>#REF!</v>
      </c>
      <c r="P139" s="181" t="e">
        <f>(-#REF!*COS($F$18*PI()/180)*$F$21)*$P$99*$C$25*1000/9.81/$O$47*$D$193*#REF!-$N$47/$O$47*$C$20*$F$21</f>
        <v>#REF!</v>
      </c>
      <c r="Q139" s="198" t="e">
        <f>(SQRT(((-#REF!*SIN($F$18*PI()/180)*$F$21)*$C$25*1000)^2+(0.001*$C$25*1000*$F$21)^2)/$C$30+(-#REF!*COS($F$18*PI()/180)*$F$21)*$C$25*1000)/9.81*$Q$99/$O$47*$F$193*#REF!-$N$47/$O$47*$C$20*$F$21</f>
        <v>#REF!</v>
      </c>
      <c r="R139" s="181" t="e">
        <f>(-#REF!*COS($F$18*PI()/180)*$F$21)*$R$99*$C$25*1000/9.81/$O$47*$D$193*#REF!-$N$47/$O$47*$C$20*$F$21</f>
        <v>#REF!</v>
      </c>
      <c r="S139" s="198" t="e">
        <f>(SQRT(((-#REF!*SIN($F$18*PI()/180)*$F$21)*$C$25*1000)^2+(0.001*$C$25*1000*$F$21)^2)/$C$30+(-#REF!*COS($F$18*PI()/180)*$F$21)*$C$25*1000)/9.81*$S$99/$O$47*$F$193*#REF!-$N$47/$O$47*$C$20*$F$21</f>
        <v>#REF!</v>
      </c>
      <c r="T139" s="181" t="e">
        <f>(-#REF!*COS($F$18*PI()/180)*$F$21)*$T$99*$C$25*1000/9.81/$O$47*$D$193*#REF!-$N$47/$O$47*$C$20*$F$21</f>
        <v>#REF!</v>
      </c>
      <c r="U139" s="198" t="e">
        <f>(SQRT(((-#REF!*SIN($F$18*PI()/180)*$F$21)*$C$25*1000)^2+(0.001*$C$25*1000*$F$21)^2)/$C$30+(-#REF!*COS($F$18*PI()/180)*$F$21)*$C$25*1000)/9.81*$U$99/$O$47*$F$193*#REF!-$N$47/$O$47*$C$20*$F$21</f>
        <v>#REF!</v>
      </c>
      <c r="V139" s="181" t="e">
        <f>(-#REF!*COS($F$18*PI()/180)*$F$21)*$V$99*$C$25*1000/9.81/$O$47*$D$193*#REF!-$N$47/$O$47*$C$20*$F$21</f>
        <v>#REF!</v>
      </c>
      <c r="W139" s="198" t="e">
        <f>(SQRT(((-#REF!*SIN($F$18*PI()/180)*$F$21)*$C$25*1000)^2+(0.001*$C$25*1000*$F$21)^2)/$C$30+(-#REF!*COS($F$18*PI()/180)*$F$21)*$C$25*1000)/9.81*$W$99/$O$47*$F$193*#REF!-$N$47/$O$47*$C$20*$F$21</f>
        <v>#REF!</v>
      </c>
      <c r="X139" s="181" t="e">
        <f>(-#REF!*COS($F$18*PI()/180)*$F$21)*$X$99*$C$25*1000/9.81/$O$47*$D$193*#REF!-$N$47/$O$47*$C$20*$F$21</f>
        <v>#REF!</v>
      </c>
      <c r="Y139" s="198" t="e">
        <f>(SQRT(((-#REF!*SIN($F$18*PI()/180)*$F$21)*$C$25*1000)^2+(0.001*$C$25*1000*$F$21)^2)/$C$30+(-#REF!*COS($F$18*PI()/180)*$F$21)*$C$25*1000)/9.81*$Y$99/$O$47*$F$193*#REF!-$N$47/$O$47*$C$20*$F$21</f>
        <v>#REF!</v>
      </c>
      <c r="Z139" s="181">
        <f ca="1">(-'int. presets cp_10d'!M26*COS($F$18*PI()/180)*$F$21)*$Z$99*$C$25*1000/9.81/$O$47*$D$193*'int. presets cp_10d'!$M$214-$N$47/$O$47*$C$20*$F$21</f>
        <v>6.1906459074674274</v>
      </c>
      <c r="AA139" s="1026">
        <f ca="1">(SQRT(((-'int. presets cp_10d'!H26*SIN($F$18*PI()/180)*$F$21)*$C$25*1000)^2+(0.001*$C$25*1000*$F$21)^2)/$C$30+(-'int. presets cp_10d'!H26*COS($F$18*PI()/180)*$F$21)*$C$25*1000)/9.81*$AA$99/$O$47*$F$193*'int. presets cp_10d'!$H$214-$N$47/$O$47*$C$20*$F$21</f>
        <v>3.4322584568645595</v>
      </c>
    </row>
    <row r="140" spans="2:27" ht="13.5" thickBot="1" x14ac:dyDescent="0.25">
      <c r="B140" s="1586"/>
      <c r="C140" s="1587"/>
      <c r="D140" s="1588"/>
      <c r="E140" s="345" t="s">
        <v>462</v>
      </c>
      <c r="F140" s="1055" t="e">
        <f t="shared" si="84"/>
        <v>#REF!</v>
      </c>
      <c r="G140" s="1055" t="e">
        <f t="shared" si="85"/>
        <v>#REF!</v>
      </c>
      <c r="H140" s="1055" t="e">
        <f t="shared" si="72"/>
        <v>#REF!</v>
      </c>
      <c r="I140" s="1056" t="e">
        <f t="shared" si="73"/>
        <v>#REF!</v>
      </c>
      <c r="J140" s="1055" t="e">
        <f t="shared" si="74"/>
        <v>#REF!</v>
      </c>
      <c r="K140" s="1063" t="e">
        <f t="shared" si="75"/>
        <v>#REF!</v>
      </c>
      <c r="L140" s="941">
        <f t="shared" ca="1" si="76"/>
        <v>6.6016221064284792</v>
      </c>
      <c r="M140" s="1072">
        <f t="shared" ca="1" si="77"/>
        <v>14.554068128274352</v>
      </c>
      <c r="N140" s="1068" t="e">
        <f>(-#REF!*COS($F$18*PI()/180)*$F$21)*$N$99*$C$25*1000/9.81/$O$47*$D$193*#REF!-$N$47/$O$47*$C$20*$F$21</f>
        <v>#REF!</v>
      </c>
      <c r="O140" s="164" t="e">
        <f>(SQRT(((-#REF!*SIN($F$18*PI()/180)*$F$21)*$C$25*1000)^2+(0.001*$C$25*1000*$F$21)^2)/$C$30+(-#REF!*COS($F$18*PI()/180)*$F$21)*$C$25*1000)/9.81*$O$99/$O$47*$F$193*#REF!-$N$47/$O$47*$C$20*$F$21</f>
        <v>#REF!</v>
      </c>
      <c r="P140" s="199" t="e">
        <f>(-#REF!*COS($F$18*PI()/180)*$F$21)*$P$99*$C$25*1000/9.81/$O$47*$D$193*#REF!-$N$47/$O$47*$C$20*$F$21</f>
        <v>#REF!</v>
      </c>
      <c r="Q140" s="164" t="e">
        <f>(SQRT(((-#REF!*SIN($F$18*PI()/180)*$F$21)*$C$25*1000)^2+(0.001*$C$25*1000*$F$21)^2)/$C$30+(-#REF!*COS($F$18*PI()/180)*$F$21)*$C$25*1000)/9.81*$Q$99/$O$47*$F$193*#REF!-$N$47/$O$47*$C$20*$F$21</f>
        <v>#REF!</v>
      </c>
      <c r="R140" s="199" t="e">
        <f>(-#REF!*COS($F$18*PI()/180)*$F$21)*$R$99*$C$25*1000/9.81/$O$47*$D$193*#REF!-$N$47/$O$47*$C$20*$F$21</f>
        <v>#REF!</v>
      </c>
      <c r="S140" s="164" t="e">
        <f>(SQRT(((-#REF!*SIN($F$18*PI()/180)*$F$21)*$C$25*1000)^2+(0.001*$C$25*1000*$F$21)^2)/$C$30+(-#REF!*COS($F$18*PI()/180)*$F$21)*$C$25*1000)/9.81*$S$99/$O$47*$F$193*#REF!-$N$47/$O$47*$C$20*$F$21</f>
        <v>#REF!</v>
      </c>
      <c r="T140" s="199" t="e">
        <f>(-#REF!*COS($F$18*PI()/180)*$F$21)*$T$99*$C$25*1000/9.81/$O$47*$D$193*#REF!-$N$47/$O$47*$C$20*$F$21</f>
        <v>#REF!</v>
      </c>
      <c r="U140" s="164" t="e">
        <f>(SQRT(((-#REF!*SIN($F$18*PI()/180)*$F$21)*$C$25*1000)^2+(0.001*$C$25*1000*$F$21)^2)/$C$30+(-#REF!*COS($F$18*PI()/180)*$F$21)*$C$25*1000)/9.81*$U$99/$O$47*$F$193*#REF!-$N$47/$O$47*$C$20*$F$21</f>
        <v>#REF!</v>
      </c>
      <c r="V140" s="199" t="e">
        <f>(-#REF!*COS($F$18*PI()/180)*$F$21)*$V$99*$C$25*1000/9.81/$O$47*$D$193*#REF!-$N$47/$O$47*$C$20*$F$21</f>
        <v>#REF!</v>
      </c>
      <c r="W140" s="164" t="e">
        <f>(SQRT(((-#REF!*SIN($F$18*PI()/180)*$F$21)*$C$25*1000)^2+(0.001*$C$25*1000*$F$21)^2)/$C$30+(-#REF!*COS($F$18*PI()/180)*$F$21)*$C$25*1000)/9.81*$W$99/$O$47*$F$193*#REF!-$N$47/$O$47*$C$20*$F$21</f>
        <v>#REF!</v>
      </c>
      <c r="X140" s="199" t="e">
        <f>(-#REF!*COS($F$18*PI()/180)*$F$21)*$X$99*$C$25*1000/9.81/$O$47*$D$193*#REF!-$N$47/$O$47*$C$20*$F$21</f>
        <v>#REF!</v>
      </c>
      <c r="Y140" s="164" t="e">
        <f>(SQRT(((-#REF!*SIN($F$18*PI()/180)*$F$21)*$C$25*1000)^2+(0.001*$C$25*1000*$F$21)^2)/$C$30+(-#REF!*COS($F$18*PI()/180)*$F$21)*$C$25*1000)/9.81*$Y$99/$O$47*$F$193*#REF!-$N$47/$O$47*$C$20*$F$21</f>
        <v>#REF!</v>
      </c>
      <c r="Z140" s="199">
        <f ca="1">(-'int. presets cp_10d'!M27*COS($F$18*PI()/180)*$F$21)*$Z$99*$C$25*1000/9.81/$O$47*$D$193*'int. presets cp_10d'!$M$214-$N$47/$O$47*$C$20*$F$21</f>
        <v>6.6016221064284792</v>
      </c>
      <c r="AA140" s="1028">
        <f ca="1">(SQRT(((-'int. presets cp_10d'!H27*SIN($F$18*PI()/180)*$F$21)*$C$25*1000)^2+(0.001*$C$25*1000*$F$21)^2)/$C$30+(-'int. presets cp_10d'!H27*COS($F$18*PI()/180)*$F$21)*$C$25*1000)/9.81*$AA$99/$O$47*$F$193*'int. presets cp_10d'!$H$214-$N$47/$O$47*$C$20*$F$21</f>
        <v>3.4322584568645595</v>
      </c>
    </row>
    <row r="141" spans="2:27" x14ac:dyDescent="0.2">
      <c r="B141" s="1580" t="s">
        <v>463</v>
      </c>
      <c r="C141" s="1581"/>
      <c r="D141" s="1582"/>
      <c r="E141" s="347" t="s">
        <v>461</v>
      </c>
      <c r="F141" s="1057" t="e">
        <f t="shared" si="84"/>
        <v>#REF!</v>
      </c>
      <c r="G141" s="1057" t="e">
        <f t="shared" si="85"/>
        <v>#REF!</v>
      </c>
      <c r="H141" s="1057" t="e">
        <f t="shared" si="72"/>
        <v>#REF!</v>
      </c>
      <c r="I141" s="1054" t="e">
        <f t="shared" si="73"/>
        <v>#REF!</v>
      </c>
      <c r="J141" s="1057" t="e">
        <f t="shared" si="74"/>
        <v>#REF!</v>
      </c>
      <c r="K141" s="1064" t="e">
        <f t="shared" si="75"/>
        <v>#REF!</v>
      </c>
      <c r="L141" s="940">
        <f t="shared" ca="1" si="76"/>
        <v>3.4322584568645595</v>
      </c>
      <c r="M141" s="1073">
        <f t="shared" ca="1" si="77"/>
        <v>7.5668256391727446</v>
      </c>
      <c r="N141" s="1069" t="e">
        <f>(-#REF!*COS($F$18*PI()/180)*$F$21)*$N$99*$C$25*1000/9.81/$O$47*$D$193*#REF!-$N$47/$O$47*$C$20*$F$21</f>
        <v>#REF!</v>
      </c>
      <c r="O141" s="162" t="e">
        <f>(SQRT(((-#REF!*SIN($F$18*PI()/180)*$F$21)*$C$25*1000)^2+(0.001*$C$25*1000*$F$21)^2)/$C$30+(-#REF!*COS($F$18*PI()/180)*$F$21)*$C$25*1000)/9.81*$O$99/$O$47*$F$193*#REF!-$N$47/$O$47*$C$20*$F$21</f>
        <v>#REF!</v>
      </c>
      <c r="P141" s="161" t="e">
        <f>(-#REF!*COS($F$18*PI()/180)*$F$21)*$P$99*$C$25*1000/9.81/$O$47*$D$193*#REF!-$N$47/$O$47*$C$20*$F$21</f>
        <v>#REF!</v>
      </c>
      <c r="Q141" s="162" t="e">
        <f>(SQRT(((-#REF!*SIN($F$18*PI()/180)*$F$21)*$C$25*1000)^2+(0.001*$C$25*1000*$F$21)^2)/$C$30+(-#REF!*COS($F$18*PI()/180)*$F$21)*$C$25*1000)/9.81*$Q$99/$O$47*$F$193*#REF!-$N$47/$O$47*$C$20*$F$21</f>
        <v>#REF!</v>
      </c>
      <c r="R141" s="161" t="e">
        <f>(-#REF!*COS($F$18*PI()/180)*$F$21)*$R$99*$C$25*1000/9.81/$O$47*$D$193*#REF!-$N$47/$O$47*$C$20*$F$21</f>
        <v>#REF!</v>
      </c>
      <c r="S141" s="162" t="e">
        <f>(SQRT(((-#REF!*SIN($F$18*PI()/180)*$F$21)*$C$25*1000)^2+(0.001*$C$25*1000*$F$21)^2)/$C$30+(-#REF!*COS($F$18*PI()/180)*$F$21)*$C$25*1000)/9.81*$S$99/$O$47*$F$193*#REF!-$N$47/$O$47*$C$20*$F$21</f>
        <v>#REF!</v>
      </c>
      <c r="T141" s="161" t="e">
        <f>(-#REF!*COS($F$18*PI()/180)*$F$21)*$T$99*$C$25*1000/9.81/$O$47*$D$193*#REF!-$N$47/$O$47*$C$20*$F$21</f>
        <v>#REF!</v>
      </c>
      <c r="U141" s="162" t="e">
        <f>(SQRT(((-#REF!*SIN($F$18*PI()/180)*$F$21)*$C$25*1000)^2+(0.001*$C$25*1000*$F$21)^2)/$C$30+(-#REF!*COS($F$18*PI()/180)*$F$21)*$C$25*1000)/9.81*$U$99/$O$47*$F$193*#REF!-$N$47/$O$47*$C$20*$F$21</f>
        <v>#REF!</v>
      </c>
      <c r="V141" s="161" t="e">
        <f>(-#REF!*COS($F$18*PI()/180)*$F$21)*$V$99*$C$25*1000/9.81/$O$47*$D$193*#REF!-$N$47/$O$47*$C$20*$F$21</f>
        <v>#REF!</v>
      </c>
      <c r="W141" s="162" t="e">
        <f>(SQRT(((-#REF!*SIN($F$18*PI()/180)*$F$21)*$C$25*1000)^2+(0.001*$C$25*1000*$F$21)^2)/$C$30+(-#REF!*COS($F$18*PI()/180)*$F$21)*$C$25*1000)/9.81*$W$99/$O$47*$F$193*#REF!-$N$47/$O$47*$C$20*$F$21</f>
        <v>#REF!</v>
      </c>
      <c r="X141" s="161" t="e">
        <f>(-#REF!*COS($F$18*PI()/180)*$F$21)*$X$99*$C$25*1000/9.81/$O$47*$D$193*#REF!-$N$47/$O$47*$C$20*$F$21</f>
        <v>#REF!</v>
      </c>
      <c r="Y141" s="162" t="e">
        <f>(SQRT(((-#REF!*SIN($F$18*PI()/180)*$F$21)*$C$25*1000)^2+(0.001*$C$25*1000*$F$21)^2)/$C$30+(-#REF!*COS($F$18*PI()/180)*$F$21)*$C$25*1000)/9.81*$Y$99/$O$47*$F$193*#REF!-$N$47/$O$47*$C$20*$F$21</f>
        <v>#REF!</v>
      </c>
      <c r="Z141" s="161">
        <f ca="1">(-'int. presets cp_10d'!M28*COS($F$18*PI()/180)*$F$21)*$Z$99*$C$25*1000/9.81/$O$47*$D$193*'int. presets cp_10d'!$M$214-$N$47/$O$47*$C$20*$F$21</f>
        <v>-6.9485160846632468</v>
      </c>
      <c r="AA141" s="1030">
        <f ca="1">(SQRT(((-'int. presets cp_10d'!H28*SIN($F$18*PI()/180)*$F$21)*$C$25*1000)^2+(0.001*$C$25*1000*$F$21)^2)/$C$30+(-'int. presets cp_10d'!H28*COS($F$18*PI()/180)*$F$21)*$C$25*1000)/9.81*$AA$99/$O$47*$F$193*'int. presets cp_10d'!$H$214-$N$47/$O$47*$C$20*$F$21</f>
        <v>3.4322584568645595</v>
      </c>
    </row>
    <row r="142" spans="2:27" ht="13.5" thickBot="1" x14ac:dyDescent="0.25">
      <c r="B142" s="1586"/>
      <c r="C142" s="1587"/>
      <c r="D142" s="1588"/>
      <c r="E142" s="345" t="s">
        <v>462</v>
      </c>
      <c r="F142" s="1055" t="e">
        <f t="shared" si="84"/>
        <v>#REF!</v>
      </c>
      <c r="G142" s="1055" t="e">
        <f t="shared" si="85"/>
        <v>#REF!</v>
      </c>
      <c r="H142" s="1055" t="e">
        <f t="shared" si="72"/>
        <v>#REF!</v>
      </c>
      <c r="I142" s="1056" t="e">
        <f t="shared" si="73"/>
        <v>#REF!</v>
      </c>
      <c r="J142" s="1055" t="e">
        <f t="shared" si="74"/>
        <v>#REF!</v>
      </c>
      <c r="K142" s="1063" t="e">
        <f t="shared" si="75"/>
        <v>#REF!</v>
      </c>
      <c r="L142" s="941">
        <f t="shared" ca="1" si="76"/>
        <v>3.4322584568645595</v>
      </c>
      <c r="M142" s="1072">
        <f t="shared" ca="1" si="77"/>
        <v>7.5668256391727446</v>
      </c>
      <c r="N142" s="1068" t="e">
        <f>(-#REF!*COS($F$18*PI()/180)*$F$21)*$N$99*$C$25*1000/9.81/$O$47*$D$193*#REF!-$N$47/$O$47*$C$20*$F$21</f>
        <v>#REF!</v>
      </c>
      <c r="O142" s="164" t="e">
        <f>(SQRT(((-#REF!*SIN($F$18*PI()/180)*$F$21)*$C$25*1000)^2+(0.001*$C$25*1000*$F$21)^2)/$C$30+(-#REF!*COS($F$18*PI()/180)*$F$21)*$C$25*1000)/9.81*$O$99/$O$47*$F$193*#REF!-$N$47/$O$47*$C$20*$F$21</f>
        <v>#REF!</v>
      </c>
      <c r="P142" s="199" t="e">
        <f>(-#REF!*COS($F$18*PI()/180)*$F$21)*$P$99*$C$25*1000/9.81/$O$47*$D$193*#REF!-$N$47/$O$47*$C$20*$F$21</f>
        <v>#REF!</v>
      </c>
      <c r="Q142" s="164" t="e">
        <f>(SQRT(((-#REF!*SIN($F$18*PI()/180)*$F$21)*$C$25*1000)^2+(0.001*$C$25*1000*$F$21)^2)/$C$30+(-#REF!*COS($F$18*PI()/180)*$F$21)*$C$25*1000)/9.81*$Q$99/$O$47*$F$193*#REF!-$N$47/$O$47*$C$20*$F$21</f>
        <v>#REF!</v>
      </c>
      <c r="R142" s="199" t="e">
        <f>(-#REF!*COS($F$18*PI()/180)*$F$21)*$R$99*$C$25*1000/9.81/$O$47*$D$193*#REF!-$N$47/$O$47*$C$20*$F$21</f>
        <v>#REF!</v>
      </c>
      <c r="S142" s="164" t="e">
        <f>(SQRT(((-#REF!*SIN($F$18*PI()/180)*$F$21)*$C$25*1000)^2+(0.001*$C$25*1000*$F$21)^2)/$C$30+(-#REF!*COS($F$18*PI()/180)*$F$21)*$C$25*1000)/9.81*$S$99/$O$47*$F$193*#REF!-$N$47/$O$47*$C$20*$F$21</f>
        <v>#REF!</v>
      </c>
      <c r="T142" s="199" t="e">
        <f>(-#REF!*COS($F$18*PI()/180)*$F$21)*$T$99*$C$25*1000/9.81/$O$47*$D$193*#REF!-$N$47/$O$47*$C$20*$F$21</f>
        <v>#REF!</v>
      </c>
      <c r="U142" s="164" t="e">
        <f>(SQRT(((-#REF!*SIN($F$18*PI()/180)*$F$21)*$C$25*1000)^2+(0.001*$C$25*1000*$F$21)^2)/$C$30+(-#REF!*COS($F$18*PI()/180)*$F$21)*$C$25*1000)/9.81*$U$99/$O$47*$F$193*#REF!-$N$47/$O$47*$C$20*$F$21</f>
        <v>#REF!</v>
      </c>
      <c r="V142" s="199" t="e">
        <f>(-#REF!*COS($F$18*PI()/180)*$F$21)*$V$99*$C$25*1000/9.81/$O$47*$D$193*#REF!-$N$47/$O$47*$C$20*$F$21</f>
        <v>#REF!</v>
      </c>
      <c r="W142" s="164" t="e">
        <f>(SQRT(((-#REF!*SIN($F$18*PI()/180)*$F$21)*$C$25*1000)^2+(0.001*$C$25*1000*$F$21)^2)/$C$30+(-#REF!*COS($F$18*PI()/180)*$F$21)*$C$25*1000)/9.81*$W$99/$O$47*$F$193*#REF!-$N$47/$O$47*$C$20*$F$21</f>
        <v>#REF!</v>
      </c>
      <c r="X142" s="199" t="e">
        <f>(-#REF!*COS($F$18*PI()/180)*$F$21)*$X$99*$C$25*1000/9.81/$O$47*$D$193*#REF!-$N$47/$O$47*$C$20*$F$21</f>
        <v>#REF!</v>
      </c>
      <c r="Y142" s="164" t="e">
        <f>(SQRT(((-#REF!*SIN($F$18*PI()/180)*$F$21)*$C$25*1000)^2+(0.001*$C$25*1000*$F$21)^2)/$C$30+(-#REF!*COS($F$18*PI()/180)*$F$21)*$C$25*1000)/9.81*$Y$99/$O$47*$F$193*#REF!-$N$47/$O$47*$C$20*$F$21</f>
        <v>#REF!</v>
      </c>
      <c r="Z142" s="199">
        <f ca="1">(-'int. presets cp_10d'!M29*COS($F$18*PI()/180)*$F$21)*$Z$99*$C$25*1000/9.81/$O$47*$D$193*'int. presets cp_10d'!$M$214-$N$47/$O$47*$C$20*$F$21</f>
        <v>-6.9485160846632468</v>
      </c>
      <c r="AA142" s="1028">
        <f ca="1">(SQRT(((-'int. presets cp_10d'!H29*SIN($F$18*PI()/180)*$F$21)*$C$25*1000)^2+(0.001*$C$25*1000*$F$21)^2)/$C$30+(-'int. presets cp_10d'!H29*COS($F$18*PI()/180)*$F$21)*$C$25*1000)/9.81*$AA$99/$O$47*$F$193*'int. presets cp_10d'!$H$214-$N$47/$O$47*$C$20*$F$21</f>
        <v>3.4322584568645595</v>
      </c>
    </row>
    <row r="143" spans="2:27" x14ac:dyDescent="0.2">
      <c r="B143" s="1580" t="s">
        <v>464</v>
      </c>
      <c r="C143" s="1581"/>
      <c r="D143" s="1582"/>
      <c r="E143" s="347" t="s">
        <v>461</v>
      </c>
      <c r="F143" s="1057" t="e">
        <f t="shared" si="84"/>
        <v>#REF!</v>
      </c>
      <c r="G143" s="1057" t="e">
        <f t="shared" si="85"/>
        <v>#REF!</v>
      </c>
      <c r="H143" s="1057" t="e">
        <f t="shared" si="72"/>
        <v>#REF!</v>
      </c>
      <c r="I143" s="1054" t="e">
        <f t="shared" si="73"/>
        <v>#REF!</v>
      </c>
      <c r="J143" s="1057" t="e">
        <f t="shared" si="74"/>
        <v>#REF!</v>
      </c>
      <c r="K143" s="1064" t="e">
        <f t="shared" si="75"/>
        <v>#REF!</v>
      </c>
      <c r="L143" s="940">
        <f t="shared" ca="1" si="76"/>
        <v>3.4322584568645595</v>
      </c>
      <c r="M143" s="1073">
        <f t="shared" ca="1" si="77"/>
        <v>7.5668256391727446</v>
      </c>
      <c r="N143" s="1069" t="e">
        <f>(-#REF!*COS($F$18*PI()/180)*$F$21)*$N$99*$C$25*1000/9.81/$O$47*$D$193*#REF!-$N$47/$O$47*$C$20*$F$21</f>
        <v>#REF!</v>
      </c>
      <c r="O143" s="162" t="e">
        <f>(SQRT(((-#REF!*SIN($F$18*PI()/180)*$F$21)*$C$25*1000)^2+(0.001*$C$25*1000*$F$21)^2)/$C$30+(-#REF!*COS($F$18*PI()/180)*$F$21)*$C$25*1000)/9.81*$O$99/$O$47*$F$193*#REF!-$N$47/$O$47*$C$20*$F$21</f>
        <v>#REF!</v>
      </c>
      <c r="P143" s="161" t="e">
        <f>(-#REF!*COS($F$18*PI()/180)*$F$21)*$P$99*$C$25*1000/9.81/$O$47*$D$193*#REF!-$N$47/$O$47*$C$20*$F$21</f>
        <v>#REF!</v>
      </c>
      <c r="Q143" s="162" t="e">
        <f>(SQRT(((-#REF!*SIN($F$18*PI()/180)*$F$21)*$C$25*1000)^2+(0.001*$C$25*1000*$F$21)^2)/$C$30+(-#REF!*COS($F$18*PI()/180)*$F$21)*$C$25*1000)/9.81*$Q$99/$O$47*$F$193*#REF!-$N$47/$O$47*$C$20*$F$21</f>
        <v>#REF!</v>
      </c>
      <c r="R143" s="161" t="e">
        <f>(-#REF!*COS($F$18*PI()/180)*$F$21)*$R$99*$C$25*1000/9.81/$O$47*$D$193*#REF!-$N$47/$O$47*$C$20*$F$21</f>
        <v>#REF!</v>
      </c>
      <c r="S143" s="162" t="e">
        <f>(SQRT(((-#REF!*SIN($F$18*PI()/180)*$F$21)*$C$25*1000)^2+(0.001*$C$25*1000*$F$21)^2)/$C$30+(-#REF!*COS($F$18*PI()/180)*$F$21)*$C$25*1000)/9.81*$S$99/$O$47*$F$193*#REF!-$N$47/$O$47*$C$20*$F$21</f>
        <v>#REF!</v>
      </c>
      <c r="T143" s="161" t="e">
        <f>(-#REF!*COS($F$18*PI()/180)*$F$21)*$T$99*$C$25*1000/9.81/$O$47*$D$193*#REF!-$N$47/$O$47*$C$20*$F$21</f>
        <v>#REF!</v>
      </c>
      <c r="U143" s="162" t="e">
        <f>(SQRT(((-#REF!*SIN($F$18*PI()/180)*$F$21)*$C$25*1000)^2+(0.001*$C$25*1000*$F$21)^2)/$C$30+(-#REF!*COS($F$18*PI()/180)*$F$21)*$C$25*1000)/9.81*$U$99/$O$47*$F$193*#REF!-$N$47/$O$47*$C$20*$F$21</f>
        <v>#REF!</v>
      </c>
      <c r="V143" s="161" t="e">
        <f>(-#REF!*COS($F$18*PI()/180)*$F$21)*$V$99*$C$25*1000/9.81/$O$47*$D$193*#REF!-$N$47/$O$47*$C$20*$F$21</f>
        <v>#REF!</v>
      </c>
      <c r="W143" s="162" t="e">
        <f>(SQRT(((-#REF!*SIN($F$18*PI()/180)*$F$21)*$C$25*1000)^2+(0.001*$C$25*1000*$F$21)^2)/$C$30+(-#REF!*COS($F$18*PI()/180)*$F$21)*$C$25*1000)/9.81*$W$99/$O$47*$F$193*#REF!-$N$47/$O$47*$C$20*$F$21</f>
        <v>#REF!</v>
      </c>
      <c r="X143" s="161" t="e">
        <f>(-#REF!*COS($F$18*PI()/180)*$F$21)*$X$99*$C$25*1000/9.81/$O$47*$D$193*#REF!-$N$47/$O$47*$C$20*$F$21</f>
        <v>#REF!</v>
      </c>
      <c r="Y143" s="162" t="e">
        <f>(SQRT(((-#REF!*SIN($F$18*PI()/180)*$F$21)*$C$25*1000)^2+(0.001*$C$25*1000*$F$21)^2)/$C$30+(-#REF!*COS($F$18*PI()/180)*$F$21)*$C$25*1000)/9.81*$Y$99/$O$47*$F$193*#REF!-$N$47/$O$47*$C$20*$F$21</f>
        <v>#REF!</v>
      </c>
      <c r="Z143" s="161">
        <f ca="1">(-'int. presets cp_10d'!M30*COS($F$18*PI()/180)*$F$21)*$Z$99*$C$25*1000/9.81/$O$47*$D$193*'int. presets cp_10d'!$M$214-$N$47/$O$47*$C$20*$F$21</f>
        <v>-5.7125925159808908</v>
      </c>
      <c r="AA143" s="1030">
        <f ca="1">(SQRT(((-'int. presets cp_10d'!H30*SIN($F$18*PI()/180)*$F$21)*$C$25*1000)^2+(0.001*$C$25*1000*$F$21)^2)/$C$30+(-'int. presets cp_10d'!H30*COS($F$18*PI()/180)*$F$21)*$C$25*1000)/9.81*$AA$99/$O$47*$F$193*'int. presets cp_10d'!$H$214-$N$47/$O$47*$C$20*$F$21</f>
        <v>3.4322584568645595</v>
      </c>
    </row>
    <row r="144" spans="2:27" ht="13.5" thickBot="1" x14ac:dyDescent="0.25">
      <c r="B144" s="1586"/>
      <c r="C144" s="1587"/>
      <c r="D144" s="1588"/>
      <c r="E144" s="345" t="s">
        <v>462</v>
      </c>
      <c r="F144" s="1055" t="e">
        <f t="shared" si="84"/>
        <v>#REF!</v>
      </c>
      <c r="G144" s="1055" t="e">
        <f t="shared" si="85"/>
        <v>#REF!</v>
      </c>
      <c r="H144" s="1055" t="e">
        <f t="shared" si="72"/>
        <v>#REF!</v>
      </c>
      <c r="I144" s="1056" t="e">
        <f t="shared" si="73"/>
        <v>#REF!</v>
      </c>
      <c r="J144" s="1055" t="e">
        <f t="shared" si="74"/>
        <v>#REF!</v>
      </c>
      <c r="K144" s="1063" t="e">
        <f t="shared" si="75"/>
        <v>#REF!</v>
      </c>
      <c r="L144" s="941">
        <f t="shared" ca="1" si="76"/>
        <v>3.4322584568645595</v>
      </c>
      <c r="M144" s="1072">
        <f t="shared" ca="1" si="77"/>
        <v>7.5668256391727446</v>
      </c>
      <c r="N144" s="1068" t="e">
        <f>(-#REF!*COS($F$18*PI()/180)*$F$21)*$N$99*$C$25*1000/9.81/$O$47*$D$193*#REF!-$N$47/$O$47*$C$20*$F$21</f>
        <v>#REF!</v>
      </c>
      <c r="O144" s="164" t="e">
        <f>(SQRT(((-#REF!*SIN($F$18*PI()/180)*$F$21)*$C$25*1000)^2+(0.001*$C$25*1000*$F$21)^2)/$C$30+(-#REF!*COS($F$18*PI()/180)*$F$21)*$C$25*1000)/9.81*$O$99/$O$47*$F$193*#REF!-$N$47/$O$47*$C$20*$F$21</f>
        <v>#REF!</v>
      </c>
      <c r="P144" s="199" t="e">
        <f>(-#REF!*COS($F$18*PI()/180)*$F$21)*$P$99*$C$25*1000/9.81/$O$47*$D$193*#REF!-$N$47/$O$47*$C$20*$F$21</f>
        <v>#REF!</v>
      </c>
      <c r="Q144" s="164" t="e">
        <f>(SQRT(((-#REF!*SIN($F$18*PI()/180)*$F$21)*$C$25*1000)^2+(0.001*$C$25*1000*$F$21)^2)/$C$30+(-#REF!*COS($F$18*PI()/180)*$F$21)*$C$25*1000)/9.81*$Q$99/$O$47*$F$193*#REF!-$N$47/$O$47*$C$20*$F$21</f>
        <v>#REF!</v>
      </c>
      <c r="R144" s="199" t="e">
        <f>(-#REF!*COS($F$18*PI()/180)*$F$21)*$R$99*$C$25*1000/9.81/$O$47*$D$193*#REF!-$N$47/$O$47*$C$20*$F$21</f>
        <v>#REF!</v>
      </c>
      <c r="S144" s="164" t="e">
        <f>(SQRT(((-#REF!*SIN($F$18*PI()/180)*$F$21)*$C$25*1000)^2+(0.001*$C$25*1000*$F$21)^2)/$C$30+(-#REF!*COS($F$18*PI()/180)*$F$21)*$C$25*1000)/9.81*$S$99/$O$47*$F$193*#REF!-$N$47/$O$47*$C$20*$F$21</f>
        <v>#REF!</v>
      </c>
      <c r="T144" s="199" t="e">
        <f>(-#REF!*COS($F$18*PI()/180)*$F$21)*$T$99*$C$25*1000/9.81/$O$47*$D$193*#REF!-$N$47/$O$47*$C$20*$F$21</f>
        <v>#REF!</v>
      </c>
      <c r="U144" s="164" t="e">
        <f>(SQRT(((-#REF!*SIN($F$18*PI()/180)*$F$21)*$C$25*1000)^2+(0.001*$C$25*1000*$F$21)^2)/$C$30+(-#REF!*COS($F$18*PI()/180)*$F$21)*$C$25*1000)/9.81*$U$99/$O$47*$F$193*#REF!-$N$47/$O$47*$C$20*$F$21</f>
        <v>#REF!</v>
      </c>
      <c r="V144" s="199" t="e">
        <f>(-#REF!*COS($F$18*PI()/180)*$F$21)*$V$99*$C$25*1000/9.81/$O$47*$D$193*#REF!-$N$47/$O$47*$C$20*$F$21</f>
        <v>#REF!</v>
      </c>
      <c r="W144" s="164" t="e">
        <f>(SQRT(((-#REF!*SIN($F$18*PI()/180)*$F$21)*$C$25*1000)^2+(0.001*$C$25*1000*$F$21)^2)/$C$30+(-#REF!*COS($F$18*PI()/180)*$F$21)*$C$25*1000)/9.81*$W$99/$O$47*$F$193*#REF!-$N$47/$O$47*$C$20*$F$21</f>
        <v>#REF!</v>
      </c>
      <c r="X144" s="199" t="e">
        <f>(-#REF!*COS($F$18*PI()/180)*$F$21)*$X$99*$C$25*1000/9.81/$O$47*$D$193*#REF!-$N$47/$O$47*$C$20*$F$21</f>
        <v>#REF!</v>
      </c>
      <c r="Y144" s="164" t="e">
        <f>(SQRT(((-#REF!*SIN($F$18*PI()/180)*$F$21)*$C$25*1000)^2+(0.001*$C$25*1000*$F$21)^2)/$C$30+(-#REF!*COS($F$18*PI()/180)*$F$21)*$C$25*1000)/9.81*$Y$99/$O$47*$F$193*#REF!-$N$47/$O$47*$C$20*$F$21</f>
        <v>#REF!</v>
      </c>
      <c r="Z144" s="199">
        <f ca="1">(-'int. presets cp_10d'!M31*COS($F$18*PI()/180)*$F$21)*$Z$99*$C$25*1000/9.81/$O$47*$D$193*'int. presets cp_10d'!$M$214-$N$47/$O$47*$C$20*$F$21</f>
        <v>-5.7125925159808908</v>
      </c>
      <c r="AA144" s="1028">
        <f ca="1">(SQRT(((-'int. presets cp_10d'!H31*SIN($F$18*PI()/180)*$F$21)*$C$25*1000)^2+(0.001*$C$25*1000*$F$21)^2)/$C$30+(-'int. presets cp_10d'!H31*COS($F$18*PI()/180)*$F$21)*$C$25*1000)/9.81*$AA$99/$O$47*$F$193*'int. presets cp_10d'!$H$214-$N$47/$O$47*$C$20*$F$21</f>
        <v>3.4322584568645595</v>
      </c>
    </row>
    <row r="145" spans="2:27" x14ac:dyDescent="0.2">
      <c r="B145" s="1580" t="s">
        <v>465</v>
      </c>
      <c r="C145" s="1581"/>
      <c r="D145" s="1582"/>
      <c r="E145" s="347" t="s">
        <v>461</v>
      </c>
      <c r="F145" s="1057" t="e">
        <f t="shared" si="84"/>
        <v>#REF!</v>
      </c>
      <c r="G145" s="1057" t="e">
        <f t="shared" si="85"/>
        <v>#REF!</v>
      </c>
      <c r="H145" s="1057" t="e">
        <f t="shared" si="72"/>
        <v>#REF!</v>
      </c>
      <c r="I145" s="1054" t="e">
        <f t="shared" si="73"/>
        <v>#REF!</v>
      </c>
      <c r="J145" s="1057" t="e">
        <f t="shared" si="74"/>
        <v>#REF!</v>
      </c>
      <c r="K145" s="1064" t="e">
        <f t="shared" si="75"/>
        <v>#REF!</v>
      </c>
      <c r="L145" s="940">
        <f t="shared" ca="1" si="76"/>
        <v>3.4322584568645595</v>
      </c>
      <c r="M145" s="1073">
        <f t="shared" ca="1" si="77"/>
        <v>7.5668256391727446</v>
      </c>
      <c r="N145" s="1069" t="e">
        <f>(-#REF!*COS($F$18*PI()/180)*$F$21)*$N$99*$C$25*1000/9.81/$O$47*$D$193*#REF!-$N$47/$O$47*$C$20*$F$21</f>
        <v>#REF!</v>
      </c>
      <c r="O145" s="198" t="e">
        <f>(SQRT(((-#REF!*SIN($F$18*PI()/180)*$F$21)*$C$25*1000)^2+(0.001*$C$25*1000*$F$21)^2)/$C$30+(-#REF!*COS($F$18*PI()/180)*$F$21)*$C$25*1000)/9.81*$O$99/$O$47*$F$193*#REF!-$N$47/$O$47*$C$20*$F$21</f>
        <v>#REF!</v>
      </c>
      <c r="P145" s="161" t="e">
        <f>(-#REF!*COS($F$18*PI()/180)*$F$21)*$P$99*$C$25*1000/9.81/$O$47*$D$193*#REF!-$N$47/$O$47*$C$20*$F$21</f>
        <v>#REF!</v>
      </c>
      <c r="Q145" s="198" t="e">
        <f>(SQRT(((-#REF!*SIN($F$18*PI()/180)*$F$21)*$C$25*1000)^2+(0.001*$C$25*1000*$F$21)^2)/$C$30+(-#REF!*COS($F$18*PI()/180)*$F$21)*$C$25*1000)/9.81*$Q$99/$O$47*$F$193*#REF!-$N$47/$O$47*$C$20*$F$21</f>
        <v>#REF!</v>
      </c>
      <c r="R145" s="161" t="e">
        <f>(-#REF!*COS($F$18*PI()/180)*$F$21)*$R$99*$C$25*1000/9.81/$O$47*$D$193*#REF!-$N$47/$O$47*$C$20*$F$21</f>
        <v>#REF!</v>
      </c>
      <c r="S145" s="198" t="e">
        <f>(SQRT(((-#REF!*SIN($F$18*PI()/180)*$F$21)*$C$25*1000)^2+(0.001*$C$25*1000*$F$21)^2)/$C$30+(-#REF!*COS($F$18*PI()/180)*$F$21)*$C$25*1000)/9.81*$S$99/$O$47*$F$193*#REF!-$N$47/$O$47*$C$20*$F$21</f>
        <v>#REF!</v>
      </c>
      <c r="T145" s="161" t="e">
        <f>(-#REF!*COS($F$18*PI()/180)*$F$21)*$T$99*$C$25*1000/9.81/$O$47*$D$193*#REF!-$N$47/$O$47*$C$20*$F$21</f>
        <v>#REF!</v>
      </c>
      <c r="U145" s="198" t="e">
        <f>(SQRT(((-#REF!*SIN($F$18*PI()/180)*$F$21)*$C$25*1000)^2+(0.001*$C$25*1000*$F$21)^2)/$C$30+(-#REF!*COS($F$18*PI()/180)*$F$21)*$C$25*1000)/9.81*$U$99/$O$47*$F$193*#REF!-$N$47/$O$47*$C$20*$F$21</f>
        <v>#REF!</v>
      </c>
      <c r="V145" s="161" t="e">
        <f>(-#REF!*COS($F$18*PI()/180)*$F$21)*$V$99*$C$25*1000/9.81/$O$47*$D$193*#REF!-$N$47/$O$47*$C$20*$F$21</f>
        <v>#REF!</v>
      </c>
      <c r="W145" s="198" t="e">
        <f>(SQRT(((-#REF!*SIN($F$18*PI()/180)*$F$21)*$C$25*1000)^2+(0.001*$C$25*1000*$F$21)^2)/$C$30+(-#REF!*COS($F$18*PI()/180)*$F$21)*$C$25*1000)/9.81*$W$99/$O$47*$F$193*#REF!-$N$47/$O$47*$C$20*$F$21</f>
        <v>#REF!</v>
      </c>
      <c r="X145" s="161" t="e">
        <f>(-#REF!*COS($F$18*PI()/180)*$F$21)*$X$99*$C$25*1000/9.81/$O$47*$D$193*#REF!-$N$47/$O$47*$C$20*$F$21</f>
        <v>#REF!</v>
      </c>
      <c r="Y145" s="198" t="e">
        <f>(SQRT(((-#REF!*SIN($F$18*PI()/180)*$F$21)*$C$25*1000)^2+(0.001*$C$25*1000*$F$21)^2)/$C$30+(-#REF!*COS($F$18*PI()/180)*$F$21)*$C$25*1000)/9.81*$Y$99/$O$47*$F$193*#REF!-$N$47/$O$47*$C$20*$F$21</f>
        <v>#REF!</v>
      </c>
      <c r="Z145" s="161">
        <f ca="1">(-'int. presets cp_10d'!M32*COS($F$18*PI()/180)*$F$21)*$Z$99*$C$25*1000/9.81/$O$47*$D$193*'int. presets cp_10d'!$M$214-$N$47/$O$47*$C$20*$F$21</f>
        <v>-6.9485160846632468</v>
      </c>
      <c r="AA145" s="1026">
        <f ca="1">(SQRT(((-'int. presets cp_10d'!H32*SIN($F$18*PI()/180)*$F$21)*$C$25*1000)^2+(0.001*$C$25*1000*$F$21)^2)/$C$30+(-'int. presets cp_10d'!H32*COS($F$18*PI()/180)*$F$21)*$C$25*1000)/9.81*$AA$99/$O$47*$F$193*'int. presets cp_10d'!$H$214-$N$47/$O$47*$C$20*$F$21</f>
        <v>3.4322584568645595</v>
      </c>
    </row>
    <row r="146" spans="2:27" ht="13.5" thickBot="1" x14ac:dyDescent="0.25">
      <c r="B146" s="1583"/>
      <c r="C146" s="1584"/>
      <c r="D146" s="1585"/>
      <c r="E146" s="346" t="s">
        <v>462</v>
      </c>
      <c r="F146" s="1055" t="e">
        <f t="shared" si="84"/>
        <v>#REF!</v>
      </c>
      <c r="G146" s="1055" t="e">
        <f t="shared" si="85"/>
        <v>#REF!</v>
      </c>
      <c r="H146" s="1055" t="e">
        <f t="shared" si="72"/>
        <v>#REF!</v>
      </c>
      <c r="I146" s="1056" t="e">
        <f t="shared" si="73"/>
        <v>#REF!</v>
      </c>
      <c r="J146" s="1055" t="e">
        <f t="shared" si="74"/>
        <v>#REF!</v>
      </c>
      <c r="K146" s="1063" t="e">
        <f t="shared" si="75"/>
        <v>#REF!</v>
      </c>
      <c r="L146" s="942">
        <f t="shared" ca="1" si="76"/>
        <v>3.4322584568645595</v>
      </c>
      <c r="M146" s="1072">
        <f t="shared" ca="1" si="77"/>
        <v>7.5668256391727446</v>
      </c>
      <c r="N146" s="1070" t="e">
        <f>(-#REF!*COS($F$18*PI()/180)*$F$21)*$N$99*$C$25*1000/9.81/$O$47*$D$193*#REF!-$N$47/$O$47*$C$20*$F$21</f>
        <v>#REF!</v>
      </c>
      <c r="O146" s="240" t="e">
        <f>(SQRT(((-#REF!*SIN($F$18*PI()/180)*$F$21)*$C$25*1000)^2+(0.001*$C$25*1000*$F$21)^2)/$C$30+(-#REF!*COS($F$18*PI()/180)*$F$21)*$C$25*1000)/9.81*$O$99/$O$47*$F$193*#REF!-$N$47/$O$47*$C$20*$F$21</f>
        <v>#REF!</v>
      </c>
      <c r="P146" s="239" t="e">
        <f>(-#REF!*COS($F$18*PI()/180)*$F$21)*$P$99*$C$25*1000/9.81/$O$47*$D$193*#REF!-$N$47/$O$47*$C$20*$F$21</f>
        <v>#REF!</v>
      </c>
      <c r="Q146" s="240" t="e">
        <f>(SQRT(((-#REF!*SIN($F$18*PI()/180)*$F$21)*$C$25*1000)^2+(0.001*$C$25*1000*$F$21)^2)/$C$30+(-#REF!*COS($F$18*PI()/180)*$F$21)*$C$25*1000)/9.81*$Q$99/$O$47*$F$193*#REF!-$N$47/$O$47*$C$20*$F$21</f>
        <v>#REF!</v>
      </c>
      <c r="R146" s="239" t="e">
        <f>(-#REF!*COS($F$18*PI()/180)*$F$21)*$R$99*$C$25*1000/9.81/$O$47*$D$193*#REF!-$N$47/$O$47*$C$20*$F$21</f>
        <v>#REF!</v>
      </c>
      <c r="S146" s="240" t="e">
        <f>(SQRT(((-#REF!*SIN($F$18*PI()/180)*$F$21)*$C$25*1000)^2+(0.001*$C$25*1000*$F$21)^2)/$C$30+(-#REF!*COS($F$18*PI()/180)*$F$21)*$C$25*1000)/9.81*$S$99/$O$47*$F$193*#REF!-$N$47/$O$47*$C$20*$F$21</f>
        <v>#REF!</v>
      </c>
      <c r="T146" s="239" t="e">
        <f>(-#REF!*COS($F$18*PI()/180)*$F$21)*$T$99*$C$25*1000/9.81/$O$47*$D$193*#REF!-$N$47/$O$47*$C$20*$F$21</f>
        <v>#REF!</v>
      </c>
      <c r="U146" s="240" t="e">
        <f>(SQRT(((-#REF!*SIN($F$18*PI()/180)*$F$21)*$C$25*1000)^2+(0.001*$C$25*1000*$F$21)^2)/$C$30+(-#REF!*COS($F$18*PI()/180)*$F$21)*$C$25*1000)/9.81*$U$99/$O$47*$F$193*#REF!-$N$47/$O$47*$C$20*$F$21</f>
        <v>#REF!</v>
      </c>
      <c r="V146" s="239" t="e">
        <f>(-#REF!*COS($F$18*PI()/180)*$F$21)*$V$99*$C$25*1000/9.81/$O$47*$D$193*#REF!-$N$47/$O$47*$C$20*$F$21</f>
        <v>#REF!</v>
      </c>
      <c r="W146" s="240" t="e">
        <f>(SQRT(((-#REF!*SIN($F$18*PI()/180)*$F$21)*$C$25*1000)^2+(0.001*$C$25*1000*$F$21)^2)/$C$30+(-#REF!*COS($F$18*PI()/180)*$F$21)*$C$25*1000)/9.81*$W$99/$O$47*$F$193*#REF!-$N$47/$O$47*$C$20*$F$21</f>
        <v>#REF!</v>
      </c>
      <c r="X146" s="239" t="e">
        <f>(-#REF!*COS($F$18*PI()/180)*$F$21)*$X$99*$C$25*1000/9.81/$O$47*$D$193*#REF!-$N$47/$O$47*$C$20*$F$21</f>
        <v>#REF!</v>
      </c>
      <c r="Y146" s="240" t="e">
        <f>(SQRT(((-#REF!*SIN($F$18*PI()/180)*$F$21)*$C$25*1000)^2+(0.001*$C$25*1000*$F$21)^2)/$C$30+(-#REF!*COS($F$18*PI()/180)*$F$21)*$C$25*1000)/9.81*$Y$99/$O$47*$F$193*#REF!-$N$47/$O$47*$C$20*$F$21</f>
        <v>#REF!</v>
      </c>
      <c r="Z146" s="239">
        <f ca="1">(-'int. presets cp_10d'!M33*COS($F$18*PI()/180)*$F$21)*$Z$99*$C$25*1000/9.81/$O$47*$D$193*'int. presets cp_10d'!$M$214-$N$47/$O$47*$C$20*$F$21</f>
        <v>-6.9485160846632468</v>
      </c>
      <c r="AA146" s="1032">
        <f ca="1">(SQRT(((-'int. presets cp_10d'!H33*SIN($F$18*PI()/180)*$F$21)*$C$25*1000)^2+(0.001*$C$25*1000*$F$21)^2)/$C$30+(-'int. presets cp_10d'!H33*COS($F$18*PI()/180)*$F$21)*$C$25*1000)/9.81*$AA$99/$O$47*$F$193*'int. presets cp_10d'!$H$214-$N$47/$O$47*$C$20*$F$21</f>
        <v>3.4322584568645595</v>
      </c>
    </row>
    <row r="147" spans="2:27" ht="13.5" thickTop="1" x14ac:dyDescent="0.2">
      <c r="I147" s="75"/>
      <c r="J147" s="75"/>
      <c r="K147" s="75"/>
      <c r="L147" s="75"/>
      <c r="M147" s="75"/>
      <c r="N147" s="75"/>
      <c r="O147" s="75"/>
      <c r="P147" s="75"/>
      <c r="Q147" s="75"/>
      <c r="R147" s="75"/>
      <c r="S147" s="75"/>
    </row>
    <row r="166" ht="12.75" customHeight="1" x14ac:dyDescent="0.2"/>
    <row r="171" ht="12.75" customHeight="1" x14ac:dyDescent="0.2"/>
    <row r="174" ht="14.25" customHeight="1" x14ac:dyDescent="0.2"/>
    <row r="179" spans="2:10" ht="13.5" customHeight="1" x14ac:dyDescent="0.2"/>
    <row r="182" spans="2:10" ht="12.75" customHeight="1" x14ac:dyDescent="0.2"/>
    <row r="184" spans="2:10" ht="12.75" customHeight="1" x14ac:dyDescent="0.2"/>
    <row r="185" spans="2:10" ht="12.75" customHeight="1" x14ac:dyDescent="0.2"/>
    <row r="187" spans="2:10" ht="12.75" customHeight="1" x14ac:dyDescent="0.2"/>
    <row r="188" spans="2:10" x14ac:dyDescent="0.2">
      <c r="B188" s="216" t="s">
        <v>433</v>
      </c>
      <c r="C188" s="75"/>
      <c r="D188" s="75"/>
      <c r="E188" s="75"/>
      <c r="F188" s="75"/>
      <c r="G188" s="75"/>
      <c r="H188" s="75"/>
      <c r="I188" s="75"/>
      <c r="J188" s="75"/>
    </row>
    <row r="189" spans="2:10" x14ac:dyDescent="0.2">
      <c r="B189" s="216"/>
      <c r="C189" s="75"/>
      <c r="D189" s="75"/>
      <c r="E189" s="75"/>
      <c r="F189" s="75"/>
      <c r="G189" s="75"/>
      <c r="H189" s="75"/>
      <c r="I189" s="75"/>
      <c r="J189" s="75"/>
    </row>
    <row r="190" spans="2:10" ht="13.5" customHeight="1" thickBot="1" x14ac:dyDescent="0.25">
      <c r="B190" s="165"/>
      <c r="C190" s="119"/>
      <c r="D190" s="74"/>
      <c r="E190" s="74"/>
      <c r="F190" s="75"/>
      <c r="G190" s="75"/>
      <c r="H190" s="75"/>
      <c r="I190" s="75"/>
      <c r="J190" s="75"/>
    </row>
    <row r="191" spans="2:10" x14ac:dyDescent="0.2">
      <c r="B191" s="1573" t="s">
        <v>436</v>
      </c>
      <c r="C191" s="332" t="s">
        <v>437</v>
      </c>
      <c r="D191" s="1576" t="s">
        <v>434</v>
      </c>
      <c r="E191" s="1577"/>
      <c r="F191" s="1578" t="s">
        <v>435</v>
      </c>
      <c r="G191" s="1579"/>
      <c r="H191" s="538"/>
      <c r="I191" s="538"/>
      <c r="J191" s="538"/>
    </row>
    <row r="192" spans="2:10" x14ac:dyDescent="0.2">
      <c r="B192" s="1574"/>
      <c r="C192" s="59" t="s">
        <v>438</v>
      </c>
      <c r="D192" s="60">
        <f>IF($C$31&gt;7,"Fehler",$C$31)</f>
        <v>1.1934894239820351</v>
      </c>
      <c r="E192" s="61" t="s">
        <v>5</v>
      </c>
      <c r="F192" s="60">
        <f>IF($C$31&gt;7,"Fehler",$C$31)</f>
        <v>1.1934894239820351</v>
      </c>
      <c r="G192" s="62" t="s">
        <v>5</v>
      </c>
      <c r="H192" s="19"/>
      <c r="I192" s="19"/>
      <c r="J192" s="19"/>
    </row>
    <row r="193" spans="2:10" ht="13.5" customHeight="1" thickBot="1" x14ac:dyDescent="0.25">
      <c r="B193" s="1575"/>
      <c r="C193" s="64" t="s">
        <v>439</v>
      </c>
      <c r="D193" s="65">
        <f>IF($D$192="Fehler","",IF($J$32=$B$197,1,IF($J$32=$B$198,1/(COS(D192/180*PI())),"Fehler")))</f>
        <v>1.0002169903464837</v>
      </c>
      <c r="E193" s="66" t="s">
        <v>6</v>
      </c>
      <c r="F193" s="67">
        <f>IF($D$192="Fehler","",IF($J$32=$B$197,1,IF($J$32=$B$198,$C$30/($C$30*COS(F192/180*PI())-SIN(F192/180*PI())),"FEHLER")))</f>
        <v>1.0487712131788371</v>
      </c>
      <c r="G193" s="68" t="s">
        <v>6</v>
      </c>
      <c r="H193" s="19"/>
      <c r="I193" s="19"/>
      <c r="J193" s="19"/>
    </row>
    <row r="194" spans="2:10" ht="13.5" thickBot="1" x14ac:dyDescent="0.25"/>
    <row r="195" spans="2:10" ht="26.25" thickBot="1" x14ac:dyDescent="0.25">
      <c r="B195" s="178"/>
      <c r="C195" s="69" t="s">
        <v>335</v>
      </c>
      <c r="D195" s="70" t="s">
        <v>126</v>
      </c>
      <c r="E195" s="70" t="s">
        <v>440</v>
      </c>
      <c r="F195" s="71" t="s">
        <v>366</v>
      </c>
      <c r="G195" s="173" t="s">
        <v>441</v>
      </c>
      <c r="H195" s="194" t="s">
        <v>442</v>
      </c>
      <c r="I195" s="193" t="s">
        <v>443</v>
      </c>
      <c r="J195" s="193" t="s">
        <v>444</v>
      </c>
    </row>
    <row r="196" spans="2:10" ht="12.75" customHeight="1" x14ac:dyDescent="0.2">
      <c r="B196" s="178"/>
      <c r="C196" s="168" t="str">
        <f>'building data'!Q10</f>
        <v>USA</v>
      </c>
      <c r="D196" s="169" t="str">
        <f>'building data'!R10</f>
        <v>ASCE/SEI 7-10</v>
      </c>
      <c r="E196" s="72">
        <f>'ASCE 7-10 (US)'!C19</f>
        <v>1.0384922145487721</v>
      </c>
      <c r="F196" s="79" t="str">
        <f>'ASCE 7-10 (US)'!C24</f>
        <v>Exp. B</v>
      </c>
      <c r="G196" s="175">
        <f>'ASCE 7-10 (US)'!H13</f>
        <v>1</v>
      </c>
      <c r="H196" s="195">
        <f>'ASCE 7-10 (US)'!J13</f>
        <v>1</v>
      </c>
      <c r="I196" s="184">
        <f>'ASCE 7-10 (US)'!K13</f>
        <v>0.9</v>
      </c>
      <c r="J196" s="184">
        <f>'ASCE 7-10 (US)'!L13</f>
        <v>0.9</v>
      </c>
    </row>
    <row r="197" spans="2:10" x14ac:dyDescent="0.2">
      <c r="B197" s="178" t="s">
        <v>20</v>
      </c>
      <c r="C197" s="168" t="str">
        <f>'building data'!Q11</f>
        <v>USA II</v>
      </c>
      <c r="D197" s="76" t="str">
        <f>'building data'!R11</f>
        <v>ASCE/SEI 7-05</v>
      </c>
      <c r="E197" s="77">
        <f>'ASCE 7-05 (US)'!C19</f>
        <v>1.0384922145487721</v>
      </c>
      <c r="F197" s="172" t="str">
        <f>'ASCE 7-05 (US)'!C24</f>
        <v>Exp. B</v>
      </c>
      <c r="G197" s="623">
        <f>'ASCE 7-05 (US)'!H13</f>
        <v>1.6</v>
      </c>
      <c r="H197" s="624">
        <f>'ASCE 7-05 (US)'!J13</f>
        <v>1.6</v>
      </c>
      <c r="I197" s="625">
        <f>'ASCE 7-05 (US)'!K13</f>
        <v>0.9</v>
      </c>
      <c r="J197" s="625">
        <f>'ASCE 7-05 (US)'!L13</f>
        <v>0.9</v>
      </c>
    </row>
    <row r="198" spans="2:10" x14ac:dyDescent="0.2">
      <c r="B198" s="178" t="s">
        <v>19</v>
      </c>
      <c r="C198" s="168"/>
      <c r="D198" s="76"/>
      <c r="E198" s="77"/>
      <c r="F198" s="172"/>
      <c r="G198" s="176"/>
      <c r="H198" s="196"/>
      <c r="I198" s="185"/>
      <c r="J198" s="185"/>
    </row>
    <row r="199" spans="2:10" ht="12.75" customHeight="1" x14ac:dyDescent="0.2">
      <c r="B199" s="178"/>
      <c r="C199" s="168"/>
      <c r="D199" s="76"/>
      <c r="E199" s="77"/>
      <c r="F199" s="172"/>
      <c r="G199" s="176"/>
      <c r="H199" s="196"/>
      <c r="I199" s="185"/>
      <c r="J199" s="185"/>
    </row>
    <row r="200" spans="2:10" x14ac:dyDescent="0.2">
      <c r="B200" s="110" t="s">
        <v>453</v>
      </c>
      <c r="C200" s="168"/>
      <c r="D200" s="76"/>
      <c r="E200" s="77"/>
      <c r="F200" s="172"/>
      <c r="G200" s="176"/>
      <c r="H200" s="196"/>
      <c r="I200" s="185"/>
      <c r="J200" s="185"/>
    </row>
    <row r="201" spans="2:10" ht="12.75" customHeight="1" x14ac:dyDescent="0.2">
      <c r="B201" s="110"/>
      <c r="C201" s="168"/>
      <c r="D201" s="76"/>
      <c r="E201" s="77"/>
      <c r="F201" s="172"/>
      <c r="G201" s="176"/>
      <c r="H201" s="196"/>
      <c r="I201" s="185"/>
      <c r="J201" s="185"/>
    </row>
    <row r="202" spans="2:10" x14ac:dyDescent="0.2">
      <c r="B202" s="178"/>
      <c r="C202" s="168"/>
      <c r="D202" s="76"/>
      <c r="E202" s="103"/>
      <c r="F202" s="80"/>
      <c r="G202" s="176"/>
      <c r="H202" s="196"/>
      <c r="I202" s="185"/>
      <c r="J202" s="185"/>
    </row>
    <row r="203" spans="2:10" x14ac:dyDescent="0.2">
      <c r="B203" s="330"/>
      <c r="C203" s="168"/>
      <c r="D203" s="76"/>
      <c r="E203" s="77"/>
      <c r="F203" s="172"/>
      <c r="G203" s="176"/>
      <c r="H203" s="196"/>
      <c r="I203" s="185"/>
      <c r="J203" s="185"/>
    </row>
    <row r="204" spans="2:10" ht="12.75" customHeight="1" x14ac:dyDescent="0.2">
      <c r="B204" s="178"/>
      <c r="C204" s="168"/>
      <c r="D204" s="76"/>
      <c r="E204" s="103"/>
      <c r="F204" s="80"/>
      <c r="G204" s="176"/>
      <c r="H204" s="196"/>
      <c r="I204" s="185"/>
      <c r="J204" s="185"/>
    </row>
    <row r="205" spans="2:10" ht="12.75" customHeight="1" x14ac:dyDescent="0.2">
      <c r="B205" s="178"/>
      <c r="C205" s="168"/>
      <c r="D205" s="76"/>
      <c r="E205" s="77"/>
      <c r="F205" s="172"/>
      <c r="G205" s="176"/>
      <c r="H205" s="196"/>
      <c r="I205" s="185"/>
      <c r="J205" s="185"/>
    </row>
    <row r="206" spans="2:10" x14ac:dyDescent="0.2">
      <c r="C206" s="168"/>
      <c r="D206" s="76"/>
      <c r="E206" s="77"/>
      <c r="F206" s="172"/>
      <c r="G206" s="176"/>
      <c r="H206" s="196"/>
      <c r="I206" s="185"/>
      <c r="J206" s="185"/>
    </row>
    <row r="207" spans="2:10" ht="12.75" customHeight="1" x14ac:dyDescent="0.2">
      <c r="B207" s="208"/>
      <c r="C207" s="168"/>
      <c r="D207" s="76"/>
      <c r="E207" s="77"/>
      <c r="F207" s="172"/>
      <c r="G207" s="176"/>
      <c r="H207" s="196"/>
      <c r="I207" s="185"/>
      <c r="J207" s="185"/>
    </row>
    <row r="208" spans="2:10" x14ac:dyDescent="0.2">
      <c r="B208" s="208"/>
      <c r="C208" s="170"/>
      <c r="D208" s="76"/>
      <c r="E208" s="103"/>
      <c r="F208" s="80"/>
      <c r="G208" s="176"/>
      <c r="H208" s="196"/>
      <c r="I208" s="185"/>
      <c r="J208" s="185"/>
    </row>
    <row r="209" spans="2:10" x14ac:dyDescent="0.2">
      <c r="B209" s="178"/>
      <c r="C209" s="168"/>
      <c r="D209" s="76"/>
      <c r="E209" s="77"/>
      <c r="F209" s="172"/>
      <c r="G209" s="176"/>
      <c r="H209" s="196"/>
      <c r="I209" s="185"/>
      <c r="J209" s="185"/>
    </row>
    <row r="210" spans="2:10" ht="12.75" customHeight="1" x14ac:dyDescent="0.2">
      <c r="B210" s="281"/>
      <c r="C210" s="202"/>
      <c r="D210" s="203"/>
      <c r="E210" s="204"/>
      <c r="F210" s="205"/>
      <c r="G210" s="196"/>
      <c r="H210" s="206"/>
      <c r="I210" s="207"/>
      <c r="J210" s="207"/>
    </row>
    <row r="211" spans="2:10" ht="13.5" thickBot="1" x14ac:dyDescent="0.25">
      <c r="B211" s="281"/>
      <c r="C211" s="171"/>
      <c r="D211" s="78"/>
      <c r="E211" s="108"/>
      <c r="F211" s="55"/>
      <c r="G211" s="177"/>
      <c r="H211" s="197"/>
      <c r="I211" s="186"/>
      <c r="J211" s="186"/>
    </row>
    <row r="213" spans="2:10" ht="12.75" customHeight="1" x14ac:dyDescent="0.2"/>
    <row r="216" spans="2:10" ht="12.75" customHeight="1" x14ac:dyDescent="0.2"/>
    <row r="220" spans="2:10" ht="13.5" customHeight="1" x14ac:dyDescent="0.2"/>
    <row r="221" spans="2:10" ht="13.5" customHeight="1" x14ac:dyDescent="0.2"/>
    <row r="228" spans="29:136" ht="18" x14ac:dyDescent="0.2">
      <c r="AC228" s="163"/>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c r="BQ228" s="75"/>
      <c r="BR228" s="75"/>
      <c r="BS228" s="75"/>
      <c r="BT228" s="75"/>
      <c r="BU228" s="75"/>
      <c r="BV228" s="75"/>
      <c r="BW228" s="75"/>
      <c r="BX228" s="75"/>
      <c r="BY228" s="75"/>
      <c r="BZ228" s="75"/>
      <c r="CA228" s="75"/>
      <c r="CB228" s="75"/>
      <c r="CC228" s="75"/>
      <c r="CD228" s="75"/>
      <c r="CE228" s="75"/>
      <c r="CF228" s="75"/>
      <c r="CG228" s="75"/>
      <c r="CH228" s="75"/>
      <c r="CI228" s="75"/>
      <c r="CJ228" s="75"/>
      <c r="CK228" s="75"/>
      <c r="CL228" s="75"/>
      <c r="CM228" s="75"/>
      <c r="CN228" s="75"/>
      <c r="CO228" s="75"/>
      <c r="CP228" s="75"/>
      <c r="CQ228" s="75"/>
      <c r="CR228" s="75"/>
      <c r="CS228" s="75"/>
      <c r="CT228" s="75"/>
      <c r="CU228" s="75"/>
      <c r="CV228" s="75"/>
      <c r="CW228" s="75"/>
      <c r="CX228" s="75"/>
      <c r="CY228" s="75"/>
      <c r="CZ228" s="75"/>
      <c r="DA228" s="75"/>
      <c r="DB228" s="75"/>
      <c r="DC228" s="75"/>
      <c r="DD228" s="75"/>
      <c r="DE228" s="75"/>
      <c r="DF228" s="75"/>
      <c r="DG228" s="75"/>
      <c r="DH228" s="75"/>
      <c r="DI228" s="75"/>
      <c r="DJ228" s="75"/>
      <c r="DK228" s="75"/>
      <c r="DL228" s="75"/>
      <c r="DM228" s="75"/>
      <c r="DN228" s="75"/>
      <c r="DO228" s="75"/>
      <c r="DP228" s="75"/>
      <c r="DQ228" s="75"/>
      <c r="DR228" s="75"/>
      <c r="DS228" s="75"/>
      <c r="DT228" s="75"/>
      <c r="DU228" s="75"/>
      <c r="DV228" s="75"/>
      <c r="DW228" s="75"/>
      <c r="DX228" s="75"/>
      <c r="DY228" s="75"/>
      <c r="DZ228" s="75"/>
      <c r="EA228" s="75"/>
      <c r="EB228" s="75"/>
      <c r="EC228" s="75"/>
      <c r="ED228" s="75"/>
      <c r="EE228" s="75"/>
      <c r="EF228" s="75"/>
    </row>
  </sheetData>
  <mergeCells count="468">
    <mergeCell ref="AQ40:AU42"/>
    <mergeCell ref="AL51:AP53"/>
    <mergeCell ref="BU60:BY62"/>
    <mergeCell ref="BP60:BT62"/>
    <mergeCell ref="AV57:AZ59"/>
    <mergeCell ref="AV63:AZ65"/>
    <mergeCell ref="AL46:AP48"/>
    <mergeCell ref="AQ46:AU48"/>
    <mergeCell ref="AV46:AZ48"/>
    <mergeCell ref="BA46:BE48"/>
    <mergeCell ref="BF46:BJ48"/>
    <mergeCell ref="AL57:AP59"/>
    <mergeCell ref="AQ43:AU45"/>
    <mergeCell ref="BF43:BJ45"/>
    <mergeCell ref="AL43:AP45"/>
    <mergeCell ref="AL60:AP62"/>
    <mergeCell ref="AL54:AP56"/>
    <mergeCell ref="AG40:AK42"/>
    <mergeCell ref="AG43:AK45"/>
    <mergeCell ref="AG54:AK56"/>
    <mergeCell ref="AG57:AK59"/>
    <mergeCell ref="AG63:AK65"/>
    <mergeCell ref="AG60:AK62"/>
    <mergeCell ref="Y45:Y46"/>
    <mergeCell ref="Z45:Z46"/>
    <mergeCell ref="AA45:AA46"/>
    <mergeCell ref="R44:S44"/>
    <mergeCell ref="P48:Q48"/>
    <mergeCell ref="R48:S48"/>
    <mergeCell ref="AC69:AC70"/>
    <mergeCell ref="AG66:AK68"/>
    <mergeCell ref="AG69:BY70"/>
    <mergeCell ref="BA66:BE68"/>
    <mergeCell ref="T45:T46"/>
    <mergeCell ref="U45:U46"/>
    <mergeCell ref="V45:V46"/>
    <mergeCell ref="W45:W46"/>
    <mergeCell ref="X45:X46"/>
    <mergeCell ref="AL66:AP68"/>
    <mergeCell ref="Z44:AA44"/>
    <mergeCell ref="BP76:CA76"/>
    <mergeCell ref="BF76:BO76"/>
    <mergeCell ref="BA71:BE73"/>
    <mergeCell ref="AQ71:AU73"/>
    <mergeCell ref="BK71:BO73"/>
    <mergeCell ref="T44:U44"/>
    <mergeCell ref="V44:W44"/>
    <mergeCell ref="X44:Y44"/>
    <mergeCell ref="B51:D52"/>
    <mergeCell ref="B53:D54"/>
    <mergeCell ref="B55:D56"/>
    <mergeCell ref="B57:D58"/>
    <mergeCell ref="B60:D61"/>
    <mergeCell ref="T48:U48"/>
    <mergeCell ref="V48:W48"/>
    <mergeCell ref="X48:Y48"/>
    <mergeCell ref="Z48:AA48"/>
    <mergeCell ref="M48:M49"/>
    <mergeCell ref="N48:O48"/>
    <mergeCell ref="N44:O44"/>
    <mergeCell ref="P44:Q44"/>
    <mergeCell ref="B73:D74"/>
    <mergeCell ref="B75:D76"/>
    <mergeCell ref="BF66:BJ68"/>
    <mergeCell ref="G48:G49"/>
    <mergeCell ref="H48:H49"/>
    <mergeCell ref="I48:I49"/>
    <mergeCell ref="N97:N98"/>
    <mergeCell ref="L48:L49"/>
    <mergeCell ref="K100:K101"/>
    <mergeCell ref="L97:L99"/>
    <mergeCell ref="L100:L101"/>
    <mergeCell ref="B49:D49"/>
    <mergeCell ref="M100:M101"/>
    <mergeCell ref="B93:D94"/>
    <mergeCell ref="B62:D63"/>
    <mergeCell ref="B64:D65"/>
    <mergeCell ref="B66:D67"/>
    <mergeCell ref="B69:D70"/>
    <mergeCell ref="B71:D72"/>
    <mergeCell ref="P96:Q96"/>
    <mergeCell ref="R96:S96"/>
    <mergeCell ref="P97:P98"/>
    <mergeCell ref="Q97:Q98"/>
    <mergeCell ref="P100:Q100"/>
    <mergeCell ref="N45:N46"/>
    <mergeCell ref="E97:E99"/>
    <mergeCell ref="N100:O100"/>
    <mergeCell ref="P45:P46"/>
    <mergeCell ref="Q45:Q46"/>
    <mergeCell ref="R45:R46"/>
    <mergeCell ref="S45:S46"/>
    <mergeCell ref="N96:O96"/>
    <mergeCell ref="G100:G101"/>
    <mergeCell ref="B59:L59"/>
    <mergeCell ref="B50:L50"/>
    <mergeCell ref="E45:E47"/>
    <mergeCell ref="B48:E48"/>
    <mergeCell ref="B96:D99"/>
    <mergeCell ref="O97:O98"/>
    <mergeCell ref="O45:O46"/>
    <mergeCell ref="J48:J49"/>
    <mergeCell ref="K48:K49"/>
    <mergeCell ref="J97:J99"/>
    <mergeCell ref="T96:U96"/>
    <mergeCell ref="V96:W96"/>
    <mergeCell ref="X96:Y96"/>
    <mergeCell ref="Z96:AA96"/>
    <mergeCell ref="R97:R98"/>
    <mergeCell ref="S97:S98"/>
    <mergeCell ref="R100:S100"/>
    <mergeCell ref="T97:T98"/>
    <mergeCell ref="U97:U98"/>
    <mergeCell ref="T100:U100"/>
    <mergeCell ref="V97:V98"/>
    <mergeCell ref="W97:W98"/>
    <mergeCell ref="Z97:Z98"/>
    <mergeCell ref="AA97:AA98"/>
    <mergeCell ref="V100:W100"/>
    <mergeCell ref="Z100:AA100"/>
    <mergeCell ref="X97:X98"/>
    <mergeCell ref="Y97:Y98"/>
    <mergeCell ref="X100:Y100"/>
    <mergeCell ref="B105:D106"/>
    <mergeCell ref="B101:D101"/>
    <mergeCell ref="B107:D108"/>
    <mergeCell ref="B100:E100"/>
    <mergeCell ref="B103:D104"/>
    <mergeCell ref="B121:D122"/>
    <mergeCell ref="B86:L86"/>
    <mergeCell ref="B77:L77"/>
    <mergeCell ref="B68:L68"/>
    <mergeCell ref="B78:D79"/>
    <mergeCell ref="B80:D81"/>
    <mergeCell ref="B82:D83"/>
    <mergeCell ref="B84:D85"/>
    <mergeCell ref="B87:D88"/>
    <mergeCell ref="B89:D90"/>
    <mergeCell ref="B91:D92"/>
    <mergeCell ref="J100:J101"/>
    <mergeCell ref="K97:K99"/>
    <mergeCell ref="B37:J37"/>
    <mergeCell ref="F48:F49"/>
    <mergeCell ref="F100:F101"/>
    <mergeCell ref="F97:F99"/>
    <mergeCell ref="E96:L96"/>
    <mergeCell ref="B138:L138"/>
    <mergeCell ref="B129:L129"/>
    <mergeCell ref="B120:L120"/>
    <mergeCell ref="B111:L111"/>
    <mergeCell ref="B102:L102"/>
    <mergeCell ref="F45:F47"/>
    <mergeCell ref="G45:G47"/>
    <mergeCell ref="H45:H47"/>
    <mergeCell ref="I45:I47"/>
    <mergeCell ref="J45:J47"/>
    <mergeCell ref="K45:K47"/>
    <mergeCell ref="L45:L47"/>
    <mergeCell ref="E44:L44"/>
    <mergeCell ref="B44:D47"/>
    <mergeCell ref="G97:G99"/>
    <mergeCell ref="H97:H99"/>
    <mergeCell ref="H100:H101"/>
    <mergeCell ref="I97:I99"/>
    <mergeCell ref="I100:I101"/>
    <mergeCell ref="F9:G9"/>
    <mergeCell ref="F10:G10"/>
    <mergeCell ref="F11:G11"/>
    <mergeCell ref="F12:G12"/>
    <mergeCell ref="B32:I34"/>
    <mergeCell ref="B16:J16"/>
    <mergeCell ref="B24:J24"/>
    <mergeCell ref="B28:J28"/>
    <mergeCell ref="B36:J36"/>
    <mergeCell ref="J32:J34"/>
    <mergeCell ref="C9:D9"/>
    <mergeCell ref="CC45:CC46"/>
    <mergeCell ref="CC54:CC55"/>
    <mergeCell ref="EE34:EE35"/>
    <mergeCell ref="EE45:EE46"/>
    <mergeCell ref="EE54:EE55"/>
    <mergeCell ref="BA40:BE42"/>
    <mergeCell ref="BA43:BE45"/>
    <mergeCell ref="AV43:AZ45"/>
    <mergeCell ref="AV40:AZ42"/>
    <mergeCell ref="BF40:BJ42"/>
    <mergeCell ref="BP43:BT45"/>
    <mergeCell ref="BU43:BY45"/>
    <mergeCell ref="BP37:BT39"/>
    <mergeCell ref="AV37:AZ39"/>
    <mergeCell ref="BP40:BT42"/>
    <mergeCell ref="BU37:BY39"/>
    <mergeCell ref="AV54:AZ56"/>
    <mergeCell ref="AV34:AZ36"/>
    <mergeCell ref="BA34:BE36"/>
    <mergeCell ref="BA54:BE56"/>
    <mergeCell ref="AV51:AZ53"/>
    <mergeCell ref="BA51:BE53"/>
    <mergeCell ref="DR37:DV39"/>
    <mergeCell ref="DW37:EA39"/>
    <mergeCell ref="AG32:AK33"/>
    <mergeCell ref="AL24:BU24"/>
    <mergeCell ref="BF37:BJ39"/>
    <mergeCell ref="AQ32:AU33"/>
    <mergeCell ref="AQ37:AU39"/>
    <mergeCell ref="BK34:BO36"/>
    <mergeCell ref="BU34:BY36"/>
    <mergeCell ref="BP34:BT36"/>
    <mergeCell ref="BA32:BE33"/>
    <mergeCell ref="BA37:BE39"/>
    <mergeCell ref="BU32:BY33"/>
    <mergeCell ref="BP32:BT33"/>
    <mergeCell ref="BK32:BO33"/>
    <mergeCell ref="AQ34:AU36"/>
    <mergeCell ref="AL34:AP36"/>
    <mergeCell ref="AL32:AP33"/>
    <mergeCell ref="BF32:BJ33"/>
    <mergeCell ref="AL37:AP39"/>
    <mergeCell ref="BK37:BO39"/>
    <mergeCell ref="AQ29:AU31"/>
    <mergeCell ref="AG37:AK39"/>
    <mergeCell ref="B191:B193"/>
    <mergeCell ref="D191:E191"/>
    <mergeCell ref="F191:G191"/>
    <mergeCell ref="B109:D110"/>
    <mergeCell ref="B136:D137"/>
    <mergeCell ref="B132:D133"/>
    <mergeCell ref="B123:D124"/>
    <mergeCell ref="B114:D115"/>
    <mergeCell ref="B118:D119"/>
    <mergeCell ref="B130:D131"/>
    <mergeCell ref="B127:D128"/>
    <mergeCell ref="B134:D135"/>
    <mergeCell ref="B139:D140"/>
    <mergeCell ref="B141:D142"/>
    <mergeCell ref="B143:D144"/>
    <mergeCell ref="B145:D146"/>
    <mergeCell ref="B116:D117"/>
    <mergeCell ref="B112:D113"/>
    <mergeCell ref="B125:D126"/>
    <mergeCell ref="AE21:AF25"/>
    <mergeCell ref="BZ21:CA25"/>
    <mergeCell ref="AC27:AC28"/>
    <mergeCell ref="AG27:BY28"/>
    <mergeCell ref="BU29:BY31"/>
    <mergeCell ref="BP29:BT31"/>
    <mergeCell ref="BK29:BO31"/>
    <mergeCell ref="AL29:AP31"/>
    <mergeCell ref="AG29:AK31"/>
    <mergeCell ref="BF29:BJ31"/>
    <mergeCell ref="AV29:AZ31"/>
    <mergeCell ref="BA29:BE31"/>
    <mergeCell ref="AE29:AF68"/>
    <mergeCell ref="AG34:AK36"/>
    <mergeCell ref="AG46:AK48"/>
    <mergeCell ref="AG49:AK50"/>
    <mergeCell ref="AG51:AK53"/>
    <mergeCell ref="BF54:BJ56"/>
    <mergeCell ref="BF57:BJ59"/>
    <mergeCell ref="BU51:BY53"/>
    <mergeCell ref="BK57:BO59"/>
    <mergeCell ref="BK66:BO68"/>
    <mergeCell ref="BA60:BE62"/>
    <mergeCell ref="BF63:BJ65"/>
    <mergeCell ref="AL16:BU20"/>
    <mergeCell ref="BF34:BJ36"/>
    <mergeCell ref="AQ63:AU65"/>
    <mergeCell ref="AQ54:AU56"/>
    <mergeCell ref="AQ60:AU62"/>
    <mergeCell ref="AQ51:AU53"/>
    <mergeCell ref="BA63:BE65"/>
    <mergeCell ref="AV60:AZ62"/>
    <mergeCell ref="AV66:AZ68"/>
    <mergeCell ref="BA57:BE59"/>
    <mergeCell ref="AV32:AZ33"/>
    <mergeCell ref="AL63:AP65"/>
    <mergeCell ref="AQ57:AU59"/>
    <mergeCell ref="AQ66:AU68"/>
    <mergeCell ref="BK60:BO62"/>
    <mergeCell ref="BF60:BJ62"/>
    <mergeCell ref="AL40:AP42"/>
    <mergeCell ref="BK43:BO45"/>
    <mergeCell ref="BK40:BO42"/>
    <mergeCell ref="BU57:BY59"/>
    <mergeCell ref="BP57:BT59"/>
    <mergeCell ref="BU63:BY65"/>
    <mergeCell ref="BP63:BT65"/>
    <mergeCell ref="BK63:BO65"/>
    <mergeCell ref="CE69:CE70"/>
    <mergeCell ref="CI69:EA70"/>
    <mergeCell ref="CS66:CW68"/>
    <mergeCell ref="CX66:DB68"/>
    <mergeCell ref="DC66:DG68"/>
    <mergeCell ref="DH66:DL68"/>
    <mergeCell ref="CG29:CH68"/>
    <mergeCell ref="DC57:DG59"/>
    <mergeCell ref="DH57:DL59"/>
    <mergeCell ref="DM32:DQ33"/>
    <mergeCell ref="DR32:DV33"/>
    <mergeCell ref="DM43:DQ45"/>
    <mergeCell ref="DW32:EA33"/>
    <mergeCell ref="CI37:CM39"/>
    <mergeCell ref="CN37:CR39"/>
    <mergeCell ref="CS37:CW39"/>
    <mergeCell ref="DH34:DL36"/>
    <mergeCell ref="DC34:DG36"/>
    <mergeCell ref="CX34:DB36"/>
    <mergeCell ref="CS34:CW36"/>
    <mergeCell ref="CN34:CR36"/>
    <mergeCell ref="CN66:CR68"/>
    <mergeCell ref="DR49:DV50"/>
    <mergeCell ref="DM66:DQ68"/>
    <mergeCell ref="BP74:CA74"/>
    <mergeCell ref="BZ29:CA68"/>
    <mergeCell ref="BU40:BY42"/>
    <mergeCell ref="BF51:BJ53"/>
    <mergeCell ref="BK51:BO53"/>
    <mergeCell ref="BU54:BY56"/>
    <mergeCell ref="BP54:BT56"/>
    <mergeCell ref="BP66:BT68"/>
    <mergeCell ref="BK54:BO56"/>
    <mergeCell ref="BU66:BY68"/>
    <mergeCell ref="BP51:BT53"/>
    <mergeCell ref="CG21:CH25"/>
    <mergeCell ref="DH32:DL33"/>
    <mergeCell ref="EB21:EC25"/>
    <mergeCell ref="CN24:DW24"/>
    <mergeCell ref="CE27:CE28"/>
    <mergeCell ref="CI27:EA28"/>
    <mergeCell ref="CI29:CM31"/>
    <mergeCell ref="CN29:CR31"/>
    <mergeCell ref="CS29:CW31"/>
    <mergeCell ref="CX29:DB31"/>
    <mergeCell ref="DC29:DG31"/>
    <mergeCell ref="DH29:DL31"/>
    <mergeCell ref="DM29:DQ31"/>
    <mergeCell ref="DR29:DV31"/>
    <mergeCell ref="DW29:EA31"/>
    <mergeCell ref="EB29:EC68"/>
    <mergeCell ref="DC49:DG50"/>
    <mergeCell ref="CI63:CM65"/>
    <mergeCell ref="CN63:CR65"/>
    <mergeCell ref="CS63:CW65"/>
    <mergeCell ref="CX63:DB65"/>
    <mergeCell ref="DW34:EA36"/>
    <mergeCell ref="DR34:DV36"/>
    <mergeCell ref="DM34:DQ36"/>
    <mergeCell ref="DR66:DV68"/>
    <mergeCell ref="DW66:EA68"/>
    <mergeCell ref="DR57:DV59"/>
    <mergeCell ref="DW57:EA59"/>
    <mergeCell ref="DW49:EA50"/>
    <mergeCell ref="DR60:DV62"/>
    <mergeCell ref="DW60:EA62"/>
    <mergeCell ref="CS57:CW59"/>
    <mergeCell ref="CX57:DB59"/>
    <mergeCell ref="CI32:CM33"/>
    <mergeCell ref="CN32:CR33"/>
    <mergeCell ref="CS32:CW33"/>
    <mergeCell ref="CX32:DB33"/>
    <mergeCell ref="DC32:DG33"/>
    <mergeCell ref="DM60:DQ62"/>
    <mergeCell ref="DM40:DQ42"/>
    <mergeCell ref="CN43:CR45"/>
    <mergeCell ref="CS43:CW45"/>
    <mergeCell ref="CX43:DB45"/>
    <mergeCell ref="DC43:DG45"/>
    <mergeCell ref="DH43:DL45"/>
    <mergeCell ref="CX54:DB56"/>
    <mergeCell ref="CI51:CM53"/>
    <mergeCell ref="CX40:DB42"/>
    <mergeCell ref="DC40:DG42"/>
    <mergeCell ref="DH40:DL42"/>
    <mergeCell ref="CX37:DB39"/>
    <mergeCell ref="DC37:DG39"/>
    <mergeCell ref="DH37:DL39"/>
    <mergeCell ref="DM37:DQ39"/>
    <mergeCell ref="CI57:CM59"/>
    <mergeCell ref="CN57:CR59"/>
    <mergeCell ref="DH60:DL62"/>
    <mergeCell ref="CI54:CM56"/>
    <mergeCell ref="DW54:EA56"/>
    <mergeCell ref="DR54:DV56"/>
    <mergeCell ref="DM54:DQ56"/>
    <mergeCell ref="DH54:DL56"/>
    <mergeCell ref="DC54:DG56"/>
    <mergeCell ref="DC63:DG65"/>
    <mergeCell ref="DH63:DL65"/>
    <mergeCell ref="DM63:DQ65"/>
    <mergeCell ref="DR63:DV65"/>
    <mergeCell ref="DW63:EA65"/>
    <mergeCell ref="CI60:CM62"/>
    <mergeCell ref="CN60:CR62"/>
    <mergeCell ref="CS60:CW62"/>
    <mergeCell ref="CX60:DB62"/>
    <mergeCell ref="DC60:DG62"/>
    <mergeCell ref="CI66:CM68"/>
    <mergeCell ref="AQ49:AU50"/>
    <mergeCell ref="AL49:AP50"/>
    <mergeCell ref="DM57:DQ59"/>
    <mergeCell ref="CI34:CM36"/>
    <mergeCell ref="CI40:CM42"/>
    <mergeCell ref="CN40:CR42"/>
    <mergeCell ref="CS40:CW42"/>
    <mergeCell ref="CN54:CR56"/>
    <mergeCell ref="CI46:CM48"/>
    <mergeCell ref="BK46:BO48"/>
    <mergeCell ref="BP46:BT48"/>
    <mergeCell ref="BU46:BY48"/>
    <mergeCell ref="BU49:BY50"/>
    <mergeCell ref="BP49:BT50"/>
    <mergeCell ref="BK49:BO50"/>
    <mergeCell ref="BF49:BJ50"/>
    <mergeCell ref="BA49:BE50"/>
    <mergeCell ref="AV49:AZ50"/>
    <mergeCell ref="DM51:DQ53"/>
    <mergeCell ref="DH51:DL53"/>
    <mergeCell ref="DC51:DG53"/>
    <mergeCell ref="CX51:DB53"/>
    <mergeCell ref="CS51:CW53"/>
    <mergeCell ref="CC34:CC35"/>
    <mergeCell ref="DR40:DV42"/>
    <mergeCell ref="DW40:EA42"/>
    <mergeCell ref="CI49:CM50"/>
    <mergeCell ref="CS54:CW56"/>
    <mergeCell ref="CI43:CM45"/>
    <mergeCell ref="CN46:CR48"/>
    <mergeCell ref="CN49:CR50"/>
    <mergeCell ref="CN51:CR53"/>
    <mergeCell ref="DM46:DQ48"/>
    <mergeCell ref="DH46:DL48"/>
    <mergeCell ref="DC46:DG48"/>
    <mergeCell ref="CX46:DB48"/>
    <mergeCell ref="CS46:CW48"/>
    <mergeCell ref="DM49:DQ50"/>
    <mergeCell ref="DH49:DL50"/>
    <mergeCell ref="CX49:DB50"/>
    <mergeCell ref="CS49:CW50"/>
    <mergeCell ref="DR43:DV45"/>
    <mergeCell ref="DW43:EA45"/>
    <mergeCell ref="DW51:EA53"/>
    <mergeCell ref="DR51:DV53"/>
    <mergeCell ref="DW46:EA48"/>
    <mergeCell ref="DR46:DV48"/>
    <mergeCell ref="DM71:DQ73"/>
    <mergeCell ref="AE76:AU76"/>
    <mergeCell ref="AE75:AU75"/>
    <mergeCell ref="AE74:AU74"/>
    <mergeCell ref="DM74:EC74"/>
    <mergeCell ref="DM75:EC75"/>
    <mergeCell ref="DM76:EC76"/>
    <mergeCell ref="DC76:DL76"/>
    <mergeCell ref="DC75:DL75"/>
    <mergeCell ref="DC74:DL74"/>
    <mergeCell ref="AV76:BE76"/>
    <mergeCell ref="AV75:BE75"/>
    <mergeCell ref="AV74:BE74"/>
    <mergeCell ref="CS74:DB74"/>
    <mergeCell ref="CS75:DB75"/>
    <mergeCell ref="CS76:DB76"/>
    <mergeCell ref="DC71:DG73"/>
    <mergeCell ref="CS71:CW73"/>
    <mergeCell ref="CG74:CR74"/>
    <mergeCell ref="CG75:CR75"/>
    <mergeCell ref="CG76:CR76"/>
    <mergeCell ref="BP75:CA75"/>
    <mergeCell ref="BF74:BO74"/>
    <mergeCell ref="BF75:BO75"/>
  </mergeCells>
  <dataValidations count="7">
    <dataValidation operator="lessThanOrEqual" allowBlank="1" showInputMessage="1" showErrorMessage="1" sqref="F20 I20"/>
    <dataValidation allowBlank="1" showInputMessage="1" showErrorMessage="1" error="Geben Sie eine ganze Zahl größer null ein." sqref="C40 G40:H40"/>
    <dataValidation type="whole" operator="greaterThanOrEqual" allowBlank="1" showInputMessage="1" showErrorMessage="1" sqref="G39:H39 C39">
      <formula1>1</formula1>
    </dataValidation>
    <dataValidation type="decimal" allowBlank="1" showInputMessage="1" showErrorMessage="1" sqref="F18">
      <formula1>9</formula1>
      <formula2>11</formula2>
    </dataValidation>
    <dataValidation type="decimal" allowBlank="1" showInputMessage="1" showErrorMessage="1" sqref="I18">
      <formula1>55</formula1>
      <formula2>70</formula2>
    </dataValidation>
    <dataValidation type="decimal" allowBlank="1" showInputMessage="1" showErrorMessage="1" sqref="I19">
      <formula1>0.2</formula1>
      <formula2>0.3</formula2>
    </dataValidation>
    <dataValidation type="list" allowBlank="1" showInputMessage="1" showErrorMessage="1" sqref="J32:J34">
      <formula1>$B$197:$B$198</formula1>
    </dataValidation>
  </dataValidations>
  <pageMargins left="0.74803149606299213" right="0.74803149606299213" top="0.70866141732283472" bottom="0.98425196850393704" header="0.51181102362204722" footer="0.51181102362204722"/>
  <pageSetup paperSize="9" scale="22" orientation="landscape" r:id="rId1"/>
  <headerFooter alignWithMargins="0"/>
  <drawing r:id="rId2"/>
  <legacyDrawing r:id="rId3"/>
  <oleObjects>
    <mc:AlternateContent xmlns:mc="http://schemas.openxmlformats.org/markup-compatibility/2006">
      <mc:Choice Requires="x14">
        <oleObject progId="Equation.DSMT4" shapeId="54273"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54273" r:id="rId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2016-10-06T21:27:13Z</dcterms:modified>
</cp:coreProperties>
</file>