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6.xml" ContentType="application/vnd.openxmlformats-officedocument.drawing+xml"/>
  <Override PartName="/xl/embeddings/oleObject12.bin" ContentType="application/vnd.openxmlformats-officedocument.oleObject"/>
  <Override PartName="/xl/drawings/drawing7.xml" ContentType="application/vnd.openxmlformats-officedocument.drawing+xml"/>
  <Override PartName="/xl/embeddings/oleObject13.bin" ContentType="application/vnd.openxmlformats-officedocument.oleObject"/>
  <Override PartName="/xl/drawings/drawing8.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7" lowestEdited="5" rupBuild="16925"/>
  <x:workbookPr codeName="DieseArbeitsmappe" defaultThemeVersion="124226"/>
  <mc:AlternateContent xmlns:mc="http://schemas.openxmlformats.org/markup-compatibility/2006">
    <mc:Choice Requires="x15">
      <x15ac:absPath xmlns:x15ac="http://schemas.microsoft.com/office/spreadsheetml/2010/11/ac" url="C:\Users\kbasa\Documents\GitHub\balcalparse\test files\"/>
    </mc:Choice>
  </mc:AlternateContent>
  <x:bookViews>
    <x:workbookView xWindow="10530" yWindow="195" windowWidth="14025" windowHeight="11550" tabRatio="662" activeTab="1"/>
  </x:bookViews>
  <x:sheets>
    <x:sheet name="Changelog" sheetId="41" r:id="rId1"/>
    <x:sheet name="1-Eng Inputs" sheetId="37" r:id="rId2"/>
    <x:sheet name="2-Quote Inputs" sheetId="42" r:id="rId3"/>
    <x:sheet name="3-Quote" sheetId="44" r:id="rId4"/>
    <x:sheet name="building data" sheetId="4" state="hidden" r:id="rId5"/>
    <x:sheet name="ASCE 7-05 (US)" sheetId="18" state="hidden" r:id="rId6"/>
    <x:sheet name="ASCE 7-10 (US)" sheetId="28" state="hidden" r:id="rId7"/>
    <x:sheet name="Friction Data" sheetId="40" state="hidden" r:id="rId8"/>
    <x:sheet name="wind load calc_10d" sheetId="26" r:id="rId9"/>
    <x:sheet name="int. presets cp_10d" sheetId="51" state="hidden" r:id="rId10"/>
    <x:sheet name="int. presets cp_10d+wd" sheetId="57" state="hidden" r:id="rId11"/>
    <x:sheet name="wind load calc_5d" sheetId="36" r:id="rId12"/>
    <x:sheet name="int. presets cp_5d+wd" sheetId="35" state="hidden" r:id="rId13"/>
  </x:sheets>
  <x:externalReferences>
    <x:externalReference r:id="rId14"/>
    <x:externalReference r:id="rId15"/>
    <x:externalReference r:id="rId16"/>
    <x:externalReference r:id="rId17"/>
  </x:externalReferences>
  <x:definedNames>
    <x:definedName name="ASCE">'1-Eng Inputs'!$L$40:$L$41</x:definedName>
    <x:definedName name="Bild">INDIRECT("Bilder!A"&amp;[1]Auflastberechnung!$B$202)</x:definedName>
    <x:definedName name="Date">'1-Eng Inputs'!$L$40:$L$41</x:definedName>
    <x:definedName name="Exp">'1-Eng Inputs'!$H$40:$H$42</x:definedName>
    <x:definedName name="Exposure">'1-Eng Inputs'!$H$40:$H$42</x:definedName>
    <x:definedName name="Hoehe">[2]Eingabe!$E$17</x:definedName>
    <x:definedName name="Master_Matrix">'[3]Master Matrix'!$C$4:$AW$242</x:definedName>
    <x:definedName name="Occ">'1-Eng Inputs'!$I$40:$I$43</x:definedName>
    <x:definedName name="Ori">'1-Eng Inputs'!$K$40:$K$41</x:definedName>
    <x:definedName name="_xlnm.Print_Area" localSheetId="5">'ASCE 7-05 (US)'!$B$2:$M$34</x:definedName>
    <x:definedName name="_xlnm.Print_Area" localSheetId="6">'ASCE 7-10 (US)'!$B$2:$M$33</x:definedName>
    <x:definedName name="_xlnm.Print_Area" localSheetId="4">'building data'!$B$2:$S$52</x:definedName>
    <x:definedName name="_xlnm.Print_Area" localSheetId="8">'wind load calc_10d'!$B$2:$EF$95</x:definedName>
    <x:definedName name="_xlnm.Print_Area" localSheetId="11">'wind load calc_5d'!$B$2:$DP$97</x:definedName>
    <x:definedName name="Roof">'1-Eng Inputs'!$J$40:$J$45</x:definedName>
    <x:definedName name="Sei">'1-Eng Inputs'!$M$40:$M$41</x:definedName>
    <x:definedName name="Soil">'1-Eng Inputs'!$H$42:$H$43</x:definedName>
    <x:definedName name="Standort" localSheetId="6">#REF!</x:definedName>
    <x:definedName name="Standort" localSheetId="9">#REF!</x:definedName>
    <x:definedName name="Standort" localSheetId="10">#REF!</x:definedName>
    <x:definedName name="Standort" localSheetId="12">#REF!</x:definedName>
    <x:definedName name="Standort" localSheetId="8">#REF!</x:definedName>
    <x:definedName name="Standort" localSheetId="11">#REF!</x:definedName>
    <x:definedName name="Standort">'[4]NP EN 1991-1-4 (PT)'!$F$69:$F$71</x:definedName>
    <x:definedName name="Standort2" localSheetId="9">#REF!</x:definedName>
    <x:definedName name="Standort2" localSheetId="10">#REF!</x:definedName>
    <x:definedName name="Standort2" localSheetId="12">#REF!</x:definedName>
    <x:definedName name="Standort2" localSheetId="11">#REF!</x:definedName>
    <x:definedName name="Standort2">#REF!</x:definedName>
    <x:definedName name="YesNo">'1-Eng Inputs'!$G$40:$G$41</x:definedName>
  </x:definedNames>
  <x:calcPr calcId="171027" forceFullCalc="1"/>
</x:workbook>
</file>

<file path=xl/calcChain.xml><?xml version="1.0" encoding="utf-8"?>
<calcChain xmlns="http://schemas.openxmlformats.org/spreadsheetml/2006/main">
  <c r="C33" i="37" l="1"/>
  <c r="C32" i="37" l="1"/>
  <c r="F30" i="44" l="1"/>
  <c r="A30" i="44"/>
  <c r="F6" i="42"/>
  <c r="F9" i="42" s="1"/>
  <c r="F7" i="42"/>
  <c r="F8" i="42"/>
  <c r="F15" i="42"/>
  <c r="F16" i="42" s="1"/>
  <c r="F19" i="42"/>
  <c r="E18" i="44"/>
  <c r="E19" i="44"/>
  <c r="E20" i="44"/>
  <c r="E21" i="44"/>
  <c r="E22" i="44"/>
  <c r="E25" i="44"/>
  <c r="E28" i="44"/>
  <c r="D18" i="44"/>
  <c r="F18" i="44" s="1"/>
  <c r="D19" i="44"/>
  <c r="F19" i="44" s="1"/>
  <c r="D20" i="44"/>
  <c r="F20" i="44" s="1"/>
  <c r="D21" i="44"/>
  <c r="F21" i="44" s="1"/>
  <c r="D22" i="44"/>
  <c r="F22" i="44" s="1"/>
  <c r="D25" i="44"/>
  <c r="F25" i="44" s="1"/>
  <c r="D26" i="44"/>
  <c r="D28" i="44"/>
  <c r="F28" i="44" s="1"/>
  <c r="A18" i="44"/>
  <c r="A19" i="44"/>
  <c r="A20" i="44"/>
  <c r="A21" i="44"/>
  <c r="A22" i="44"/>
  <c r="A25" i="44"/>
  <c r="A28" i="44"/>
  <c r="B18" i="44"/>
  <c r="B19" i="44"/>
  <c r="B20" i="44"/>
  <c r="B21" i="44"/>
  <c r="B22" i="44"/>
  <c r="B25" i="44"/>
  <c r="B28" i="44"/>
  <c r="I10" i="42" l="1"/>
  <c r="I11" i="42"/>
  <c r="I12" i="42"/>
  <c r="I13" i="42"/>
  <c r="I14" i="42"/>
  <c r="D7" i="42"/>
  <c r="E7" i="42" s="1"/>
  <c r="D8" i="42"/>
  <c r="E8" i="42" s="1"/>
  <c r="D9" i="42"/>
  <c r="E9" i="42" s="1"/>
  <c r="D10" i="42"/>
  <c r="E10" i="42" s="1"/>
  <c r="G10" i="42" s="1"/>
  <c r="D11" i="42"/>
  <c r="E11" i="42" s="1"/>
  <c r="G11" i="42" s="1"/>
  <c r="D12" i="42"/>
  <c r="E12" i="42" s="1"/>
  <c r="G12" i="42" s="1"/>
  <c r="D13" i="42"/>
  <c r="E13" i="42" s="1"/>
  <c r="G13" i="42" s="1"/>
  <c r="D14" i="42"/>
  <c r="E14" i="42" s="1"/>
  <c r="G14" i="42" s="1"/>
  <c r="J10" i="42" l="1"/>
  <c r="J12" i="42"/>
  <c r="J14" i="42"/>
  <c r="J13" i="42"/>
  <c r="J11" i="42"/>
  <c r="C30" i="18" l="1"/>
  <c r="C16" i="57" l="1"/>
  <c r="B277" i="57"/>
  <c r="B276" i="57"/>
  <c r="B275" i="57"/>
  <c r="B274" i="57"/>
  <c r="L272" i="57"/>
  <c r="K272" i="57"/>
  <c r="J272" i="57"/>
  <c r="I272" i="57"/>
  <c r="H272" i="57"/>
  <c r="G272" i="57"/>
  <c r="F272" i="57"/>
  <c r="E272" i="57"/>
  <c r="D272" i="57"/>
  <c r="C272" i="57"/>
  <c r="B271" i="57"/>
  <c r="B270" i="57"/>
  <c r="B269" i="57"/>
  <c r="B268" i="57"/>
  <c r="L266" i="57"/>
  <c r="K266" i="57"/>
  <c r="J266" i="57"/>
  <c r="I266" i="57"/>
  <c r="H266" i="57"/>
  <c r="G266" i="57"/>
  <c r="F266" i="57"/>
  <c r="E266" i="57"/>
  <c r="K265" i="57"/>
  <c r="I265" i="57"/>
  <c r="G265" i="57"/>
  <c r="E265" i="57"/>
  <c r="C265" i="57"/>
  <c r="B265" i="57"/>
  <c r="B263" i="57"/>
  <c r="B262" i="57"/>
  <c r="B261" i="57"/>
  <c r="B260" i="57"/>
  <c r="L258" i="57"/>
  <c r="K258" i="57"/>
  <c r="J258" i="57"/>
  <c r="I258" i="57"/>
  <c r="H258" i="57"/>
  <c r="G258" i="57"/>
  <c r="F258" i="57"/>
  <c r="E258" i="57"/>
  <c r="D258" i="57"/>
  <c r="C258" i="57"/>
  <c r="L252" i="57"/>
  <c r="K252" i="57"/>
  <c r="J252" i="57"/>
  <c r="I252" i="57"/>
  <c r="H252" i="57"/>
  <c r="G252" i="57"/>
  <c r="F252" i="57"/>
  <c r="E252" i="57"/>
  <c r="K251" i="57"/>
  <c r="I251" i="57"/>
  <c r="G251" i="57"/>
  <c r="E251" i="57"/>
  <c r="C251" i="57"/>
  <c r="B251" i="57"/>
  <c r="M244" i="57"/>
  <c r="L244" i="57"/>
  <c r="K244" i="57"/>
  <c r="J244" i="57"/>
  <c r="I244" i="57"/>
  <c r="H244" i="57"/>
  <c r="G244" i="57"/>
  <c r="F244" i="57"/>
  <c r="E244" i="57"/>
  <c r="D244" i="57"/>
  <c r="K243" i="57"/>
  <c r="F243" i="57"/>
  <c r="B239" i="57"/>
  <c r="B238" i="57"/>
  <c r="B237" i="57"/>
  <c r="B236" i="57"/>
  <c r="B235" i="57"/>
  <c r="Q234" i="57"/>
  <c r="P234" i="57"/>
  <c r="O234" i="57"/>
  <c r="N234" i="57"/>
  <c r="M234" i="57"/>
  <c r="L234" i="57"/>
  <c r="K234" i="57"/>
  <c r="J234" i="57"/>
  <c r="I234" i="57"/>
  <c r="H234" i="57"/>
  <c r="G234" i="57"/>
  <c r="F234" i="57"/>
  <c r="E234" i="57"/>
  <c r="D234" i="57"/>
  <c r="C234" i="57"/>
  <c r="B232" i="57"/>
  <c r="B231" i="57"/>
  <c r="B230" i="57"/>
  <c r="B229" i="57"/>
  <c r="B228" i="57"/>
  <c r="Q227" i="57"/>
  <c r="P227" i="57"/>
  <c r="O227" i="57"/>
  <c r="N227" i="57"/>
  <c r="M227" i="57"/>
  <c r="L227" i="57"/>
  <c r="K227" i="57"/>
  <c r="J227" i="57"/>
  <c r="I227" i="57"/>
  <c r="H227" i="57"/>
  <c r="G227" i="57"/>
  <c r="F227" i="57"/>
  <c r="E227" i="57"/>
  <c r="D227" i="57"/>
  <c r="C227" i="57"/>
  <c r="B225" i="57"/>
  <c r="B224" i="57"/>
  <c r="B223" i="57"/>
  <c r="B222" i="57"/>
  <c r="B221" i="57"/>
  <c r="Q220" i="57"/>
  <c r="P220" i="57"/>
  <c r="O220" i="57"/>
  <c r="N220" i="57"/>
  <c r="M220" i="57"/>
  <c r="L220" i="57"/>
  <c r="K220" i="57"/>
  <c r="J220" i="57"/>
  <c r="I220" i="57"/>
  <c r="H220" i="57"/>
  <c r="G220" i="57"/>
  <c r="F220" i="57"/>
  <c r="E220" i="57"/>
  <c r="D220" i="57"/>
  <c r="C220" i="57"/>
  <c r="B218" i="57"/>
  <c r="B217" i="57"/>
  <c r="B216" i="57"/>
  <c r="B215" i="57"/>
  <c r="B214" i="57"/>
  <c r="Q213" i="57"/>
  <c r="P213" i="57"/>
  <c r="O213" i="57"/>
  <c r="N213" i="57"/>
  <c r="M213" i="57"/>
  <c r="L213" i="57"/>
  <c r="K213" i="57"/>
  <c r="J213" i="57"/>
  <c r="I213" i="57"/>
  <c r="H213" i="57"/>
  <c r="G213" i="57"/>
  <c r="F213" i="57"/>
  <c r="E213" i="57"/>
  <c r="D213" i="57"/>
  <c r="C213" i="57"/>
  <c r="B211" i="57"/>
  <c r="B210" i="57"/>
  <c r="B209" i="57"/>
  <c r="B208" i="57"/>
  <c r="B207" i="57"/>
  <c r="Q206" i="57"/>
  <c r="P206" i="57"/>
  <c r="O206" i="57"/>
  <c r="N206" i="57"/>
  <c r="M206" i="57"/>
  <c r="L206" i="57"/>
  <c r="K206" i="57"/>
  <c r="J206" i="57"/>
  <c r="I206" i="57"/>
  <c r="H206" i="57"/>
  <c r="G206" i="57"/>
  <c r="F206" i="57"/>
  <c r="E206" i="57"/>
  <c r="D206" i="57"/>
  <c r="C206" i="57"/>
  <c r="B204" i="57"/>
  <c r="B203" i="57"/>
  <c r="B202" i="57"/>
  <c r="B201" i="57"/>
  <c r="B200" i="57"/>
  <c r="Q199" i="57"/>
  <c r="P199" i="57"/>
  <c r="O199" i="57"/>
  <c r="N199" i="57"/>
  <c r="M199" i="57"/>
  <c r="L199" i="57"/>
  <c r="K199" i="57"/>
  <c r="J199" i="57"/>
  <c r="I199" i="57"/>
  <c r="H199" i="57"/>
  <c r="G199" i="57"/>
  <c r="F199" i="57"/>
  <c r="E199" i="57"/>
  <c r="D199" i="57"/>
  <c r="C199" i="57"/>
  <c r="B197" i="57"/>
  <c r="B196" i="57"/>
  <c r="B195" i="57"/>
  <c r="B194" i="57"/>
  <c r="B193" i="57"/>
  <c r="Q192" i="57"/>
  <c r="P192" i="57"/>
  <c r="O192" i="57"/>
  <c r="N192" i="57"/>
  <c r="M192" i="57"/>
  <c r="L192" i="57"/>
  <c r="K192" i="57"/>
  <c r="J192" i="57"/>
  <c r="I192" i="57"/>
  <c r="H192" i="57"/>
  <c r="G192" i="57"/>
  <c r="F192" i="57"/>
  <c r="E192" i="57"/>
  <c r="D192" i="57"/>
  <c r="C192" i="57"/>
  <c r="B190" i="57"/>
  <c r="B189" i="57"/>
  <c r="B188" i="57"/>
  <c r="B187" i="57"/>
  <c r="B186" i="57"/>
  <c r="Q185" i="57"/>
  <c r="P185" i="57"/>
  <c r="O185" i="57"/>
  <c r="N185" i="57"/>
  <c r="M185" i="57"/>
  <c r="L185" i="57"/>
  <c r="K185" i="57"/>
  <c r="J185" i="57"/>
  <c r="I185" i="57"/>
  <c r="H185" i="57"/>
  <c r="G185" i="57"/>
  <c r="F185" i="57"/>
  <c r="O183" i="57"/>
  <c r="L183" i="57"/>
  <c r="I183" i="57"/>
  <c r="F183" i="57"/>
  <c r="C183" i="57"/>
  <c r="B183" i="57"/>
  <c r="B181" i="57"/>
  <c r="B180" i="57"/>
  <c r="B179" i="57"/>
  <c r="B178" i="57"/>
  <c r="B177" i="57"/>
  <c r="Q176" i="57"/>
  <c r="P176" i="57"/>
  <c r="O176" i="57"/>
  <c r="N176" i="57"/>
  <c r="M176" i="57"/>
  <c r="L176" i="57"/>
  <c r="K176" i="57"/>
  <c r="J176" i="57"/>
  <c r="I176" i="57"/>
  <c r="H176" i="57"/>
  <c r="G176" i="57"/>
  <c r="F176" i="57"/>
  <c r="E176" i="57"/>
  <c r="D176" i="57"/>
  <c r="C176" i="57"/>
  <c r="C175" i="57"/>
  <c r="L233" i="57" s="1"/>
  <c r="B174" i="57"/>
  <c r="B173" i="57"/>
  <c r="B172" i="57"/>
  <c r="B171" i="57"/>
  <c r="B170" i="57"/>
  <c r="Q169" i="57"/>
  <c r="P169" i="57"/>
  <c r="O169" i="57"/>
  <c r="N169" i="57"/>
  <c r="M169" i="57"/>
  <c r="L169" i="57"/>
  <c r="K169" i="57"/>
  <c r="J169" i="57"/>
  <c r="I169" i="57"/>
  <c r="H169" i="57"/>
  <c r="G169" i="57"/>
  <c r="F169" i="57"/>
  <c r="E169" i="57"/>
  <c r="D169" i="57"/>
  <c r="C169" i="57"/>
  <c r="C168" i="57"/>
  <c r="L226" i="57" s="1"/>
  <c r="B167" i="57"/>
  <c r="B166" i="57"/>
  <c r="B165" i="57"/>
  <c r="B164" i="57"/>
  <c r="B163" i="57"/>
  <c r="Q162" i="57"/>
  <c r="P162" i="57"/>
  <c r="O162" i="57"/>
  <c r="N162" i="57"/>
  <c r="M162" i="57"/>
  <c r="L162" i="57"/>
  <c r="K162" i="57"/>
  <c r="J162" i="57"/>
  <c r="I162" i="57"/>
  <c r="H162" i="57"/>
  <c r="G162" i="57"/>
  <c r="F162" i="57"/>
  <c r="E162" i="57"/>
  <c r="D162" i="57"/>
  <c r="C162" i="57"/>
  <c r="C161" i="57"/>
  <c r="B160" i="57"/>
  <c r="B159" i="57"/>
  <c r="B158" i="57"/>
  <c r="B157" i="57"/>
  <c r="B156" i="57"/>
  <c r="Q155" i="57"/>
  <c r="P155" i="57"/>
  <c r="O155" i="57"/>
  <c r="N155" i="57"/>
  <c r="M155" i="57"/>
  <c r="L155" i="57"/>
  <c r="K155" i="57"/>
  <c r="J155" i="57"/>
  <c r="I155" i="57"/>
  <c r="H155" i="57"/>
  <c r="G155" i="57"/>
  <c r="F155" i="57"/>
  <c r="E155" i="57"/>
  <c r="D155" i="57"/>
  <c r="C155" i="57"/>
  <c r="C154" i="57"/>
  <c r="F212" i="57" s="1"/>
  <c r="B153" i="57"/>
  <c r="B152" i="57"/>
  <c r="B151" i="57"/>
  <c r="B150" i="57"/>
  <c r="B149" i="57"/>
  <c r="Q148" i="57"/>
  <c r="P148" i="57"/>
  <c r="O148" i="57"/>
  <c r="N148" i="57"/>
  <c r="M148" i="57"/>
  <c r="L148" i="57"/>
  <c r="K148" i="57"/>
  <c r="J148" i="57"/>
  <c r="I148" i="57"/>
  <c r="H148" i="57"/>
  <c r="G148" i="57"/>
  <c r="F148" i="57"/>
  <c r="E148" i="57"/>
  <c r="D148" i="57"/>
  <c r="C148" i="57"/>
  <c r="C147" i="57"/>
  <c r="O147" i="57" s="1"/>
  <c r="B146" i="57"/>
  <c r="B145" i="57"/>
  <c r="B144" i="57"/>
  <c r="B143" i="57"/>
  <c r="B142" i="57"/>
  <c r="Q141" i="57"/>
  <c r="P141" i="57"/>
  <c r="O141" i="57"/>
  <c r="N141" i="57"/>
  <c r="M141" i="57"/>
  <c r="L141" i="57"/>
  <c r="K141" i="57"/>
  <c r="J141" i="57"/>
  <c r="I141" i="57"/>
  <c r="H141" i="57"/>
  <c r="G141" i="57"/>
  <c r="F141" i="57"/>
  <c r="E141" i="57"/>
  <c r="D141" i="57"/>
  <c r="C141" i="57"/>
  <c r="C140" i="57"/>
  <c r="L198" i="57" s="1"/>
  <c r="B139" i="57"/>
  <c r="B138" i="57"/>
  <c r="B137" i="57"/>
  <c r="B136" i="57"/>
  <c r="B135" i="57"/>
  <c r="Q134" i="57"/>
  <c r="P134" i="57"/>
  <c r="O134" i="57"/>
  <c r="N134" i="57"/>
  <c r="M134" i="57"/>
  <c r="L134" i="57"/>
  <c r="K134" i="57"/>
  <c r="J134" i="57"/>
  <c r="I134" i="57"/>
  <c r="H134" i="57"/>
  <c r="G134" i="57"/>
  <c r="F134" i="57"/>
  <c r="E134" i="57"/>
  <c r="D134" i="57"/>
  <c r="C134" i="57"/>
  <c r="C133" i="57"/>
  <c r="Q127" i="57"/>
  <c r="P127" i="57"/>
  <c r="O127" i="57"/>
  <c r="N127" i="57"/>
  <c r="M127" i="57"/>
  <c r="L127" i="57"/>
  <c r="K127" i="57"/>
  <c r="J127" i="57"/>
  <c r="I127" i="57"/>
  <c r="H127" i="57"/>
  <c r="G127" i="57"/>
  <c r="F127" i="57"/>
  <c r="C126" i="57"/>
  <c r="I184" i="57" s="1"/>
  <c r="O125" i="57"/>
  <c r="L125" i="57"/>
  <c r="I125" i="57"/>
  <c r="F125" i="57"/>
  <c r="C125" i="57"/>
  <c r="B125" i="57"/>
  <c r="AE122" i="57"/>
  <c r="AD122" i="57"/>
  <c r="AC122" i="57"/>
  <c r="AB122" i="57"/>
  <c r="AA122" i="57"/>
  <c r="Z122" i="57"/>
  <c r="Y122" i="57"/>
  <c r="X122" i="57"/>
  <c r="W122" i="57"/>
  <c r="V122" i="57"/>
  <c r="U122" i="57"/>
  <c r="C122" i="57"/>
  <c r="AE121" i="57"/>
  <c r="AD121" i="57"/>
  <c r="AC121" i="57"/>
  <c r="AB121" i="57"/>
  <c r="AA121" i="57"/>
  <c r="Z121" i="57"/>
  <c r="Y121" i="57"/>
  <c r="X121" i="57"/>
  <c r="W121" i="57"/>
  <c r="V121" i="57"/>
  <c r="U121" i="57"/>
  <c r="T121" i="57"/>
  <c r="C121" i="57"/>
  <c r="B121" i="57"/>
  <c r="AE120" i="57"/>
  <c r="AD120" i="57"/>
  <c r="AC120" i="57"/>
  <c r="AB120" i="57"/>
  <c r="AA120" i="57"/>
  <c r="Z120" i="57"/>
  <c r="Y120" i="57"/>
  <c r="X120" i="57"/>
  <c r="W120" i="57"/>
  <c r="V120" i="57"/>
  <c r="U120" i="57"/>
  <c r="C120" i="57"/>
  <c r="AE119" i="57"/>
  <c r="AD119" i="57"/>
  <c r="AC119" i="57"/>
  <c r="AB119" i="57"/>
  <c r="AA119" i="57"/>
  <c r="Z119" i="57"/>
  <c r="Y119" i="57"/>
  <c r="X119" i="57"/>
  <c r="W119" i="57"/>
  <c r="V119" i="57"/>
  <c r="U119" i="57"/>
  <c r="T119" i="57"/>
  <c r="C119" i="57"/>
  <c r="B119" i="57"/>
  <c r="AE118" i="57"/>
  <c r="AD118" i="57"/>
  <c r="AC118" i="57"/>
  <c r="AB118" i="57"/>
  <c r="AA118" i="57"/>
  <c r="Z118" i="57"/>
  <c r="Y118" i="57"/>
  <c r="X118" i="57"/>
  <c r="W118" i="57"/>
  <c r="V118" i="57"/>
  <c r="U118" i="57"/>
  <c r="C118" i="57"/>
  <c r="AE117" i="57"/>
  <c r="AD117" i="57"/>
  <c r="AC117" i="57"/>
  <c r="AB117" i="57"/>
  <c r="AA117" i="57"/>
  <c r="Z117" i="57"/>
  <c r="Y117" i="57"/>
  <c r="X117" i="57"/>
  <c r="W117" i="57"/>
  <c r="V117" i="57"/>
  <c r="U117" i="57"/>
  <c r="T117" i="57"/>
  <c r="C117" i="57"/>
  <c r="B117" i="57"/>
  <c r="AE116" i="57"/>
  <c r="AD116" i="57"/>
  <c r="AC116" i="57"/>
  <c r="AB116" i="57"/>
  <c r="AA116" i="57"/>
  <c r="Z116" i="57"/>
  <c r="Y116" i="57"/>
  <c r="X116" i="57"/>
  <c r="W116" i="57"/>
  <c r="V116" i="57"/>
  <c r="U116" i="57"/>
  <c r="C116" i="57"/>
  <c r="AE115" i="57"/>
  <c r="AD115" i="57"/>
  <c r="AC115" i="57"/>
  <c r="AB115" i="57"/>
  <c r="AA115" i="57"/>
  <c r="Z115" i="57"/>
  <c r="Y115" i="57"/>
  <c r="X115" i="57"/>
  <c r="W115" i="57"/>
  <c r="V115" i="57"/>
  <c r="U115" i="57"/>
  <c r="T115" i="57"/>
  <c r="C115" i="57"/>
  <c r="B115" i="57"/>
  <c r="BS114" i="57"/>
  <c r="BR114" i="57"/>
  <c r="BQ114" i="57"/>
  <c r="BP114" i="57"/>
  <c r="BO114" i="57"/>
  <c r="BN114" i="57"/>
  <c r="BM114" i="57"/>
  <c r="BL114" i="57"/>
  <c r="BK114" i="57"/>
  <c r="BJ114" i="57"/>
  <c r="BI114" i="57"/>
  <c r="BH114" i="57"/>
  <c r="BG114" i="57"/>
  <c r="BF114" i="57"/>
  <c r="BE114" i="57"/>
  <c r="BD114" i="57"/>
  <c r="BC114" i="57"/>
  <c r="BB114" i="57"/>
  <c r="BA114" i="57"/>
  <c r="AZ114" i="57"/>
  <c r="AY114" i="57"/>
  <c r="AX114" i="57"/>
  <c r="AW114" i="57"/>
  <c r="AV114" i="57"/>
  <c r="AU114" i="57"/>
  <c r="AT114" i="57"/>
  <c r="AS114" i="57"/>
  <c r="AR114" i="57"/>
  <c r="AQ114" i="57"/>
  <c r="AP114" i="57"/>
  <c r="AO114" i="57"/>
  <c r="AN114" i="57"/>
  <c r="AM114" i="57"/>
  <c r="AL114" i="57"/>
  <c r="AK114" i="57"/>
  <c r="AJ114" i="57"/>
  <c r="AI114" i="57"/>
  <c r="AH114" i="57"/>
  <c r="AG114" i="57"/>
  <c r="AF114" i="57"/>
  <c r="AE114" i="57"/>
  <c r="AD114" i="57"/>
  <c r="AC114" i="57"/>
  <c r="AB114" i="57"/>
  <c r="AA114" i="57"/>
  <c r="Z114" i="57"/>
  <c r="Y114" i="57"/>
  <c r="X114" i="57"/>
  <c r="W114" i="57"/>
  <c r="V114" i="57"/>
  <c r="BQ113" i="57"/>
  <c r="BL113" i="57"/>
  <c r="BG113" i="57"/>
  <c r="BB113" i="57"/>
  <c r="AW113" i="57"/>
  <c r="AR113" i="57"/>
  <c r="AM113" i="57"/>
  <c r="AH113" i="57"/>
  <c r="AC113" i="57"/>
  <c r="X113" i="57"/>
  <c r="M113" i="57"/>
  <c r="L113" i="57"/>
  <c r="K113" i="57"/>
  <c r="J113" i="57"/>
  <c r="I113" i="57"/>
  <c r="H113" i="57"/>
  <c r="G113" i="57"/>
  <c r="F113" i="57"/>
  <c r="E113" i="57"/>
  <c r="D113" i="57"/>
  <c r="K112" i="57"/>
  <c r="F112" i="57"/>
  <c r="AE108" i="57"/>
  <c r="AD108" i="57"/>
  <c r="AC108" i="57"/>
  <c r="AB108" i="57"/>
  <c r="AA108" i="57"/>
  <c r="Z108" i="57"/>
  <c r="Y108" i="57"/>
  <c r="X108" i="57"/>
  <c r="W108" i="57"/>
  <c r="V108" i="57"/>
  <c r="U108" i="57"/>
  <c r="C108" i="57"/>
  <c r="AE107" i="57"/>
  <c r="AD107" i="57"/>
  <c r="AC107" i="57"/>
  <c r="AB107" i="57"/>
  <c r="AA107" i="57"/>
  <c r="Z107" i="57"/>
  <c r="Y107" i="57"/>
  <c r="X107" i="57"/>
  <c r="W107" i="57"/>
  <c r="V107" i="57"/>
  <c r="U107" i="57"/>
  <c r="T107" i="57"/>
  <c r="C107" i="57"/>
  <c r="B107" i="57"/>
  <c r="AE106" i="57"/>
  <c r="AD106" i="57"/>
  <c r="AC106" i="57"/>
  <c r="AB106" i="57"/>
  <c r="AA106" i="57"/>
  <c r="Z106" i="57"/>
  <c r="Y106" i="57"/>
  <c r="X106" i="57"/>
  <c r="W106" i="57"/>
  <c r="V106" i="57"/>
  <c r="U106" i="57"/>
  <c r="C106" i="57"/>
  <c r="AE105" i="57"/>
  <c r="AD105" i="57"/>
  <c r="AC105" i="57"/>
  <c r="AB105" i="57"/>
  <c r="AA105" i="57"/>
  <c r="Z105" i="57"/>
  <c r="Y105" i="57"/>
  <c r="X105" i="57"/>
  <c r="W105" i="57"/>
  <c r="V105" i="57"/>
  <c r="U105" i="57"/>
  <c r="T105" i="57"/>
  <c r="C105" i="57"/>
  <c r="B105" i="57"/>
  <c r="AE104" i="57"/>
  <c r="AD104" i="57"/>
  <c r="AC104" i="57"/>
  <c r="AB104" i="57"/>
  <c r="AA104" i="57"/>
  <c r="Z104" i="57"/>
  <c r="Y104" i="57"/>
  <c r="X104" i="57"/>
  <c r="W104" i="57"/>
  <c r="V104" i="57"/>
  <c r="U104" i="57"/>
  <c r="C104" i="57"/>
  <c r="AE103" i="57"/>
  <c r="AD103" i="57"/>
  <c r="AC103" i="57"/>
  <c r="AB103" i="57"/>
  <c r="AA103" i="57"/>
  <c r="Z103" i="57"/>
  <c r="Y103" i="57"/>
  <c r="X103" i="57"/>
  <c r="W103" i="57"/>
  <c r="V103" i="57"/>
  <c r="U103" i="57"/>
  <c r="T103" i="57"/>
  <c r="C103" i="57"/>
  <c r="B103" i="57"/>
  <c r="AE102" i="57"/>
  <c r="AD102" i="57"/>
  <c r="AC102" i="57"/>
  <c r="AB102" i="57"/>
  <c r="AA102" i="57"/>
  <c r="Z102" i="57"/>
  <c r="Y102" i="57"/>
  <c r="X102" i="57"/>
  <c r="W102" i="57"/>
  <c r="V102" i="57"/>
  <c r="U102" i="57"/>
  <c r="C102" i="57"/>
  <c r="AE101" i="57"/>
  <c r="AD101" i="57"/>
  <c r="AC101" i="57"/>
  <c r="AB101" i="57"/>
  <c r="AA101" i="57"/>
  <c r="Z101" i="57"/>
  <c r="Y101" i="57"/>
  <c r="X101" i="57"/>
  <c r="W101" i="57"/>
  <c r="V101" i="57"/>
  <c r="U101" i="57"/>
  <c r="T101" i="57"/>
  <c r="C101" i="57"/>
  <c r="B101" i="57"/>
  <c r="BS100" i="57"/>
  <c r="BR100" i="57"/>
  <c r="BQ100" i="57"/>
  <c r="BP100" i="57"/>
  <c r="BO100" i="57"/>
  <c r="BN100" i="57"/>
  <c r="BM100" i="57"/>
  <c r="BL100" i="57"/>
  <c r="BK100" i="57"/>
  <c r="BJ100" i="57"/>
  <c r="BI100" i="57"/>
  <c r="BH100" i="57"/>
  <c r="BG100" i="57"/>
  <c r="BF100" i="57"/>
  <c r="BE100" i="57"/>
  <c r="BD100" i="57"/>
  <c r="BC100" i="57"/>
  <c r="BB100" i="57"/>
  <c r="BA100" i="57"/>
  <c r="AZ100" i="57"/>
  <c r="AY100" i="57"/>
  <c r="AX100" i="57"/>
  <c r="AW100" i="57"/>
  <c r="AV100" i="57"/>
  <c r="AU100" i="57"/>
  <c r="AT100" i="57"/>
  <c r="AS100" i="57"/>
  <c r="AR100" i="57"/>
  <c r="AQ100" i="57"/>
  <c r="AP100" i="57"/>
  <c r="AO100" i="57"/>
  <c r="AN100" i="57"/>
  <c r="AM100" i="57"/>
  <c r="AL100" i="57"/>
  <c r="AK100" i="57"/>
  <c r="AJ100" i="57"/>
  <c r="AI100" i="57"/>
  <c r="AH100" i="57"/>
  <c r="AG100" i="57"/>
  <c r="AF100" i="57"/>
  <c r="AE100" i="57"/>
  <c r="AD100" i="57"/>
  <c r="AC100" i="57"/>
  <c r="AB100" i="57"/>
  <c r="AA100" i="57"/>
  <c r="Z100" i="57"/>
  <c r="Y100" i="57"/>
  <c r="X100" i="57"/>
  <c r="W100" i="57"/>
  <c r="V100" i="57"/>
  <c r="BQ99" i="57"/>
  <c r="BL99" i="57"/>
  <c r="BG99" i="57"/>
  <c r="BB99" i="57"/>
  <c r="AW99" i="57"/>
  <c r="AR99" i="57"/>
  <c r="AM99" i="57"/>
  <c r="AH99" i="57"/>
  <c r="AC99" i="57"/>
  <c r="X99" i="57"/>
  <c r="M99" i="57"/>
  <c r="L99" i="57"/>
  <c r="K99" i="57"/>
  <c r="J99" i="57"/>
  <c r="I99" i="57"/>
  <c r="H99" i="57"/>
  <c r="G99" i="57"/>
  <c r="F99" i="57"/>
  <c r="E99" i="57"/>
  <c r="D99" i="57"/>
  <c r="K98" i="57"/>
  <c r="F98" i="57"/>
  <c r="C94" i="57"/>
  <c r="C93" i="57"/>
  <c r="B93" i="57"/>
  <c r="C92" i="57"/>
  <c r="C91" i="57"/>
  <c r="B91" i="57"/>
  <c r="C90" i="57"/>
  <c r="C89" i="57"/>
  <c r="B89" i="57"/>
  <c r="C88" i="57"/>
  <c r="C87" i="57"/>
  <c r="B87" i="57"/>
  <c r="R85" i="57"/>
  <c r="Q85" i="57"/>
  <c r="P85" i="57"/>
  <c r="O85" i="57"/>
  <c r="N85" i="57"/>
  <c r="M85" i="57"/>
  <c r="L85" i="57"/>
  <c r="K85" i="57"/>
  <c r="J85" i="57"/>
  <c r="I85" i="57"/>
  <c r="H85" i="57"/>
  <c r="G85" i="57"/>
  <c r="F85" i="57"/>
  <c r="E85" i="57"/>
  <c r="D85" i="57"/>
  <c r="K84" i="57"/>
  <c r="F84" i="57"/>
  <c r="C80" i="57"/>
  <c r="C79" i="57"/>
  <c r="B79" i="57"/>
  <c r="C78" i="57"/>
  <c r="C77" i="57"/>
  <c r="B77" i="57"/>
  <c r="C76" i="57"/>
  <c r="C75" i="57"/>
  <c r="B75" i="57"/>
  <c r="C74" i="57"/>
  <c r="C73" i="57"/>
  <c r="B73" i="57"/>
  <c r="M71" i="57"/>
  <c r="L71" i="57"/>
  <c r="K71" i="57"/>
  <c r="J71" i="57"/>
  <c r="I71" i="57"/>
  <c r="H71" i="57"/>
  <c r="G71" i="57"/>
  <c r="F71" i="57"/>
  <c r="E71" i="57"/>
  <c r="D71" i="57"/>
  <c r="K70" i="57"/>
  <c r="F70" i="57"/>
  <c r="C66" i="57"/>
  <c r="C65" i="57"/>
  <c r="B65" i="57"/>
  <c r="C64" i="57"/>
  <c r="C63" i="57"/>
  <c r="B63" i="57"/>
  <c r="C62" i="57"/>
  <c r="C61" i="57"/>
  <c r="B61" i="57"/>
  <c r="C60" i="57"/>
  <c r="C59" i="57"/>
  <c r="B59" i="57"/>
  <c r="C57" i="57"/>
  <c r="C56" i="57"/>
  <c r="B56" i="57"/>
  <c r="C55" i="57"/>
  <c r="C54" i="57"/>
  <c r="B54" i="57"/>
  <c r="C53" i="57"/>
  <c r="C52" i="57"/>
  <c r="B52" i="57"/>
  <c r="C51" i="57"/>
  <c r="C50" i="57"/>
  <c r="B50" i="57"/>
  <c r="M48" i="57"/>
  <c r="L48" i="57"/>
  <c r="K48" i="57"/>
  <c r="J48" i="57"/>
  <c r="I48" i="57"/>
  <c r="H48" i="57"/>
  <c r="G48" i="57"/>
  <c r="F48" i="57"/>
  <c r="E48" i="57"/>
  <c r="D48" i="57"/>
  <c r="K47" i="57"/>
  <c r="F47" i="57"/>
  <c r="C42" i="57"/>
  <c r="C41" i="57"/>
  <c r="B41" i="57"/>
  <c r="C40" i="57"/>
  <c r="C39" i="57"/>
  <c r="B39" i="57"/>
  <c r="C38" i="57"/>
  <c r="C37" i="57"/>
  <c r="B37" i="57"/>
  <c r="C36" i="57"/>
  <c r="C35" i="57"/>
  <c r="B35" i="57"/>
  <c r="F9" i="57"/>
  <c r="Z44" i="26"/>
  <c r="L45" i="26"/>
  <c r="Z96" i="26"/>
  <c r="C16" i="51"/>
  <c r="B245" i="51"/>
  <c r="B244" i="51"/>
  <c r="B243" i="51"/>
  <c r="B242" i="51"/>
  <c r="L240" i="51"/>
  <c r="K240" i="51"/>
  <c r="J240" i="51"/>
  <c r="I240" i="51"/>
  <c r="H240" i="51"/>
  <c r="G240" i="51"/>
  <c r="F240" i="51"/>
  <c r="E240" i="51"/>
  <c r="D240" i="51"/>
  <c r="C240" i="51"/>
  <c r="B239" i="51"/>
  <c r="B238" i="51"/>
  <c r="B237" i="51"/>
  <c r="B236" i="51"/>
  <c r="L234" i="51"/>
  <c r="K234" i="51"/>
  <c r="J234" i="51"/>
  <c r="I234" i="51"/>
  <c r="H234" i="51"/>
  <c r="G234" i="51"/>
  <c r="F234" i="51"/>
  <c r="E234" i="51"/>
  <c r="K233" i="51"/>
  <c r="I233" i="51"/>
  <c r="G233" i="51"/>
  <c r="E233" i="51"/>
  <c r="C233" i="51"/>
  <c r="B233" i="51"/>
  <c r="B231" i="51"/>
  <c r="B230" i="51"/>
  <c r="B229" i="51"/>
  <c r="B228" i="51"/>
  <c r="L226" i="51"/>
  <c r="K226" i="51"/>
  <c r="J226" i="51"/>
  <c r="I226" i="51"/>
  <c r="H226" i="51"/>
  <c r="G226" i="51"/>
  <c r="F226" i="51"/>
  <c r="E226" i="51"/>
  <c r="D226" i="51"/>
  <c r="C226" i="51"/>
  <c r="L220" i="51"/>
  <c r="K220" i="51"/>
  <c r="J220" i="51"/>
  <c r="I220" i="51"/>
  <c r="H220" i="51"/>
  <c r="G220" i="51"/>
  <c r="F220" i="51"/>
  <c r="E220" i="51"/>
  <c r="K219" i="51"/>
  <c r="I219" i="51"/>
  <c r="G219" i="51"/>
  <c r="E219" i="51"/>
  <c r="C219" i="51"/>
  <c r="B219" i="51"/>
  <c r="M212" i="51"/>
  <c r="L212" i="51"/>
  <c r="K212" i="51"/>
  <c r="J212" i="51"/>
  <c r="I212" i="51"/>
  <c r="H212" i="51"/>
  <c r="G212" i="51"/>
  <c r="F212" i="51"/>
  <c r="E212" i="51"/>
  <c r="D212" i="51"/>
  <c r="K211" i="51"/>
  <c r="F211" i="51"/>
  <c r="B207" i="51"/>
  <c r="B206" i="51"/>
  <c r="B205" i="51"/>
  <c r="B204" i="51"/>
  <c r="B203" i="51"/>
  <c r="Q202" i="51"/>
  <c r="P202" i="51"/>
  <c r="O202" i="51"/>
  <c r="N202" i="51"/>
  <c r="M202" i="51"/>
  <c r="L202" i="51"/>
  <c r="K202" i="51"/>
  <c r="J202" i="51"/>
  <c r="I202" i="51"/>
  <c r="H202" i="51"/>
  <c r="G202" i="51"/>
  <c r="F202" i="51"/>
  <c r="E202" i="51"/>
  <c r="D202" i="51"/>
  <c r="C202" i="51"/>
  <c r="B200" i="51"/>
  <c r="B199" i="51"/>
  <c r="B198" i="51"/>
  <c r="B197" i="51"/>
  <c r="B196" i="51"/>
  <c r="Q195" i="51"/>
  <c r="P195" i="51"/>
  <c r="O195" i="51"/>
  <c r="N195" i="51"/>
  <c r="M195" i="51"/>
  <c r="L195" i="51"/>
  <c r="K195" i="51"/>
  <c r="J195" i="51"/>
  <c r="I195" i="51"/>
  <c r="H195" i="51"/>
  <c r="G195" i="51"/>
  <c r="F195" i="51"/>
  <c r="E195" i="51"/>
  <c r="D195" i="51"/>
  <c r="C195" i="51"/>
  <c r="B193" i="51"/>
  <c r="B192" i="51"/>
  <c r="B191" i="51"/>
  <c r="B190" i="51"/>
  <c r="B189" i="51"/>
  <c r="Q188" i="51"/>
  <c r="P188" i="51"/>
  <c r="O188" i="51"/>
  <c r="N188" i="51"/>
  <c r="M188" i="51"/>
  <c r="L188" i="51"/>
  <c r="K188" i="51"/>
  <c r="J188" i="51"/>
  <c r="I188" i="51"/>
  <c r="H188" i="51"/>
  <c r="G188" i="51"/>
  <c r="F188" i="51"/>
  <c r="E188" i="51"/>
  <c r="D188" i="51"/>
  <c r="C188" i="51"/>
  <c r="B186" i="51"/>
  <c r="B185" i="51"/>
  <c r="B184" i="51"/>
  <c r="B183" i="51"/>
  <c r="B182" i="51"/>
  <c r="Q181" i="51"/>
  <c r="P181" i="51"/>
  <c r="O181" i="51"/>
  <c r="N181" i="51"/>
  <c r="M181" i="51"/>
  <c r="L181" i="51"/>
  <c r="K181" i="51"/>
  <c r="J181" i="51"/>
  <c r="I181" i="51"/>
  <c r="H181" i="51"/>
  <c r="G181" i="51"/>
  <c r="F181" i="51"/>
  <c r="E181" i="51"/>
  <c r="D181" i="51"/>
  <c r="C181" i="51"/>
  <c r="B179" i="51"/>
  <c r="B178" i="51"/>
  <c r="B177" i="51"/>
  <c r="B176" i="51"/>
  <c r="B175" i="51"/>
  <c r="Q174" i="51"/>
  <c r="P174" i="51"/>
  <c r="O174" i="51"/>
  <c r="N174" i="51"/>
  <c r="M174" i="51"/>
  <c r="L174" i="51"/>
  <c r="K174" i="51"/>
  <c r="J174" i="51"/>
  <c r="I174" i="51"/>
  <c r="H174" i="51"/>
  <c r="G174" i="51"/>
  <c r="F174" i="51"/>
  <c r="E174" i="51"/>
  <c r="D174" i="51"/>
  <c r="C174" i="51"/>
  <c r="B172" i="51"/>
  <c r="B171" i="51"/>
  <c r="B170" i="51"/>
  <c r="B169" i="51"/>
  <c r="B168" i="51"/>
  <c r="Q167" i="51"/>
  <c r="P167" i="51"/>
  <c r="O167" i="51"/>
  <c r="N167" i="51"/>
  <c r="M167" i="51"/>
  <c r="L167" i="51"/>
  <c r="K167" i="51"/>
  <c r="J167" i="51"/>
  <c r="I167" i="51"/>
  <c r="H167" i="51"/>
  <c r="G167" i="51"/>
  <c r="F167" i="51"/>
  <c r="E167" i="51"/>
  <c r="D167" i="51"/>
  <c r="C167" i="51"/>
  <c r="B165" i="51"/>
  <c r="B164" i="51"/>
  <c r="B163" i="51"/>
  <c r="B162" i="51"/>
  <c r="B161" i="51"/>
  <c r="Q160" i="51"/>
  <c r="P160" i="51"/>
  <c r="O160" i="51"/>
  <c r="N160" i="51"/>
  <c r="M160" i="51"/>
  <c r="L160" i="51"/>
  <c r="K160" i="51"/>
  <c r="J160" i="51"/>
  <c r="I160" i="51"/>
  <c r="H160" i="51"/>
  <c r="G160" i="51"/>
  <c r="F160" i="51"/>
  <c r="E160" i="51"/>
  <c r="D160" i="51"/>
  <c r="C160" i="51"/>
  <c r="B158" i="51"/>
  <c r="B157" i="51"/>
  <c r="B156" i="51"/>
  <c r="B155" i="51"/>
  <c r="B154" i="51"/>
  <c r="Q153" i="51"/>
  <c r="P153" i="51"/>
  <c r="O153" i="51"/>
  <c r="N153" i="51"/>
  <c r="M153" i="51"/>
  <c r="L153" i="51"/>
  <c r="K153" i="51"/>
  <c r="J153" i="51"/>
  <c r="I153" i="51"/>
  <c r="H153" i="51"/>
  <c r="G153" i="51"/>
  <c r="F153" i="51"/>
  <c r="O151" i="51"/>
  <c r="L151" i="51"/>
  <c r="I151" i="51"/>
  <c r="F151" i="51"/>
  <c r="C151" i="51"/>
  <c r="B151" i="51"/>
  <c r="B149" i="51"/>
  <c r="B148" i="51"/>
  <c r="B147" i="51"/>
  <c r="B146" i="51"/>
  <c r="B145" i="51"/>
  <c r="Q144" i="51"/>
  <c r="P144" i="51"/>
  <c r="O144" i="51"/>
  <c r="N144" i="51"/>
  <c r="M144" i="51"/>
  <c r="L144" i="51"/>
  <c r="K144" i="51"/>
  <c r="J144" i="51"/>
  <c r="I144" i="51"/>
  <c r="H144" i="51"/>
  <c r="G144" i="51"/>
  <c r="F144" i="51"/>
  <c r="E144" i="51"/>
  <c r="D144" i="51"/>
  <c r="C144" i="51"/>
  <c r="C143" i="51"/>
  <c r="I201" i="51" s="1"/>
  <c r="B142" i="51"/>
  <c r="B141" i="51"/>
  <c r="B140" i="51"/>
  <c r="B139" i="51"/>
  <c r="B138" i="51"/>
  <c r="Q137" i="51"/>
  <c r="P137" i="51"/>
  <c r="O137" i="51"/>
  <c r="N137" i="51"/>
  <c r="M137" i="51"/>
  <c r="L137" i="51"/>
  <c r="K137" i="51"/>
  <c r="J137" i="51"/>
  <c r="I137" i="51"/>
  <c r="H137" i="51"/>
  <c r="G137" i="51"/>
  <c r="F137" i="51"/>
  <c r="E137" i="51"/>
  <c r="D137" i="51"/>
  <c r="C137" i="51"/>
  <c r="C136" i="51"/>
  <c r="L194" i="51" s="1"/>
  <c r="B135" i="51"/>
  <c r="B134" i="51"/>
  <c r="B133" i="51"/>
  <c r="B132" i="51"/>
  <c r="B131" i="51"/>
  <c r="Q130" i="51"/>
  <c r="P130" i="51"/>
  <c r="O130" i="51"/>
  <c r="N130" i="51"/>
  <c r="M130" i="51"/>
  <c r="L130" i="51"/>
  <c r="K130" i="51"/>
  <c r="J130" i="51"/>
  <c r="I130" i="51"/>
  <c r="H130" i="51"/>
  <c r="G130" i="51"/>
  <c r="F130" i="51"/>
  <c r="E130" i="51"/>
  <c r="D130" i="51"/>
  <c r="C130" i="51"/>
  <c r="C129" i="51"/>
  <c r="O129" i="51" s="1"/>
  <c r="B128" i="51"/>
  <c r="B127" i="51"/>
  <c r="B126" i="51"/>
  <c r="B125" i="51"/>
  <c r="B124" i="51"/>
  <c r="Q123" i="51"/>
  <c r="P123" i="51"/>
  <c r="O123" i="51"/>
  <c r="N123" i="51"/>
  <c r="M123" i="51"/>
  <c r="L123" i="51"/>
  <c r="K123" i="51"/>
  <c r="J123" i="51"/>
  <c r="I123" i="51"/>
  <c r="H123" i="51"/>
  <c r="G123" i="51"/>
  <c r="F123" i="51"/>
  <c r="E123" i="51"/>
  <c r="D123" i="51"/>
  <c r="C123" i="51"/>
  <c r="C122" i="51"/>
  <c r="F180" i="51" s="1"/>
  <c r="B121" i="51"/>
  <c r="B120" i="51"/>
  <c r="B119" i="51"/>
  <c r="B118" i="51"/>
  <c r="B117" i="51"/>
  <c r="Q116" i="51"/>
  <c r="P116" i="51"/>
  <c r="O116" i="51"/>
  <c r="N116" i="51"/>
  <c r="M116" i="51"/>
  <c r="L116" i="51"/>
  <c r="K116" i="51"/>
  <c r="J116" i="51"/>
  <c r="I116" i="51"/>
  <c r="H116" i="51"/>
  <c r="G116" i="51"/>
  <c r="F116" i="51"/>
  <c r="E116" i="51"/>
  <c r="D116" i="51"/>
  <c r="C116" i="51"/>
  <c r="C115" i="51"/>
  <c r="I173" i="51" s="1"/>
  <c r="B114" i="51"/>
  <c r="B113" i="51"/>
  <c r="B112" i="51"/>
  <c r="B111" i="51"/>
  <c r="B110" i="51"/>
  <c r="Q109" i="51"/>
  <c r="P109" i="51"/>
  <c r="O109" i="51"/>
  <c r="N109" i="51"/>
  <c r="M109" i="51"/>
  <c r="L109" i="51"/>
  <c r="K109" i="51"/>
  <c r="J109" i="51"/>
  <c r="I109" i="51"/>
  <c r="H109" i="51"/>
  <c r="G109" i="51"/>
  <c r="F109" i="51"/>
  <c r="E109" i="51"/>
  <c r="D109" i="51"/>
  <c r="C109" i="51"/>
  <c r="C108" i="51"/>
  <c r="L166" i="51" s="1"/>
  <c r="B107" i="51"/>
  <c r="B106" i="51"/>
  <c r="B105" i="51"/>
  <c r="B104" i="51"/>
  <c r="B103" i="51"/>
  <c r="Q102" i="51"/>
  <c r="P102" i="51"/>
  <c r="O102" i="51"/>
  <c r="N102" i="51"/>
  <c r="M102" i="51"/>
  <c r="L102" i="51"/>
  <c r="K102" i="51"/>
  <c r="J102" i="51"/>
  <c r="I102" i="51"/>
  <c r="H102" i="51"/>
  <c r="G102" i="51"/>
  <c r="F102" i="51"/>
  <c r="E102" i="51"/>
  <c r="D102" i="51"/>
  <c r="C102" i="51"/>
  <c r="C101" i="51"/>
  <c r="F159" i="51" s="1"/>
  <c r="Q95" i="51"/>
  <c r="P95" i="51"/>
  <c r="O95" i="51"/>
  <c r="N95" i="51"/>
  <c r="M95" i="51"/>
  <c r="L95" i="51"/>
  <c r="K95" i="51"/>
  <c r="J95" i="51"/>
  <c r="I95" i="51"/>
  <c r="H95" i="51"/>
  <c r="G95" i="51"/>
  <c r="F95" i="51"/>
  <c r="C94" i="51"/>
  <c r="I152" i="51" s="1"/>
  <c r="O93" i="51"/>
  <c r="L93" i="51"/>
  <c r="I93" i="51"/>
  <c r="F93" i="51"/>
  <c r="C93" i="51"/>
  <c r="B93" i="51"/>
  <c r="AE90" i="51"/>
  <c r="AD90" i="51"/>
  <c r="AC90" i="51"/>
  <c r="AB90" i="51"/>
  <c r="AA90" i="51"/>
  <c r="Z90" i="51"/>
  <c r="Y90" i="51"/>
  <c r="X90" i="51"/>
  <c r="W90" i="51"/>
  <c r="V90" i="51"/>
  <c r="U90" i="51"/>
  <c r="C90" i="51"/>
  <c r="AE89" i="51"/>
  <c r="AD89" i="51"/>
  <c r="AC89" i="51"/>
  <c r="AB89" i="51"/>
  <c r="AA89" i="51"/>
  <c r="Z89" i="51"/>
  <c r="Y89" i="51"/>
  <c r="X89" i="51"/>
  <c r="W89" i="51"/>
  <c r="V89" i="51"/>
  <c r="U89" i="51"/>
  <c r="T89" i="51"/>
  <c r="C89" i="51"/>
  <c r="B89" i="51"/>
  <c r="AE88" i="51"/>
  <c r="AD88" i="51"/>
  <c r="AC88" i="51"/>
  <c r="AB88" i="51"/>
  <c r="AA88" i="51"/>
  <c r="Z88" i="51"/>
  <c r="Y88" i="51"/>
  <c r="X88" i="51"/>
  <c r="W88" i="51"/>
  <c r="V88" i="51"/>
  <c r="U88" i="51"/>
  <c r="C88" i="51"/>
  <c r="AE87" i="51"/>
  <c r="AD87" i="51"/>
  <c r="AC87" i="51"/>
  <c r="AB87" i="51"/>
  <c r="AA87" i="51"/>
  <c r="Z87" i="51"/>
  <c r="Y87" i="51"/>
  <c r="X87" i="51"/>
  <c r="W87" i="51"/>
  <c r="V87" i="51"/>
  <c r="U87" i="51"/>
  <c r="T87" i="51"/>
  <c r="C87" i="51"/>
  <c r="B87" i="51"/>
  <c r="AE86" i="51"/>
  <c r="AD86" i="51"/>
  <c r="AC86" i="51"/>
  <c r="AB86" i="51"/>
  <c r="AA86" i="51"/>
  <c r="Z86" i="51"/>
  <c r="Y86" i="51"/>
  <c r="X86" i="51"/>
  <c r="W86" i="51"/>
  <c r="V86" i="51"/>
  <c r="U86" i="51"/>
  <c r="C86" i="51"/>
  <c r="AE85" i="51"/>
  <c r="AD85" i="51"/>
  <c r="AC85" i="51"/>
  <c r="AB85" i="51"/>
  <c r="AA85" i="51"/>
  <c r="Z85" i="51"/>
  <c r="Y85" i="51"/>
  <c r="X85" i="51"/>
  <c r="W85" i="51"/>
  <c r="V85" i="51"/>
  <c r="U85" i="51"/>
  <c r="T85" i="51"/>
  <c r="C85" i="51"/>
  <c r="B85" i="51"/>
  <c r="AE84" i="51"/>
  <c r="AD84" i="51"/>
  <c r="AC84" i="51"/>
  <c r="AB84" i="51"/>
  <c r="AA84" i="51"/>
  <c r="Z84" i="51"/>
  <c r="Y84" i="51"/>
  <c r="X84" i="51"/>
  <c r="W84" i="51"/>
  <c r="V84" i="51"/>
  <c r="U84" i="51"/>
  <c r="C84" i="51"/>
  <c r="AE83" i="51"/>
  <c r="AD83" i="51"/>
  <c r="AC83" i="51"/>
  <c r="AB83" i="51"/>
  <c r="AA83" i="51"/>
  <c r="Z83" i="51"/>
  <c r="Y83" i="51"/>
  <c r="X83" i="51"/>
  <c r="W83" i="51"/>
  <c r="V83" i="51"/>
  <c r="U83" i="51"/>
  <c r="T83" i="51"/>
  <c r="C83" i="51"/>
  <c r="B83" i="51"/>
  <c r="BS82" i="51"/>
  <c r="BR82" i="51"/>
  <c r="BQ82" i="51"/>
  <c r="BP82" i="51"/>
  <c r="BO82" i="51"/>
  <c r="BN82" i="51"/>
  <c r="BM82" i="51"/>
  <c r="BL82" i="51"/>
  <c r="BK82" i="51"/>
  <c r="BJ82" i="51"/>
  <c r="BI82" i="51"/>
  <c r="BH82" i="51"/>
  <c r="BG82" i="51"/>
  <c r="BF82" i="51"/>
  <c r="BE82" i="51"/>
  <c r="BD82" i="51"/>
  <c r="BC82" i="51"/>
  <c r="BB82" i="51"/>
  <c r="BA82" i="51"/>
  <c r="AZ82" i="51"/>
  <c r="AY82" i="51"/>
  <c r="AX82" i="51"/>
  <c r="AW82" i="51"/>
  <c r="AV82" i="51"/>
  <c r="AU82" i="51"/>
  <c r="AT82" i="51"/>
  <c r="AS82" i="51"/>
  <c r="AR82" i="51"/>
  <c r="AQ82" i="51"/>
  <c r="AP82" i="51"/>
  <c r="AO82" i="51"/>
  <c r="AN82" i="51"/>
  <c r="AM82" i="51"/>
  <c r="AL82" i="51"/>
  <c r="AK82" i="51"/>
  <c r="AJ82" i="51"/>
  <c r="AI82" i="51"/>
  <c r="AH82" i="51"/>
  <c r="AG82" i="51"/>
  <c r="AF82" i="51"/>
  <c r="AE82" i="51"/>
  <c r="AD82" i="51"/>
  <c r="AC82" i="51"/>
  <c r="AB82" i="51"/>
  <c r="AA82" i="51"/>
  <c r="Z82" i="51"/>
  <c r="Y82" i="51"/>
  <c r="X82" i="51"/>
  <c r="W82" i="51"/>
  <c r="V82" i="51"/>
  <c r="BQ81" i="51"/>
  <c r="BL81" i="51"/>
  <c r="BG81" i="51"/>
  <c r="BB81" i="51"/>
  <c r="AW81" i="51"/>
  <c r="AR81" i="51"/>
  <c r="AM81" i="51"/>
  <c r="AH81" i="51"/>
  <c r="AC81" i="51"/>
  <c r="X81" i="51"/>
  <c r="M81" i="51"/>
  <c r="L81" i="51"/>
  <c r="K81" i="51"/>
  <c r="J81" i="51"/>
  <c r="I81" i="51"/>
  <c r="H81" i="51"/>
  <c r="G81" i="51"/>
  <c r="F81" i="51"/>
  <c r="E81" i="51"/>
  <c r="D81" i="51"/>
  <c r="K80" i="51"/>
  <c r="F80" i="51"/>
  <c r="AE76" i="51"/>
  <c r="AD76" i="51"/>
  <c r="AC76" i="51"/>
  <c r="AB76" i="51"/>
  <c r="AA76" i="51"/>
  <c r="Z76" i="51"/>
  <c r="Y76" i="51"/>
  <c r="X76" i="51"/>
  <c r="W76" i="51"/>
  <c r="V76" i="51"/>
  <c r="U76" i="51"/>
  <c r="C76" i="51"/>
  <c r="AE75" i="51"/>
  <c r="AD75" i="51"/>
  <c r="AC75" i="51"/>
  <c r="AB75" i="51"/>
  <c r="AA75" i="51"/>
  <c r="Z75" i="51"/>
  <c r="Y75" i="51"/>
  <c r="X75" i="51"/>
  <c r="W75" i="51"/>
  <c r="V75" i="51"/>
  <c r="U75" i="51"/>
  <c r="T75" i="51"/>
  <c r="C75" i="51"/>
  <c r="B75" i="51"/>
  <c r="AE74" i="51"/>
  <c r="AD74" i="51"/>
  <c r="AC74" i="51"/>
  <c r="AB74" i="51"/>
  <c r="AA74" i="51"/>
  <c r="Z74" i="51"/>
  <c r="Y74" i="51"/>
  <c r="X74" i="51"/>
  <c r="W74" i="51"/>
  <c r="V74" i="51"/>
  <c r="U74" i="51"/>
  <c r="C74" i="51"/>
  <c r="AE73" i="51"/>
  <c r="AD73" i="51"/>
  <c r="AC73" i="51"/>
  <c r="AB73" i="51"/>
  <c r="AA73" i="51"/>
  <c r="Z73" i="51"/>
  <c r="Y73" i="51"/>
  <c r="X73" i="51"/>
  <c r="W73" i="51"/>
  <c r="V73" i="51"/>
  <c r="U73" i="51"/>
  <c r="T73" i="51"/>
  <c r="C73" i="51"/>
  <c r="B73" i="51"/>
  <c r="AE72" i="51"/>
  <c r="AD72" i="51"/>
  <c r="AC72" i="51"/>
  <c r="AB72" i="51"/>
  <c r="AA72" i="51"/>
  <c r="Z72" i="51"/>
  <c r="Y72" i="51"/>
  <c r="X72" i="51"/>
  <c r="W72" i="51"/>
  <c r="V72" i="51"/>
  <c r="U72" i="51"/>
  <c r="C72" i="51"/>
  <c r="AE71" i="51"/>
  <c r="AD71" i="51"/>
  <c r="AC71" i="51"/>
  <c r="AB71" i="51"/>
  <c r="AA71" i="51"/>
  <c r="Z71" i="51"/>
  <c r="Y71" i="51"/>
  <c r="X71" i="51"/>
  <c r="W71" i="51"/>
  <c r="V71" i="51"/>
  <c r="U71" i="51"/>
  <c r="T71" i="51"/>
  <c r="C71" i="51"/>
  <c r="B71" i="51"/>
  <c r="AE70" i="51"/>
  <c r="AD70" i="51"/>
  <c r="AC70" i="51"/>
  <c r="AB70" i="51"/>
  <c r="AA70" i="51"/>
  <c r="Z70" i="51"/>
  <c r="Y70" i="51"/>
  <c r="X70" i="51"/>
  <c r="W70" i="51"/>
  <c r="V70" i="51"/>
  <c r="U70" i="51"/>
  <c r="C70" i="51"/>
  <c r="AE69" i="51"/>
  <c r="AD69" i="51"/>
  <c r="AC69" i="51"/>
  <c r="AB69" i="51"/>
  <c r="AA69" i="51"/>
  <c r="Z69" i="51"/>
  <c r="Y69" i="51"/>
  <c r="X69" i="51"/>
  <c r="W69" i="51"/>
  <c r="V69" i="51"/>
  <c r="U69" i="51"/>
  <c r="T69" i="51"/>
  <c r="C69" i="51"/>
  <c r="B69" i="51"/>
  <c r="BS68" i="51"/>
  <c r="BR68" i="51"/>
  <c r="BQ68" i="51"/>
  <c r="BP68" i="51"/>
  <c r="BO68" i="51"/>
  <c r="BN68" i="51"/>
  <c r="BM68" i="51"/>
  <c r="BL68" i="51"/>
  <c r="BK68" i="51"/>
  <c r="BJ68" i="51"/>
  <c r="BI68" i="51"/>
  <c r="BH68" i="51"/>
  <c r="BG68" i="51"/>
  <c r="BF68" i="51"/>
  <c r="BE68" i="51"/>
  <c r="BD68" i="51"/>
  <c r="BC68" i="51"/>
  <c r="BB68" i="51"/>
  <c r="BA68" i="51"/>
  <c r="AZ68" i="51"/>
  <c r="AY68" i="51"/>
  <c r="AX68" i="51"/>
  <c r="AW68" i="51"/>
  <c r="AV68" i="51"/>
  <c r="AU68" i="51"/>
  <c r="AT68" i="51"/>
  <c r="AS68" i="51"/>
  <c r="AR68" i="51"/>
  <c r="AQ68" i="51"/>
  <c r="AP68" i="51"/>
  <c r="AO68" i="51"/>
  <c r="AN68" i="51"/>
  <c r="AM68" i="51"/>
  <c r="AL68" i="51"/>
  <c r="AK68" i="51"/>
  <c r="AJ68" i="51"/>
  <c r="AI68" i="51"/>
  <c r="AH68" i="51"/>
  <c r="AG68" i="51"/>
  <c r="AF68" i="51"/>
  <c r="AE68" i="51"/>
  <c r="AD68" i="51"/>
  <c r="AC68" i="51"/>
  <c r="AB68" i="51"/>
  <c r="AA68" i="51"/>
  <c r="Z68" i="51"/>
  <c r="Y68" i="51"/>
  <c r="X68" i="51"/>
  <c r="W68" i="51"/>
  <c r="V68" i="51"/>
  <c r="BQ67" i="51"/>
  <c r="BL67" i="51"/>
  <c r="BG67" i="51"/>
  <c r="BB67" i="51"/>
  <c r="AW67" i="51"/>
  <c r="AR67" i="51"/>
  <c r="AM67" i="51"/>
  <c r="AH67" i="51"/>
  <c r="AC67" i="51"/>
  <c r="X67" i="51"/>
  <c r="M67" i="51"/>
  <c r="L67" i="51"/>
  <c r="K67" i="51"/>
  <c r="J67" i="51"/>
  <c r="I67" i="51"/>
  <c r="H67" i="51"/>
  <c r="G67" i="51"/>
  <c r="F67" i="51"/>
  <c r="E67" i="51"/>
  <c r="D67" i="51"/>
  <c r="K66" i="51"/>
  <c r="F66" i="51"/>
  <c r="C62" i="51"/>
  <c r="C61" i="51"/>
  <c r="B61" i="51"/>
  <c r="C60" i="51"/>
  <c r="C59" i="51"/>
  <c r="B59" i="51"/>
  <c r="C58" i="51"/>
  <c r="C57" i="51"/>
  <c r="B57" i="51"/>
  <c r="C56" i="51"/>
  <c r="C55" i="51"/>
  <c r="B55" i="51"/>
  <c r="R53" i="51"/>
  <c r="Q53" i="51"/>
  <c r="P53" i="51"/>
  <c r="O53" i="51"/>
  <c r="N53" i="51"/>
  <c r="M53" i="51"/>
  <c r="L53" i="51"/>
  <c r="K53" i="51"/>
  <c r="J53" i="51"/>
  <c r="I53" i="51"/>
  <c r="H53" i="51"/>
  <c r="G53" i="51"/>
  <c r="F53" i="51"/>
  <c r="E53" i="51"/>
  <c r="D53" i="51"/>
  <c r="K52" i="51"/>
  <c r="F52" i="51"/>
  <c r="C48" i="51"/>
  <c r="C47" i="51"/>
  <c r="B47" i="51"/>
  <c r="C46" i="51"/>
  <c r="C45" i="51"/>
  <c r="B45" i="51"/>
  <c r="C44" i="51"/>
  <c r="C43" i="51"/>
  <c r="B43" i="51"/>
  <c r="C42" i="51"/>
  <c r="C41" i="51"/>
  <c r="B41" i="51"/>
  <c r="M39" i="51"/>
  <c r="L39" i="51"/>
  <c r="K39" i="51"/>
  <c r="J39" i="51"/>
  <c r="I39" i="51"/>
  <c r="H39" i="51"/>
  <c r="G39" i="51"/>
  <c r="F39" i="51"/>
  <c r="E39" i="51"/>
  <c r="D39" i="51"/>
  <c r="K38" i="51"/>
  <c r="F38" i="51"/>
  <c r="B19" i="51"/>
  <c r="F18" i="51"/>
  <c r="B18" i="51"/>
  <c r="F17" i="51"/>
  <c r="F16" i="51"/>
  <c r="B16" i="51"/>
  <c r="F15" i="51"/>
  <c r="B15" i="51"/>
  <c r="F14" i="51"/>
  <c r="F9" i="51"/>
  <c r="L97" i="26"/>
  <c r="F20" i="36"/>
  <c r="F19" i="36"/>
  <c r="C21" i="26"/>
  <c r="C40" i="26"/>
  <c r="O175" i="57" l="1"/>
  <c r="L168" i="57"/>
  <c r="L108" i="51"/>
  <c r="F126" i="57"/>
  <c r="F122" i="51"/>
  <c r="L122" i="51"/>
  <c r="I143" i="51"/>
  <c r="I175" i="57"/>
  <c r="I115" i="51"/>
  <c r="L201" i="51"/>
  <c r="F140" i="57"/>
  <c r="C212" i="57"/>
  <c r="I180" i="51"/>
  <c r="L140" i="57"/>
  <c r="I212" i="57"/>
  <c r="F108" i="51"/>
  <c r="C194" i="51"/>
  <c r="F168" i="57"/>
  <c r="O212" i="57"/>
  <c r="I108" i="51"/>
  <c r="O194" i="51"/>
  <c r="L205" i="57"/>
  <c r="C226" i="57"/>
  <c r="L173" i="51"/>
  <c r="C198" i="57"/>
  <c r="I226" i="57"/>
  <c r="F136" i="51"/>
  <c r="L126" i="57"/>
  <c r="F154" i="57"/>
  <c r="F184" i="57"/>
  <c r="I198" i="57"/>
  <c r="O226" i="57"/>
  <c r="L136" i="51"/>
  <c r="C166" i="51"/>
  <c r="I154" i="57"/>
  <c r="L184" i="57"/>
  <c r="O198" i="57"/>
  <c r="F94" i="51"/>
  <c r="L152" i="51"/>
  <c r="O166" i="51"/>
  <c r="L154" i="57"/>
  <c r="O191" i="57"/>
  <c r="C191" i="57"/>
  <c r="L133" i="57"/>
  <c r="I191" i="57"/>
  <c r="F133" i="57"/>
  <c r="F191" i="57"/>
  <c r="O133" i="57"/>
  <c r="I133" i="57"/>
  <c r="L191" i="57"/>
  <c r="O219" i="57"/>
  <c r="C219" i="57"/>
  <c r="L161" i="57"/>
  <c r="L219" i="57"/>
  <c r="I219" i="57"/>
  <c r="F161" i="57"/>
  <c r="O161" i="57"/>
  <c r="I161" i="57"/>
  <c r="F219" i="57"/>
  <c r="I205" i="57"/>
  <c r="F147" i="57"/>
  <c r="F205" i="57"/>
  <c r="O205" i="57"/>
  <c r="C205" i="57"/>
  <c r="L147" i="57"/>
  <c r="I147" i="57"/>
  <c r="I233" i="57"/>
  <c r="F175" i="57"/>
  <c r="F233" i="57"/>
  <c r="O233" i="57"/>
  <c r="C233" i="57"/>
  <c r="L175" i="57"/>
  <c r="I126" i="57"/>
  <c r="O140" i="57"/>
  <c r="O168" i="57"/>
  <c r="C184" i="57"/>
  <c r="O184" i="57"/>
  <c r="F198" i="57"/>
  <c r="L212" i="57"/>
  <c r="F226" i="57"/>
  <c r="O126" i="57"/>
  <c r="I140" i="57"/>
  <c r="O154" i="57"/>
  <c r="I168" i="57"/>
  <c r="O187" i="51"/>
  <c r="C187" i="51"/>
  <c r="L129" i="51"/>
  <c r="L187" i="51"/>
  <c r="I129" i="51"/>
  <c r="I187" i="51"/>
  <c r="F129" i="51"/>
  <c r="F187" i="51"/>
  <c r="O159" i="51"/>
  <c r="C159" i="51"/>
  <c r="L101" i="51"/>
  <c r="L159" i="51"/>
  <c r="I101" i="51"/>
  <c r="I159" i="51"/>
  <c r="F101" i="51"/>
  <c r="O101" i="51"/>
  <c r="I94" i="51"/>
  <c r="O108" i="51"/>
  <c r="L115" i="51"/>
  <c r="I122" i="51"/>
  <c r="O136" i="51"/>
  <c r="L143" i="51"/>
  <c r="C152" i="51"/>
  <c r="O152" i="51"/>
  <c r="F166" i="51"/>
  <c r="C173" i="51"/>
  <c r="O173" i="51"/>
  <c r="L180" i="51"/>
  <c r="F194" i="51"/>
  <c r="C201" i="51"/>
  <c r="O201" i="51"/>
  <c r="L94" i="51"/>
  <c r="O115" i="51"/>
  <c r="O143" i="51"/>
  <c r="F152" i="51"/>
  <c r="I166" i="51"/>
  <c r="F173" i="51"/>
  <c r="C180" i="51"/>
  <c r="O180" i="51"/>
  <c r="I194" i="51"/>
  <c r="F201" i="51"/>
  <c r="O94" i="51"/>
  <c r="F115" i="51"/>
  <c r="O122" i="51"/>
  <c r="I136" i="51"/>
  <c r="F143" i="51"/>
  <c r="D9" i="37"/>
  <c r="F19" i="26" l="1"/>
  <c r="F20" i="26"/>
  <c r="G18" i="57" l="1"/>
  <c r="G17" i="57"/>
  <c r="G18" i="51"/>
  <c r="G17" i="51"/>
  <c r="M17" i="42"/>
  <c r="N17" i="42" s="1"/>
  <c r="L17" i="42"/>
  <c r="F35" i="44"/>
  <c r="A11" i="44"/>
  <c r="D6" i="44"/>
  <c r="D4" i="44"/>
  <c r="D5" i="44" s="1"/>
  <c r="E60" i="44"/>
  <c r="E66" i="44"/>
  <c r="E67" i="44"/>
  <c r="E68" i="44"/>
  <c r="E69" i="44"/>
  <c r="E71" i="44"/>
  <c r="E72" i="44"/>
  <c r="E73" i="44"/>
  <c r="D16" i="42"/>
  <c r="E16" i="42" s="1"/>
  <c r="K6" i="42"/>
  <c r="B3" i="42"/>
  <c r="B2" i="42"/>
  <c r="F35" i="42"/>
  <c r="D35" i="42" s="1"/>
  <c r="H20" i="42" s="1"/>
  <c r="C15" i="42"/>
  <c r="K15" i="42"/>
  <c r="H15" i="42"/>
  <c r="D15" i="42" s="1"/>
  <c r="E15" i="42" s="1"/>
  <c r="A15" i="42"/>
  <c r="L27" i="42"/>
  <c r="G24" i="42"/>
  <c r="F32" i="44" s="1"/>
  <c r="D16" i="57" l="1"/>
  <c r="E23" i="44"/>
  <c r="D23" i="44"/>
  <c r="A23" i="44"/>
  <c r="B23" i="44"/>
  <c r="I15" i="42"/>
  <c r="E27" i="44"/>
  <c r="D27" i="44"/>
  <c r="F27" i="44" s="1"/>
  <c r="A27" i="44"/>
  <c r="B27" i="44"/>
  <c r="B14" i="44"/>
  <c r="A14" i="44"/>
  <c r="L7" i="42"/>
  <c r="C22" i="26"/>
  <c r="C22" i="36"/>
  <c r="M88" i="57"/>
  <c r="L87" i="57"/>
  <c r="M87" i="57"/>
  <c r="L88" i="57"/>
  <c r="D16" i="51"/>
  <c r="D14" i="44"/>
  <c r="I6" i="42"/>
  <c r="F23" i="44" l="1"/>
  <c r="B16" i="44"/>
  <c r="E16" i="44"/>
  <c r="D16" i="44"/>
  <c r="F16" i="44" s="1"/>
  <c r="A16" i="44"/>
  <c r="G8" i="42"/>
  <c r="I8" i="42"/>
  <c r="E15" i="44"/>
  <c r="D15" i="44"/>
  <c r="F15" i="44" s="1"/>
  <c r="A15" i="44"/>
  <c r="B15" i="44"/>
  <c r="G7" i="42"/>
  <c r="I7" i="42"/>
  <c r="B24" i="44"/>
  <c r="E24" i="44"/>
  <c r="D24" i="44"/>
  <c r="A24" i="44"/>
  <c r="B17" i="44"/>
  <c r="E17" i="44"/>
  <c r="D17" i="44"/>
  <c r="A17" i="44"/>
  <c r="I9" i="42"/>
  <c r="G9" i="42"/>
  <c r="I249" i="57"/>
  <c r="K249" i="57"/>
  <c r="L248" i="57"/>
  <c r="K248" i="57"/>
  <c r="M248" i="57"/>
  <c r="L249" i="57"/>
  <c r="I248" i="57"/>
  <c r="M249" i="57"/>
  <c r="J248" i="57"/>
  <c r="J249" i="57"/>
  <c r="M217" i="51"/>
  <c r="J216" i="51"/>
  <c r="J217" i="51"/>
  <c r="I217" i="51"/>
  <c r="K217" i="51"/>
  <c r="L216" i="51"/>
  <c r="K216" i="51"/>
  <c r="M216" i="51"/>
  <c r="L217" i="51"/>
  <c r="I216" i="51"/>
  <c r="L16" i="42"/>
  <c r="I16" i="42"/>
  <c r="G16" i="42"/>
  <c r="L8" i="42"/>
  <c r="L9" i="42"/>
  <c r="F24" i="44" l="1"/>
  <c r="F17" i="44"/>
  <c r="J16" i="42"/>
  <c r="J7" i="42"/>
  <c r="J9" i="42"/>
  <c r="J8" i="42"/>
  <c r="D6" i="42"/>
  <c r="E6" i="42" s="1"/>
  <c r="E14" i="44" s="1"/>
  <c r="F14" i="44" s="1"/>
  <c r="D17" i="42"/>
  <c r="E17" i="42" s="1"/>
  <c r="G17" i="42" s="1"/>
  <c r="I17" i="42"/>
  <c r="I18" i="42"/>
  <c r="D19" i="42"/>
  <c r="E19" i="42" s="1"/>
  <c r="I19" i="42"/>
  <c r="J21" i="42"/>
  <c r="E36" i="42"/>
  <c r="G36" i="42"/>
  <c r="E37" i="42"/>
  <c r="G37" i="42"/>
  <c r="E38" i="42"/>
  <c r="G38" i="42"/>
  <c r="F40" i="42"/>
  <c r="F39" i="42" s="1"/>
  <c r="E41" i="42"/>
  <c r="G41" i="42"/>
  <c r="F42" i="42"/>
  <c r="G42" i="42" s="1"/>
  <c r="N15" i="42" l="1"/>
  <c r="N23" i="42" s="1"/>
  <c r="M15" i="42"/>
  <c r="M23" i="42" s="1"/>
  <c r="G19" i="42"/>
  <c r="J19" i="42" s="1"/>
  <c r="E42" i="42"/>
  <c r="J17" i="42"/>
  <c r="G6" i="42"/>
  <c r="J6" i="42" s="1"/>
  <c r="G39" i="42"/>
  <c r="E39" i="42"/>
  <c r="L15" i="42"/>
  <c r="E40" i="42"/>
  <c r="D20" i="42"/>
  <c r="E20" i="42" s="1"/>
  <c r="G20" i="42" s="1"/>
  <c r="G40" i="42"/>
  <c r="AY115" i="57"/>
  <c r="BH101" i="57"/>
  <c r="BR115" i="57"/>
  <c r="BI101" i="57"/>
  <c r="AX101" i="57"/>
  <c r="AX116" i="57"/>
  <c r="AY102" i="57"/>
  <c r="AO116" i="57"/>
  <c r="AX115" i="57"/>
  <c r="BI102" i="57"/>
  <c r="AN115" i="57"/>
  <c r="BS116" i="57"/>
  <c r="AN101" i="57"/>
  <c r="BS102" i="57"/>
  <c r="AO115" i="57"/>
  <c r="AX102" i="57"/>
  <c r="BR116" i="57"/>
  <c r="BH102" i="57"/>
  <c r="AN102" i="57"/>
  <c r="BH116" i="57"/>
  <c r="AY101" i="57"/>
  <c r="AO102" i="57"/>
  <c r="BH115" i="57"/>
  <c r="BI116" i="57"/>
  <c r="AY116" i="57"/>
  <c r="BI115" i="57"/>
  <c r="BR101" i="57"/>
  <c r="BR102" i="57"/>
  <c r="BS101" i="57"/>
  <c r="AO101" i="57"/>
  <c r="AN116" i="57"/>
  <c r="BS115" i="57"/>
  <c r="L101" i="57" l="1"/>
  <c r="L50" i="57" s="1"/>
  <c r="L26" i="57" s="1"/>
  <c r="L102" i="57"/>
  <c r="L51" i="57" s="1"/>
  <c r="L27" i="57" s="1"/>
  <c r="L116" i="57"/>
  <c r="L115" i="57"/>
  <c r="M116" i="57"/>
  <c r="M101" i="57"/>
  <c r="M50" i="57" s="1"/>
  <c r="M26" i="57" s="1"/>
  <c r="M115" i="57"/>
  <c r="M102" i="57"/>
  <c r="M51" i="57" s="1"/>
  <c r="M27" i="57" s="1"/>
  <c r="G35" i="42"/>
  <c r="G15" i="42"/>
  <c r="J15" i="42" s="1"/>
  <c r="I20" i="42"/>
  <c r="J20" i="42" s="1"/>
  <c r="L74" i="57" l="1"/>
  <c r="L60" i="57" s="1"/>
  <c r="L36" i="57" s="1"/>
  <c r="L73" i="57"/>
  <c r="L59" i="57" s="1"/>
  <c r="L35" i="57" s="1"/>
  <c r="M73" i="57"/>
  <c r="M59" i="57" s="1"/>
  <c r="M35" i="57" s="1"/>
  <c r="M74" i="57"/>
  <c r="M60" i="57" s="1"/>
  <c r="M36" i="57" s="1"/>
  <c r="I23" i="42"/>
  <c r="I22" i="42" s="1"/>
  <c r="L23" i="42"/>
  <c r="I20" i="26" l="1"/>
  <c r="D5" i="40"/>
  <c r="D6" i="40"/>
  <c r="D7" i="40"/>
  <c r="D8" i="40"/>
  <c r="D9" i="40"/>
  <c r="D10" i="40"/>
  <c r="D11" i="40"/>
  <c r="D12" i="40"/>
  <c r="D13" i="40"/>
  <c r="D14" i="40"/>
  <c r="D15" i="40"/>
  <c r="D4" i="40"/>
  <c r="C16" i="40"/>
  <c r="B16" i="40"/>
  <c r="I20" i="36"/>
  <c r="C20" i="4"/>
  <c r="C28" i="28"/>
  <c r="C28" i="18"/>
  <c r="C26" i="28"/>
  <c r="C24" i="28"/>
  <c r="C24" i="18"/>
  <c r="C26" i="18"/>
  <c r="C21" i="4"/>
  <c r="C16" i="4"/>
  <c r="C18" i="4"/>
  <c r="H11" i="4"/>
  <c r="H10" i="4"/>
  <c r="C12" i="4"/>
  <c r="C11" i="4"/>
  <c r="C10" i="4"/>
  <c r="C9" i="4"/>
  <c r="D18" i="42"/>
  <c r="E18" i="42" s="1"/>
  <c r="E26" i="44" s="1"/>
  <c r="F26" i="44" s="1"/>
  <c r="F31" i="44" s="1"/>
  <c r="C21" i="36"/>
  <c r="H33" i="37"/>
  <c r="H12" i="4" l="1"/>
  <c r="F12" i="57"/>
  <c r="F12" i="51"/>
  <c r="G19" i="57"/>
  <c r="G16" i="57"/>
  <c r="G19" i="51"/>
  <c r="G16" i="51"/>
  <c r="G14" i="51"/>
  <c r="G14" i="57"/>
  <c r="G15" i="51"/>
  <c r="G15" i="57"/>
  <c r="C10" i="57"/>
  <c r="C10" i="51"/>
  <c r="C11" i="51"/>
  <c r="C11" i="57"/>
  <c r="C9" i="51"/>
  <c r="C9" i="57"/>
  <c r="F10" i="51"/>
  <c r="F10" i="57"/>
  <c r="C12" i="57"/>
  <c r="C12" i="51"/>
  <c r="G18" i="42"/>
  <c r="F33" i="44"/>
  <c r="D27" i="37"/>
  <c r="D16" i="40"/>
  <c r="E16" i="40" s="1"/>
  <c r="C23" i="4"/>
  <c r="F11" i="57" l="1"/>
  <c r="F11" i="51"/>
  <c r="I214" i="51"/>
  <c r="L214" i="51"/>
  <c r="M214" i="51"/>
  <c r="J214" i="51"/>
  <c r="K214" i="51"/>
  <c r="J246" i="57"/>
  <c r="K246" i="57"/>
  <c r="M246" i="57"/>
  <c r="I246" i="57"/>
  <c r="L246" i="57"/>
  <c r="K89" i="57"/>
  <c r="K94" i="57"/>
  <c r="L90" i="57"/>
  <c r="K92" i="57"/>
  <c r="J94" i="57"/>
  <c r="L94" i="57"/>
  <c r="J93" i="57"/>
  <c r="M92" i="57"/>
  <c r="K93" i="57"/>
  <c r="I90" i="57"/>
  <c r="J87" i="57"/>
  <c r="L93" i="57"/>
  <c r="I89" i="57"/>
  <c r="L91" i="57"/>
  <c r="I88" i="57"/>
  <c r="J89" i="57"/>
  <c r="I94" i="57"/>
  <c r="K91" i="57"/>
  <c r="I91" i="57"/>
  <c r="M93" i="57"/>
  <c r="L92" i="57"/>
  <c r="J91" i="57"/>
  <c r="K90" i="57"/>
  <c r="J90" i="57"/>
  <c r="K88" i="57"/>
  <c r="J92" i="57"/>
  <c r="M89" i="57"/>
  <c r="I92" i="57"/>
  <c r="I87" i="57"/>
  <c r="I93" i="57"/>
  <c r="J88" i="57"/>
  <c r="L89" i="57"/>
  <c r="M94" i="57"/>
  <c r="K87" i="57"/>
  <c r="M90" i="57"/>
  <c r="M91" i="57"/>
  <c r="L58" i="51"/>
  <c r="L55" i="51"/>
  <c r="K59" i="51"/>
  <c r="J62" i="51"/>
  <c r="M56" i="51"/>
  <c r="I61" i="51"/>
  <c r="M59" i="51"/>
  <c r="K58" i="51"/>
  <c r="I60" i="51"/>
  <c r="M58" i="51"/>
  <c r="J60" i="51"/>
  <c r="L62" i="51"/>
  <c r="I62" i="51"/>
  <c r="J58" i="51"/>
  <c r="J59" i="51"/>
  <c r="L61" i="51"/>
  <c r="M61" i="51"/>
  <c r="K61" i="51"/>
  <c r="I55" i="51"/>
  <c r="J61" i="51"/>
  <c r="M55" i="51"/>
  <c r="K56" i="51"/>
  <c r="L56" i="51"/>
  <c r="M62" i="51"/>
  <c r="K55" i="51"/>
  <c r="I57" i="51"/>
  <c r="J55" i="51"/>
  <c r="I56" i="51"/>
  <c r="L60" i="51"/>
  <c r="L57" i="51"/>
  <c r="K62" i="51"/>
  <c r="J57" i="51"/>
  <c r="L59" i="51"/>
  <c r="I59" i="51"/>
  <c r="I58" i="51"/>
  <c r="J56" i="51"/>
  <c r="K57" i="51"/>
  <c r="K60" i="51"/>
  <c r="M60" i="51"/>
  <c r="M57" i="51"/>
  <c r="J18" i="42"/>
  <c r="J23" i="42" s="1"/>
  <c r="G23" i="42"/>
  <c r="G25" i="42" s="1"/>
  <c r="C30" i="36"/>
  <c r="C30" i="26"/>
  <c r="J24" i="42" l="1"/>
  <c r="J25" i="42"/>
  <c r="J26" i="42" s="1"/>
  <c r="V115" i="35"/>
  <c r="G197" i="26" l="1"/>
  <c r="AE122" i="35" l="1"/>
  <c r="AD122" i="35"/>
  <c r="AC122" i="35"/>
  <c r="AB122" i="35"/>
  <c r="AA122" i="35"/>
  <c r="Z122" i="35"/>
  <c r="Y122" i="35"/>
  <c r="X122" i="35"/>
  <c r="W122" i="35"/>
  <c r="V122" i="35"/>
  <c r="AE121" i="35"/>
  <c r="AD121" i="35"/>
  <c r="AC121" i="35"/>
  <c r="AB121" i="35"/>
  <c r="AA121" i="35"/>
  <c r="Z121" i="35"/>
  <c r="Y121" i="35"/>
  <c r="X121" i="35"/>
  <c r="W121" i="35"/>
  <c r="V121" i="35"/>
  <c r="AE120" i="35"/>
  <c r="AD120" i="35"/>
  <c r="AC120" i="35"/>
  <c r="AB120" i="35"/>
  <c r="AA120" i="35"/>
  <c r="Z120" i="35"/>
  <c r="Y120" i="35"/>
  <c r="X120" i="35"/>
  <c r="W120" i="35"/>
  <c r="V120" i="35"/>
  <c r="AE119" i="35"/>
  <c r="AD119" i="35"/>
  <c r="AC119" i="35"/>
  <c r="AB119" i="35"/>
  <c r="AA119" i="35"/>
  <c r="Z119" i="35"/>
  <c r="Y119" i="35"/>
  <c r="X119" i="35"/>
  <c r="W119" i="35"/>
  <c r="V119" i="35"/>
  <c r="AE118" i="35"/>
  <c r="AD118" i="35"/>
  <c r="AC118" i="35"/>
  <c r="AB118" i="35"/>
  <c r="AA118" i="35"/>
  <c r="Z118" i="35"/>
  <c r="Y118" i="35"/>
  <c r="X118" i="35"/>
  <c r="W118" i="35"/>
  <c r="V118" i="35"/>
  <c r="AE117" i="35"/>
  <c r="AD117" i="35"/>
  <c r="AC117" i="35"/>
  <c r="AB117" i="35"/>
  <c r="AA117" i="35"/>
  <c r="Z117" i="35"/>
  <c r="Y117" i="35"/>
  <c r="X117" i="35"/>
  <c r="W117" i="35"/>
  <c r="V117" i="35"/>
  <c r="AE116" i="35"/>
  <c r="AD116" i="35"/>
  <c r="AC116" i="35"/>
  <c r="AB116" i="35"/>
  <c r="AA116" i="35"/>
  <c r="Z116" i="35"/>
  <c r="Y116" i="35"/>
  <c r="X116" i="35"/>
  <c r="W116" i="35"/>
  <c r="V116" i="35"/>
  <c r="AE115" i="35"/>
  <c r="AD115" i="35"/>
  <c r="AC115" i="35"/>
  <c r="AB115" i="35"/>
  <c r="AA115" i="35"/>
  <c r="Z115" i="35"/>
  <c r="Y115" i="35"/>
  <c r="X115" i="35"/>
  <c r="W115" i="35"/>
  <c r="AE108" i="35"/>
  <c r="AD108" i="35"/>
  <c r="AC108" i="35"/>
  <c r="AB108" i="35"/>
  <c r="AA108" i="35"/>
  <c r="Z108" i="35"/>
  <c r="Y108" i="35"/>
  <c r="X108" i="35"/>
  <c r="W108" i="35"/>
  <c r="V108" i="35"/>
  <c r="AE107" i="35"/>
  <c r="AD107" i="35"/>
  <c r="AC107" i="35"/>
  <c r="AB107" i="35"/>
  <c r="AA107" i="35"/>
  <c r="Z107" i="35"/>
  <c r="Y107" i="35"/>
  <c r="X107" i="35"/>
  <c r="W107" i="35"/>
  <c r="V107" i="35"/>
  <c r="AE106" i="35"/>
  <c r="AD106" i="35"/>
  <c r="AC106" i="35"/>
  <c r="AB106" i="35"/>
  <c r="AA106" i="35"/>
  <c r="Z106" i="35"/>
  <c r="Y106" i="35"/>
  <c r="X106" i="35"/>
  <c r="W106" i="35"/>
  <c r="V106" i="35"/>
  <c r="AE105" i="35"/>
  <c r="AD105" i="35"/>
  <c r="AC105" i="35"/>
  <c r="AB105" i="35"/>
  <c r="AA105" i="35"/>
  <c r="Z105" i="35"/>
  <c r="Y105" i="35"/>
  <c r="X105" i="35"/>
  <c r="W105" i="35"/>
  <c r="V105" i="35"/>
  <c r="AE104" i="35"/>
  <c r="AD104" i="35"/>
  <c r="AC104" i="35"/>
  <c r="AB104" i="35"/>
  <c r="AA104" i="35"/>
  <c r="Z104" i="35"/>
  <c r="Y104" i="35"/>
  <c r="X104" i="35"/>
  <c r="W104" i="35"/>
  <c r="V104" i="35"/>
  <c r="AE103" i="35"/>
  <c r="AD103" i="35"/>
  <c r="AC103" i="35"/>
  <c r="AB103" i="35"/>
  <c r="AA103" i="35"/>
  <c r="Z103" i="35"/>
  <c r="Y103" i="35"/>
  <c r="X103" i="35"/>
  <c r="W103" i="35"/>
  <c r="V103" i="35"/>
  <c r="AE102" i="35"/>
  <c r="AD102" i="35"/>
  <c r="AC102" i="35"/>
  <c r="AB102" i="35"/>
  <c r="AA102" i="35"/>
  <c r="Z102" i="35"/>
  <c r="Y102" i="35"/>
  <c r="X102" i="35"/>
  <c r="W102" i="35"/>
  <c r="V102" i="35"/>
  <c r="AE101" i="35"/>
  <c r="AD101" i="35"/>
  <c r="AC101" i="35"/>
  <c r="AB101" i="35"/>
  <c r="AA101" i="35"/>
  <c r="Z101" i="35"/>
  <c r="Y101" i="35"/>
  <c r="X101" i="35"/>
  <c r="W101" i="35"/>
  <c r="V101" i="35"/>
  <c r="J197" i="26" l="1"/>
  <c r="I197" i="26"/>
  <c r="H197" i="26"/>
  <c r="G196" i="26"/>
  <c r="C40" i="36" l="1"/>
  <c r="F21" i="36"/>
  <c r="C18" i="36" l="1"/>
  <c r="C19" i="36"/>
  <c r="C16" i="35"/>
  <c r="G18" i="35"/>
  <c r="G19" i="35"/>
  <c r="G17" i="35"/>
  <c r="G16" i="35"/>
  <c r="G15" i="35"/>
  <c r="G14" i="35"/>
  <c r="F12" i="35"/>
  <c r="F10" i="35"/>
  <c r="F9" i="35"/>
  <c r="C12" i="35"/>
  <c r="C11" i="35"/>
  <c r="C10" i="35"/>
  <c r="C9" i="35"/>
  <c r="I21" i="36"/>
  <c r="J105" i="36"/>
  <c r="I105" i="36"/>
  <c r="H105" i="36"/>
  <c r="G105" i="36"/>
  <c r="F105" i="36"/>
  <c r="D105" i="36"/>
  <c r="C105" i="36"/>
  <c r="J104" i="36"/>
  <c r="I104" i="36"/>
  <c r="H104" i="36"/>
  <c r="G104" i="36"/>
  <c r="F104" i="36"/>
  <c r="D104" i="36"/>
  <c r="C104" i="36"/>
  <c r="D79" i="36"/>
  <c r="C79" i="36"/>
  <c r="B79" i="36"/>
  <c r="D78" i="36"/>
  <c r="C78" i="36"/>
  <c r="CW74" i="36"/>
  <c r="CM74" i="36"/>
  <c r="CC74" i="36"/>
  <c r="BQ74" i="36"/>
  <c r="AZ74" i="36"/>
  <c r="AP74" i="36"/>
  <c r="AF74" i="36"/>
  <c r="O74" i="36"/>
  <c r="D70" i="36"/>
  <c r="C70" i="36"/>
  <c r="B70" i="36"/>
  <c r="D69" i="36"/>
  <c r="C69" i="36"/>
  <c r="D61" i="36"/>
  <c r="C61" i="36"/>
  <c r="B61" i="36"/>
  <c r="D60" i="36"/>
  <c r="C60" i="36"/>
  <c r="D58" i="36"/>
  <c r="C58" i="36"/>
  <c r="C76" i="36" s="1"/>
  <c r="B58" i="36"/>
  <c r="B85" i="36" s="1"/>
  <c r="C57" i="36"/>
  <c r="C66" i="36" s="1"/>
  <c r="D56" i="36"/>
  <c r="C56" i="36"/>
  <c r="C65" i="36" s="1"/>
  <c r="B56" i="36"/>
  <c r="C55" i="36"/>
  <c r="D54" i="36"/>
  <c r="C54" i="36"/>
  <c r="B54" i="36"/>
  <c r="C53" i="36"/>
  <c r="DO52" i="36"/>
  <c r="BM52" i="36"/>
  <c r="G40" i="36"/>
  <c r="DO32" i="36"/>
  <c r="BM32" i="36"/>
  <c r="C31" i="36"/>
  <c r="C12" i="36"/>
  <c r="F11" i="36"/>
  <c r="C11" i="36"/>
  <c r="F10" i="36"/>
  <c r="C10" i="36"/>
  <c r="F9" i="36"/>
  <c r="C9" i="36"/>
  <c r="B277" i="35"/>
  <c r="B276" i="35"/>
  <c r="B275" i="35"/>
  <c r="B274" i="35"/>
  <c r="L272" i="35"/>
  <c r="K272" i="35"/>
  <c r="J272" i="35"/>
  <c r="I272" i="35"/>
  <c r="H272" i="35"/>
  <c r="G272" i="35"/>
  <c r="F272" i="35"/>
  <c r="E272" i="35"/>
  <c r="D272" i="35"/>
  <c r="C272" i="35"/>
  <c r="B271" i="35"/>
  <c r="B270" i="35"/>
  <c r="B269" i="35"/>
  <c r="B268" i="35"/>
  <c r="L266" i="35"/>
  <c r="K266" i="35"/>
  <c r="J266" i="35"/>
  <c r="I266" i="35"/>
  <c r="H266" i="35"/>
  <c r="G266" i="35"/>
  <c r="F266" i="35"/>
  <c r="E266" i="35"/>
  <c r="B263" i="35"/>
  <c r="B262" i="35"/>
  <c r="B261" i="35"/>
  <c r="B260" i="35"/>
  <c r="L258" i="35"/>
  <c r="K258" i="35"/>
  <c r="J258" i="35"/>
  <c r="I258" i="35"/>
  <c r="H258" i="35"/>
  <c r="G258" i="35"/>
  <c r="F258" i="35"/>
  <c r="E258" i="35"/>
  <c r="D258" i="35"/>
  <c r="C258" i="35"/>
  <c r="L252" i="35"/>
  <c r="K252" i="35"/>
  <c r="J252" i="35"/>
  <c r="I252" i="35"/>
  <c r="H252" i="35"/>
  <c r="G252" i="35"/>
  <c r="F252" i="35"/>
  <c r="E252" i="35"/>
  <c r="B239" i="35"/>
  <c r="B238" i="35"/>
  <c r="B237" i="35"/>
  <c r="B236" i="35"/>
  <c r="B235" i="35"/>
  <c r="Q234" i="35"/>
  <c r="P234" i="35"/>
  <c r="O234" i="35"/>
  <c r="N234" i="35"/>
  <c r="M234" i="35"/>
  <c r="L234" i="35"/>
  <c r="K234" i="35"/>
  <c r="J234" i="35"/>
  <c r="I234" i="35"/>
  <c r="H234" i="35"/>
  <c r="G234" i="35"/>
  <c r="F234" i="35"/>
  <c r="E234" i="35"/>
  <c r="D234" i="35"/>
  <c r="C234" i="35"/>
  <c r="B232" i="35"/>
  <c r="B231" i="35"/>
  <c r="B230" i="35"/>
  <c r="B229" i="35"/>
  <c r="B228" i="35"/>
  <c r="Q227" i="35"/>
  <c r="P227" i="35"/>
  <c r="O227" i="35"/>
  <c r="N227" i="35"/>
  <c r="M227" i="35"/>
  <c r="L227" i="35"/>
  <c r="K227" i="35"/>
  <c r="J227" i="35"/>
  <c r="I227" i="35"/>
  <c r="H227" i="35"/>
  <c r="G227" i="35"/>
  <c r="F227" i="35"/>
  <c r="E227" i="35"/>
  <c r="D227" i="35"/>
  <c r="C227" i="35"/>
  <c r="B225" i="35"/>
  <c r="B224" i="35"/>
  <c r="B223" i="35"/>
  <c r="B222" i="35"/>
  <c r="B221" i="35"/>
  <c r="Q220" i="35"/>
  <c r="P220" i="35"/>
  <c r="O220" i="35"/>
  <c r="N220" i="35"/>
  <c r="M220" i="35"/>
  <c r="L220" i="35"/>
  <c r="K220" i="35"/>
  <c r="J220" i="35"/>
  <c r="I220" i="35"/>
  <c r="H220" i="35"/>
  <c r="G220" i="35"/>
  <c r="F220" i="35"/>
  <c r="E220" i="35"/>
  <c r="D220" i="35"/>
  <c r="C220" i="35"/>
  <c r="B218" i="35"/>
  <c r="B217" i="35"/>
  <c r="B216" i="35"/>
  <c r="B215" i="35"/>
  <c r="B214" i="35"/>
  <c r="Q213" i="35"/>
  <c r="P213" i="35"/>
  <c r="O213" i="35"/>
  <c r="N213" i="35"/>
  <c r="M213" i="35"/>
  <c r="L213" i="35"/>
  <c r="K213" i="35"/>
  <c r="J213" i="35"/>
  <c r="I213" i="35"/>
  <c r="H213" i="35"/>
  <c r="G213" i="35"/>
  <c r="F213" i="35"/>
  <c r="E213" i="35"/>
  <c r="D213" i="35"/>
  <c r="C213" i="35"/>
  <c r="B211" i="35"/>
  <c r="B210" i="35"/>
  <c r="B209" i="35"/>
  <c r="B208" i="35"/>
  <c r="B207" i="35"/>
  <c r="Q206" i="35"/>
  <c r="P206" i="35"/>
  <c r="O206" i="35"/>
  <c r="N206" i="35"/>
  <c r="M206" i="35"/>
  <c r="L206" i="35"/>
  <c r="K206" i="35"/>
  <c r="J206" i="35"/>
  <c r="I206" i="35"/>
  <c r="H206" i="35"/>
  <c r="G206" i="35"/>
  <c r="F206" i="35"/>
  <c r="E206" i="35"/>
  <c r="D206" i="35"/>
  <c r="C206" i="35"/>
  <c r="B204" i="35"/>
  <c r="B203" i="35"/>
  <c r="B202" i="35"/>
  <c r="B201" i="35"/>
  <c r="B200" i="35"/>
  <c r="Q199" i="35"/>
  <c r="P199" i="35"/>
  <c r="O199" i="35"/>
  <c r="N199" i="35"/>
  <c r="M199" i="35"/>
  <c r="L199" i="35"/>
  <c r="K199" i="35"/>
  <c r="J199" i="35"/>
  <c r="I199" i="35"/>
  <c r="H199" i="35"/>
  <c r="G199" i="35"/>
  <c r="F199" i="35"/>
  <c r="E199" i="35"/>
  <c r="D199" i="35"/>
  <c r="C199" i="35"/>
  <c r="B197" i="35"/>
  <c r="B196" i="35"/>
  <c r="B195" i="35"/>
  <c r="B194" i="35"/>
  <c r="B193" i="35"/>
  <c r="Q192" i="35"/>
  <c r="P192" i="35"/>
  <c r="O192" i="35"/>
  <c r="N192" i="35"/>
  <c r="M192" i="35"/>
  <c r="L192" i="35"/>
  <c r="K192" i="35"/>
  <c r="J192" i="35"/>
  <c r="I192" i="35"/>
  <c r="H192" i="35"/>
  <c r="G192" i="35"/>
  <c r="F192" i="35"/>
  <c r="E192" i="35"/>
  <c r="D192" i="35"/>
  <c r="C192" i="35"/>
  <c r="B190" i="35"/>
  <c r="B189" i="35"/>
  <c r="B188" i="35"/>
  <c r="B187" i="35"/>
  <c r="B186" i="35"/>
  <c r="Q185" i="35"/>
  <c r="P185" i="35"/>
  <c r="O185" i="35"/>
  <c r="N185" i="35"/>
  <c r="M185" i="35"/>
  <c r="L185" i="35"/>
  <c r="K185" i="35"/>
  <c r="J185" i="35"/>
  <c r="I185" i="35"/>
  <c r="H185" i="35"/>
  <c r="G185" i="35"/>
  <c r="F185" i="35"/>
  <c r="B181" i="35"/>
  <c r="B180" i="35"/>
  <c r="B179" i="35"/>
  <c r="B178" i="35"/>
  <c r="B177" i="35"/>
  <c r="Q176" i="35"/>
  <c r="P176" i="35"/>
  <c r="O176" i="35"/>
  <c r="N176" i="35"/>
  <c r="M176" i="35"/>
  <c r="L176" i="35"/>
  <c r="K176" i="35"/>
  <c r="J176" i="35"/>
  <c r="I176" i="35"/>
  <c r="H176" i="35"/>
  <c r="G176" i="35"/>
  <c r="F176" i="35"/>
  <c r="E176" i="35"/>
  <c r="D176" i="35"/>
  <c r="C176" i="35"/>
  <c r="B174" i="35"/>
  <c r="B173" i="35"/>
  <c r="B172" i="35"/>
  <c r="B171" i="35"/>
  <c r="B170" i="35"/>
  <c r="Q169" i="35"/>
  <c r="P169" i="35"/>
  <c r="O169" i="35"/>
  <c r="N169" i="35"/>
  <c r="M169" i="35"/>
  <c r="L169" i="35"/>
  <c r="K169" i="35"/>
  <c r="J169" i="35"/>
  <c r="I169" i="35"/>
  <c r="H169" i="35"/>
  <c r="G169" i="35"/>
  <c r="F169" i="35"/>
  <c r="E169" i="35"/>
  <c r="D169" i="35"/>
  <c r="C169" i="35"/>
  <c r="B167" i="35"/>
  <c r="B166" i="35"/>
  <c r="B165" i="35"/>
  <c r="B164" i="35"/>
  <c r="B163" i="35"/>
  <c r="Q162" i="35"/>
  <c r="P162" i="35"/>
  <c r="O162" i="35"/>
  <c r="N162" i="35"/>
  <c r="M162" i="35"/>
  <c r="L162" i="35"/>
  <c r="K162" i="35"/>
  <c r="J162" i="35"/>
  <c r="I162" i="35"/>
  <c r="H162" i="35"/>
  <c r="G162" i="35"/>
  <c r="F162" i="35"/>
  <c r="E162" i="35"/>
  <c r="D162" i="35"/>
  <c r="C162" i="35"/>
  <c r="B160" i="35"/>
  <c r="B159" i="35"/>
  <c r="B158" i="35"/>
  <c r="B157" i="35"/>
  <c r="B156" i="35"/>
  <c r="Q155" i="35"/>
  <c r="P155" i="35"/>
  <c r="O155" i="35"/>
  <c r="N155" i="35"/>
  <c r="M155" i="35"/>
  <c r="L155" i="35"/>
  <c r="K155" i="35"/>
  <c r="J155" i="35"/>
  <c r="I155" i="35"/>
  <c r="H155" i="35"/>
  <c r="G155" i="35"/>
  <c r="F155" i="35"/>
  <c r="E155" i="35"/>
  <c r="D155" i="35"/>
  <c r="C155" i="35"/>
  <c r="B153" i="35"/>
  <c r="B152" i="35"/>
  <c r="B151" i="35"/>
  <c r="B150" i="35"/>
  <c r="B149" i="35"/>
  <c r="Q148" i="35"/>
  <c r="P148" i="35"/>
  <c r="O148" i="35"/>
  <c r="N148" i="35"/>
  <c r="M148" i="35"/>
  <c r="L148" i="35"/>
  <c r="K148" i="35"/>
  <c r="J148" i="35"/>
  <c r="I148" i="35"/>
  <c r="H148" i="35"/>
  <c r="G148" i="35"/>
  <c r="F148" i="35"/>
  <c r="E148" i="35"/>
  <c r="D148" i="35"/>
  <c r="C148" i="35"/>
  <c r="B146" i="35"/>
  <c r="B145" i="35"/>
  <c r="B144" i="35"/>
  <c r="B143" i="35"/>
  <c r="B142" i="35"/>
  <c r="Q141" i="35"/>
  <c r="P141" i="35"/>
  <c r="O141" i="35"/>
  <c r="N141" i="35"/>
  <c r="M141" i="35"/>
  <c r="L141" i="35"/>
  <c r="K141" i="35"/>
  <c r="J141" i="35"/>
  <c r="I141" i="35"/>
  <c r="H141" i="35"/>
  <c r="G141" i="35"/>
  <c r="F141" i="35"/>
  <c r="E141" i="35"/>
  <c r="D141" i="35"/>
  <c r="C141" i="35"/>
  <c r="B139" i="35"/>
  <c r="B138" i="35"/>
  <c r="B137" i="35"/>
  <c r="B136" i="35"/>
  <c r="B135" i="35"/>
  <c r="Q134" i="35"/>
  <c r="P134" i="35"/>
  <c r="O134" i="35"/>
  <c r="N134" i="35"/>
  <c r="M134" i="35"/>
  <c r="L134" i="35"/>
  <c r="K134" i="35"/>
  <c r="J134" i="35"/>
  <c r="I134" i="35"/>
  <c r="H134" i="35"/>
  <c r="G134" i="35"/>
  <c r="F134" i="35"/>
  <c r="E134" i="35"/>
  <c r="D134" i="35"/>
  <c r="C134" i="35"/>
  <c r="Q127" i="35"/>
  <c r="P127" i="35"/>
  <c r="O127" i="35"/>
  <c r="N127" i="35"/>
  <c r="M127" i="35"/>
  <c r="L127" i="35"/>
  <c r="K127" i="35"/>
  <c r="J127" i="35"/>
  <c r="I127" i="35"/>
  <c r="H127" i="35"/>
  <c r="G127" i="35"/>
  <c r="F127" i="35"/>
  <c r="C20" i="36" l="1"/>
  <c r="M88" i="35"/>
  <c r="M89" i="35"/>
  <c r="M90" i="35"/>
  <c r="M87" i="35"/>
  <c r="C19" i="35"/>
  <c r="H89" i="35" s="1"/>
  <c r="M94" i="35"/>
  <c r="I87" i="35"/>
  <c r="B67" i="36"/>
  <c r="K94" i="35"/>
  <c r="M93" i="35"/>
  <c r="I93" i="35"/>
  <c r="K92" i="35"/>
  <c r="M91" i="35"/>
  <c r="K90" i="35"/>
  <c r="J94" i="35"/>
  <c r="L93" i="35"/>
  <c r="J92" i="35"/>
  <c r="L91" i="35"/>
  <c r="J90" i="35"/>
  <c r="L89" i="35"/>
  <c r="J88" i="35"/>
  <c r="L87" i="35"/>
  <c r="I90" i="35"/>
  <c r="K89" i="35"/>
  <c r="I94" i="35"/>
  <c r="K93" i="35"/>
  <c r="M92" i="35"/>
  <c r="I92" i="35"/>
  <c r="K91" i="35"/>
  <c r="I88" i="35"/>
  <c r="K87" i="35"/>
  <c r="L94" i="35"/>
  <c r="J93" i="35"/>
  <c r="L92" i="35"/>
  <c r="J91" i="35"/>
  <c r="L90" i="35"/>
  <c r="J89" i="35"/>
  <c r="L88" i="35"/>
  <c r="J87" i="35"/>
  <c r="I91" i="35"/>
  <c r="I89" i="35"/>
  <c r="K88" i="35"/>
  <c r="D16" i="35"/>
  <c r="K248" i="35" s="1"/>
  <c r="F47" i="36"/>
  <c r="I47" i="36"/>
  <c r="H47" i="36"/>
  <c r="G47" i="36"/>
  <c r="C26" i="36"/>
  <c r="D81" i="36"/>
  <c r="D63" i="36"/>
  <c r="D72" i="36"/>
  <c r="C73" i="36"/>
  <c r="C82" i="36"/>
  <c r="D83" i="36"/>
  <c r="D74" i="36"/>
  <c r="C64" i="36"/>
  <c r="D65" i="36"/>
  <c r="F100" i="36"/>
  <c r="D100" i="36"/>
  <c r="B81" i="36"/>
  <c r="B72" i="36"/>
  <c r="B83" i="36"/>
  <c r="B74" i="36"/>
  <c r="B65" i="36"/>
  <c r="C75" i="36"/>
  <c r="C84" i="36"/>
  <c r="C71" i="36"/>
  <c r="C80" i="36"/>
  <c r="C62" i="36"/>
  <c r="C72" i="36"/>
  <c r="C81" i="36"/>
  <c r="C63" i="36"/>
  <c r="C74" i="36"/>
  <c r="C83" i="36"/>
  <c r="D85" i="36"/>
  <c r="D67" i="36"/>
  <c r="D76" i="36"/>
  <c r="B63" i="36"/>
  <c r="C67" i="36"/>
  <c r="C85" i="36"/>
  <c r="B76" i="36"/>
  <c r="CG74" i="26"/>
  <c r="CS74" i="26"/>
  <c r="DC74" i="26"/>
  <c r="DM74" i="26"/>
  <c r="EE52" i="26"/>
  <c r="EE32" i="26"/>
  <c r="BP74" i="26"/>
  <c r="BF74" i="26"/>
  <c r="AV74" i="26"/>
  <c r="AE74" i="26"/>
  <c r="CC32" i="26"/>
  <c r="CC52" i="26"/>
  <c r="H92" i="35" l="1"/>
  <c r="G92" i="35"/>
  <c r="G89" i="35"/>
  <c r="D19" i="35"/>
  <c r="E249" i="35" s="1"/>
  <c r="G93" i="35"/>
  <c r="D88" i="35"/>
  <c r="D92" i="35"/>
  <c r="F90" i="35"/>
  <c r="F89" i="35"/>
  <c r="F93" i="35"/>
  <c r="G90" i="35"/>
  <c r="D90" i="35"/>
  <c r="E92" i="35"/>
  <c r="D93" i="35"/>
  <c r="G91" i="35"/>
  <c r="G87" i="35"/>
  <c r="D94" i="35"/>
  <c r="F87" i="35"/>
  <c r="F91" i="35"/>
  <c r="D91" i="35"/>
  <c r="H91" i="35"/>
  <c r="F88" i="35"/>
  <c r="E88" i="35"/>
  <c r="E87" i="35"/>
  <c r="H93" i="35"/>
  <c r="E91" i="35"/>
  <c r="F94" i="35"/>
  <c r="E90" i="35"/>
  <c r="E94" i="35"/>
  <c r="F92" i="35"/>
  <c r="G88" i="35"/>
  <c r="D89" i="35"/>
  <c r="E89" i="35"/>
  <c r="G94" i="35"/>
  <c r="H87" i="35"/>
  <c r="H88" i="35"/>
  <c r="H90" i="35"/>
  <c r="E93" i="35"/>
  <c r="AZ100" i="35"/>
  <c r="AF100" i="35"/>
  <c r="BJ114" i="35"/>
  <c r="AP114" i="35"/>
  <c r="V114" i="35"/>
  <c r="BJ100" i="35"/>
  <c r="AP100" i="35"/>
  <c r="V100" i="35"/>
  <c r="AZ114" i="35"/>
  <c r="AF114" i="35"/>
  <c r="BL99" i="35"/>
  <c r="AR99" i="35"/>
  <c r="X99" i="35"/>
  <c r="BB113" i="35"/>
  <c r="AH113" i="35"/>
  <c r="BB99" i="35"/>
  <c r="AH99" i="35"/>
  <c r="BL113" i="35"/>
  <c r="AR113" i="35"/>
  <c r="X113" i="35"/>
  <c r="B55" i="36"/>
  <c r="B82" i="36" s="1"/>
  <c r="T119" i="35"/>
  <c r="T105" i="35"/>
  <c r="B53" i="36"/>
  <c r="B80" i="36" s="1"/>
  <c r="T117" i="35"/>
  <c r="T103" i="35"/>
  <c r="B57" i="36"/>
  <c r="B84" i="36" s="1"/>
  <c r="T121" i="35"/>
  <c r="T107" i="35"/>
  <c r="B77" i="36"/>
  <c r="BC114" i="35"/>
  <c r="AI114" i="35"/>
  <c r="BC100" i="35"/>
  <c r="AI100" i="35"/>
  <c r="BM114" i="35"/>
  <c r="AS114" i="35"/>
  <c r="Y114" i="35"/>
  <c r="BM100" i="35"/>
  <c r="AS100" i="35"/>
  <c r="Y100" i="35"/>
  <c r="B51" i="36"/>
  <c r="B69" i="36" s="1"/>
  <c r="T101" i="35"/>
  <c r="T115" i="35"/>
  <c r="E51" i="36"/>
  <c r="E87" i="36" s="1"/>
  <c r="U119" i="35"/>
  <c r="U103" i="35"/>
  <c r="U121" i="35"/>
  <c r="U105" i="35"/>
  <c r="U115" i="35"/>
  <c r="U107" i="35"/>
  <c r="U117" i="35"/>
  <c r="U101" i="35"/>
  <c r="E52" i="36"/>
  <c r="E61" i="36" s="1"/>
  <c r="U118" i="35"/>
  <c r="U102" i="35"/>
  <c r="U120" i="35"/>
  <c r="U104" i="35"/>
  <c r="U122" i="35"/>
  <c r="U106" i="35"/>
  <c r="U116" i="35"/>
  <c r="U108" i="35"/>
  <c r="B59" i="36"/>
  <c r="BK114" i="35"/>
  <c r="AQ114" i="35"/>
  <c r="W114" i="35"/>
  <c r="BK100" i="35"/>
  <c r="AQ100" i="35"/>
  <c r="W100" i="35"/>
  <c r="BA114" i="35"/>
  <c r="AG114" i="35"/>
  <c r="BA100" i="35"/>
  <c r="AG100" i="35"/>
  <c r="B86" i="36"/>
  <c r="BS114" i="35"/>
  <c r="AY114" i="35"/>
  <c r="AE114" i="35"/>
  <c r="BD100" i="35"/>
  <c r="AJ100" i="35"/>
  <c r="BN114" i="35"/>
  <c r="AT114" i="35"/>
  <c r="Z114" i="35"/>
  <c r="BS100" i="35"/>
  <c r="AY100" i="35"/>
  <c r="AE100" i="35"/>
  <c r="BI114" i="35"/>
  <c r="AO114" i="35"/>
  <c r="BN100" i="35"/>
  <c r="AT100" i="35"/>
  <c r="Z100" i="35"/>
  <c r="BD114" i="35"/>
  <c r="AJ114" i="35"/>
  <c r="BI100" i="35"/>
  <c r="AO100" i="35"/>
  <c r="M113" i="35"/>
  <c r="M99" i="35"/>
  <c r="BG113" i="35"/>
  <c r="AM113" i="35"/>
  <c r="BG99" i="35"/>
  <c r="AM99" i="35"/>
  <c r="BQ113" i="35"/>
  <c r="AW113" i="35"/>
  <c r="AC113" i="35"/>
  <c r="BQ99" i="35"/>
  <c r="AW99" i="35"/>
  <c r="AC99" i="35"/>
  <c r="K112" i="35"/>
  <c r="K98" i="35"/>
  <c r="B68" i="36"/>
  <c r="BL100" i="35"/>
  <c r="AR100" i="35"/>
  <c r="X100" i="35"/>
  <c r="BB114" i="35"/>
  <c r="AH114" i="35"/>
  <c r="BB100" i="35"/>
  <c r="AH100" i="35"/>
  <c r="BL114" i="35"/>
  <c r="AR114" i="35"/>
  <c r="X114" i="35"/>
  <c r="H94" i="35"/>
  <c r="D87" i="35"/>
  <c r="L248" i="35"/>
  <c r="I249" i="35"/>
  <c r="J249" i="35"/>
  <c r="M248" i="35"/>
  <c r="M249" i="35"/>
  <c r="I248" i="35"/>
  <c r="K249" i="35"/>
  <c r="K246" i="35" s="1"/>
  <c r="J248" i="35"/>
  <c r="L249" i="35"/>
  <c r="M69" i="36"/>
  <c r="O21" i="36"/>
  <c r="BJ21" i="36"/>
  <c r="F101" i="36"/>
  <c r="D101" i="36"/>
  <c r="BO69" i="36"/>
  <c r="DL21" i="36"/>
  <c r="BQ21" i="36"/>
  <c r="M244" i="35"/>
  <c r="H244" i="35"/>
  <c r="K265" i="35"/>
  <c r="K251" i="35"/>
  <c r="O183" i="35"/>
  <c r="H113" i="35"/>
  <c r="M85" i="35"/>
  <c r="H85" i="35"/>
  <c r="O125" i="35"/>
  <c r="H99" i="35"/>
  <c r="R85" i="35"/>
  <c r="H48" i="35"/>
  <c r="M71" i="35"/>
  <c r="H71" i="35"/>
  <c r="M48" i="35"/>
  <c r="B121" i="35"/>
  <c r="B93" i="35"/>
  <c r="B107" i="35"/>
  <c r="B65" i="35"/>
  <c r="B56" i="35"/>
  <c r="B41" i="35"/>
  <c r="B79" i="35"/>
  <c r="B251" i="35"/>
  <c r="F243" i="35"/>
  <c r="F112" i="35"/>
  <c r="F98" i="35"/>
  <c r="B125" i="35"/>
  <c r="F84" i="35"/>
  <c r="F70" i="35"/>
  <c r="F47" i="35"/>
  <c r="B117" i="35"/>
  <c r="B103" i="35"/>
  <c r="B89" i="35"/>
  <c r="B37" i="35"/>
  <c r="B75" i="35"/>
  <c r="B61" i="35"/>
  <c r="B52" i="35"/>
  <c r="E244" i="35"/>
  <c r="E265" i="35"/>
  <c r="E251" i="35"/>
  <c r="F183" i="35"/>
  <c r="E113" i="35"/>
  <c r="E85" i="35"/>
  <c r="F125" i="35"/>
  <c r="E99" i="35"/>
  <c r="E71" i="35"/>
  <c r="E48" i="35"/>
  <c r="D244" i="35"/>
  <c r="C265" i="35"/>
  <c r="C251" i="35"/>
  <c r="C183" i="35"/>
  <c r="D85" i="35"/>
  <c r="C125" i="35"/>
  <c r="D113" i="35"/>
  <c r="D99" i="35"/>
  <c r="D48" i="35"/>
  <c r="D71" i="35"/>
  <c r="C119" i="35"/>
  <c r="C103" i="35"/>
  <c r="C93" i="35"/>
  <c r="C87" i="35"/>
  <c r="C77" i="35"/>
  <c r="C117" i="35"/>
  <c r="C107" i="35"/>
  <c r="C101" i="35"/>
  <c r="C89" i="35"/>
  <c r="C79" i="35"/>
  <c r="C121" i="35"/>
  <c r="C115" i="35"/>
  <c r="C105" i="35"/>
  <c r="C91" i="35"/>
  <c r="C73" i="35"/>
  <c r="C65" i="35"/>
  <c r="C56" i="35"/>
  <c r="C39" i="35"/>
  <c r="C75" i="35"/>
  <c r="C59" i="35"/>
  <c r="C50" i="35"/>
  <c r="C41" i="35"/>
  <c r="C61" i="35"/>
  <c r="C52" i="35"/>
  <c r="C63" i="35"/>
  <c r="C54" i="35"/>
  <c r="E55" i="36"/>
  <c r="C37" i="35"/>
  <c r="C35" i="35"/>
  <c r="C118" i="35"/>
  <c r="C102" i="35"/>
  <c r="C120" i="35"/>
  <c r="C104" i="35"/>
  <c r="C92" i="35"/>
  <c r="C94" i="35"/>
  <c r="C108" i="35"/>
  <c r="C88" i="35"/>
  <c r="C78" i="35"/>
  <c r="C122" i="35"/>
  <c r="C116" i="35"/>
  <c r="C106" i="35"/>
  <c r="C90" i="35"/>
  <c r="C80" i="35"/>
  <c r="C64" i="35"/>
  <c r="C55" i="35"/>
  <c r="C38" i="35"/>
  <c r="C74" i="35"/>
  <c r="C66" i="35"/>
  <c r="C57" i="35"/>
  <c r="C40" i="35"/>
  <c r="C76" i="35"/>
  <c r="C60" i="35"/>
  <c r="C51" i="35"/>
  <c r="C42" i="35"/>
  <c r="C62" i="35"/>
  <c r="C53" i="35"/>
  <c r="C36" i="35"/>
  <c r="E56" i="36"/>
  <c r="G244" i="35"/>
  <c r="I265" i="35"/>
  <c r="I251" i="35"/>
  <c r="L183" i="35"/>
  <c r="L125" i="35"/>
  <c r="G99" i="35"/>
  <c r="G113" i="35"/>
  <c r="G85" i="35"/>
  <c r="G71" i="35"/>
  <c r="G48" i="35"/>
  <c r="B101" i="35"/>
  <c r="B115" i="35"/>
  <c r="C126" i="35"/>
  <c r="B87" i="35"/>
  <c r="C133" i="35"/>
  <c r="B73" i="35"/>
  <c r="B59" i="35"/>
  <c r="B50" i="35"/>
  <c r="B35" i="35"/>
  <c r="B105" i="35"/>
  <c r="B91" i="35"/>
  <c r="B119" i="35"/>
  <c r="B77" i="35"/>
  <c r="B63" i="35"/>
  <c r="B54" i="35"/>
  <c r="B39" i="35"/>
  <c r="K243" i="35"/>
  <c r="B265" i="35"/>
  <c r="B183" i="35"/>
  <c r="K84" i="35"/>
  <c r="K70" i="35"/>
  <c r="K47" i="35"/>
  <c r="G265" i="35"/>
  <c r="G251" i="35"/>
  <c r="I183" i="35"/>
  <c r="I125" i="35"/>
  <c r="F244" i="35"/>
  <c r="F99" i="35"/>
  <c r="F113" i="35"/>
  <c r="F85" i="35"/>
  <c r="F71" i="35"/>
  <c r="F48" i="35"/>
  <c r="O41" i="4"/>
  <c r="O28" i="4"/>
  <c r="H249" i="35" l="1"/>
  <c r="D248" i="35"/>
  <c r="D246" i="35" s="1"/>
  <c r="G248" i="35"/>
  <c r="G246" i="35" s="1"/>
  <c r="D249" i="35"/>
  <c r="G249" i="35"/>
  <c r="E248" i="35"/>
  <c r="E246" i="35" s="1"/>
  <c r="H248" i="35"/>
  <c r="H246" i="35" s="1"/>
  <c r="F248" i="35"/>
  <c r="F246" i="35" s="1"/>
  <c r="F249" i="35"/>
  <c r="B64" i="36"/>
  <c r="B87" i="36"/>
  <c r="AA29" i="36" s="1"/>
  <c r="CW29" i="36" s="1"/>
  <c r="B78" i="36"/>
  <c r="B60" i="36"/>
  <c r="BX40" i="36" s="1"/>
  <c r="BE29" i="36"/>
  <c r="BS29" i="36" s="1"/>
  <c r="E88" i="36"/>
  <c r="B91" i="36"/>
  <c r="B73" i="36"/>
  <c r="AZ29" i="36"/>
  <c r="BX29" i="36" s="1"/>
  <c r="E79" i="36"/>
  <c r="J246" i="35"/>
  <c r="E70" i="36"/>
  <c r="AP29" i="36" s="1"/>
  <c r="CH29" i="36" s="1"/>
  <c r="L246" i="35"/>
  <c r="M246" i="35"/>
  <c r="I246" i="35"/>
  <c r="B75" i="36"/>
  <c r="B93" i="36"/>
  <c r="B66" i="36"/>
  <c r="B71" i="36"/>
  <c r="BO114" i="35"/>
  <c r="AU114" i="35"/>
  <c r="AA114" i="35"/>
  <c r="BO100" i="35"/>
  <c r="AU100" i="35"/>
  <c r="AA100" i="35"/>
  <c r="BE114" i="35"/>
  <c r="AK114" i="35"/>
  <c r="BE100" i="35"/>
  <c r="AK100" i="35"/>
  <c r="I113" i="35"/>
  <c r="I99" i="35"/>
  <c r="BG114" i="35"/>
  <c r="AM114" i="35"/>
  <c r="BG100" i="35"/>
  <c r="AM100" i="35"/>
  <c r="BQ114" i="35"/>
  <c r="AW114" i="35"/>
  <c r="AC114" i="35"/>
  <c r="BQ100" i="35"/>
  <c r="AW100" i="35"/>
  <c r="AC100" i="35"/>
  <c r="K99" i="35"/>
  <c r="K113" i="35"/>
  <c r="B62" i="36"/>
  <c r="BH100" i="35"/>
  <c r="AN100" i="35"/>
  <c r="BR114" i="35"/>
  <c r="AX114" i="35"/>
  <c r="AD114" i="35"/>
  <c r="BR100" i="35"/>
  <c r="AX100" i="35"/>
  <c r="AD100" i="35"/>
  <c r="BH114" i="35"/>
  <c r="AN114" i="35"/>
  <c r="L99" i="35"/>
  <c r="L113" i="35"/>
  <c r="BP100" i="35"/>
  <c r="AV100" i="35"/>
  <c r="AB100" i="35"/>
  <c r="BF114" i="35"/>
  <c r="AL114" i="35"/>
  <c r="BF100" i="35"/>
  <c r="AL100" i="35"/>
  <c r="BP114" i="35"/>
  <c r="AV114" i="35"/>
  <c r="AB114" i="35"/>
  <c r="J113" i="35"/>
  <c r="J99" i="35"/>
  <c r="B89" i="36"/>
  <c r="E78" i="36"/>
  <c r="E69" i="36"/>
  <c r="AU29" i="36" s="1"/>
  <c r="CC29" i="36" s="1"/>
  <c r="E60" i="36"/>
  <c r="BS40" i="36" s="1"/>
  <c r="C161" i="35"/>
  <c r="L219" i="35" s="1"/>
  <c r="C154" i="35"/>
  <c r="C212" i="35" s="1"/>
  <c r="E83" i="36"/>
  <c r="E74" i="36"/>
  <c r="E65" i="36"/>
  <c r="E92" i="36"/>
  <c r="C147" i="35"/>
  <c r="I147" i="35" s="1"/>
  <c r="E54" i="36"/>
  <c r="C175" i="35"/>
  <c r="C233" i="35" s="1"/>
  <c r="E58" i="36"/>
  <c r="C140" i="35"/>
  <c r="L198" i="35" s="1"/>
  <c r="E53" i="36"/>
  <c r="E91" i="36"/>
  <c r="E73" i="36"/>
  <c r="E82" i="36"/>
  <c r="E64" i="36"/>
  <c r="C168" i="35"/>
  <c r="C226" i="35" s="1"/>
  <c r="E57" i="36"/>
  <c r="F184" i="35"/>
  <c r="O184" i="35"/>
  <c r="C184" i="35"/>
  <c r="L184" i="35"/>
  <c r="F126" i="35"/>
  <c r="I184" i="35"/>
  <c r="L126" i="35"/>
  <c r="I126" i="35"/>
  <c r="O126" i="35"/>
  <c r="K244" i="35"/>
  <c r="P85" i="35"/>
  <c r="K85" i="35"/>
  <c r="K71" i="35"/>
  <c r="K48" i="35"/>
  <c r="O191" i="35"/>
  <c r="C191" i="35"/>
  <c r="L191" i="35"/>
  <c r="I191" i="35"/>
  <c r="F133" i="35"/>
  <c r="F191" i="35"/>
  <c r="O133" i="35"/>
  <c r="L133" i="35"/>
  <c r="I133" i="35"/>
  <c r="I244" i="35"/>
  <c r="I85" i="35"/>
  <c r="N85" i="35"/>
  <c r="I71" i="35"/>
  <c r="I48" i="35"/>
  <c r="L244" i="35"/>
  <c r="Q85" i="35"/>
  <c r="L85" i="35"/>
  <c r="L48" i="35"/>
  <c r="L71" i="35"/>
  <c r="J244" i="35"/>
  <c r="O85" i="35"/>
  <c r="J85" i="35"/>
  <c r="J71" i="35"/>
  <c r="J48" i="35"/>
  <c r="AF29" i="36" l="1"/>
  <c r="CR29" i="36" s="1"/>
  <c r="V29" i="36"/>
  <c r="DB29" i="36" s="1"/>
  <c r="AK29" i="36"/>
  <c r="CM29" i="36" s="1"/>
  <c r="F140" i="35"/>
  <c r="C198" i="35"/>
  <c r="O198" i="35"/>
  <c r="F205" i="35"/>
  <c r="L140" i="35"/>
  <c r="I198" i="35"/>
  <c r="F147" i="35"/>
  <c r="F212" i="35"/>
  <c r="L205" i="35"/>
  <c r="C205" i="35"/>
  <c r="I154" i="35"/>
  <c r="O226" i="35"/>
  <c r="L212" i="35"/>
  <c r="O175" i="35"/>
  <c r="O212" i="35"/>
  <c r="F233" i="35"/>
  <c r="I175" i="35"/>
  <c r="O168" i="35"/>
  <c r="L233" i="35"/>
  <c r="F226" i="35"/>
  <c r="O233" i="35"/>
  <c r="O154" i="35"/>
  <c r="I168" i="35"/>
  <c r="L226" i="35"/>
  <c r="F168" i="35"/>
  <c r="L168" i="35"/>
  <c r="I226" i="35"/>
  <c r="F219" i="35"/>
  <c r="F161" i="35"/>
  <c r="L161" i="35"/>
  <c r="I219" i="35"/>
  <c r="C219" i="35"/>
  <c r="F154" i="35"/>
  <c r="L154" i="35"/>
  <c r="O140" i="35"/>
  <c r="I140" i="35"/>
  <c r="L147" i="35"/>
  <c r="I205" i="35"/>
  <c r="O205" i="35"/>
  <c r="F175" i="35"/>
  <c r="L175" i="35"/>
  <c r="O161" i="35"/>
  <c r="I161" i="35"/>
  <c r="O219" i="35"/>
  <c r="I212" i="35"/>
  <c r="F198" i="35"/>
  <c r="O147" i="35"/>
  <c r="I233" i="35"/>
  <c r="E67" i="36"/>
  <c r="AZ66" i="36" s="1"/>
  <c r="BX66" i="36" s="1"/>
  <c r="E85" i="36"/>
  <c r="AF66" i="36" s="1"/>
  <c r="CR66" i="36" s="1"/>
  <c r="E76" i="36"/>
  <c r="AP66" i="36" s="1"/>
  <c r="CH66" i="36" s="1"/>
  <c r="E94" i="36"/>
  <c r="V66" i="36" s="1"/>
  <c r="BX37" i="36"/>
  <c r="E63" i="36"/>
  <c r="AZ43" i="36" s="1"/>
  <c r="E90" i="36"/>
  <c r="V32" i="36" s="1"/>
  <c r="E81" i="36"/>
  <c r="AF32" i="36" s="1"/>
  <c r="E72" i="36"/>
  <c r="AP32" i="36" s="1"/>
  <c r="AZ32" i="36"/>
  <c r="E93" i="36"/>
  <c r="AA66" i="36" s="1"/>
  <c r="CW66" i="36" s="1"/>
  <c r="E84" i="36"/>
  <c r="AK66" i="36" s="1"/>
  <c r="CM66" i="36" s="1"/>
  <c r="BS37" i="36"/>
  <c r="E75" i="36"/>
  <c r="AU66" i="36" s="1"/>
  <c r="CC66" i="36" s="1"/>
  <c r="E66" i="36"/>
  <c r="BE66" i="36" s="1"/>
  <c r="BS66" i="36" s="1"/>
  <c r="E62" i="36"/>
  <c r="BE43" i="36" s="1"/>
  <c r="E80" i="36"/>
  <c r="AK32" i="36" s="1"/>
  <c r="E89" i="36"/>
  <c r="AA32" i="36" s="1"/>
  <c r="E71" i="36"/>
  <c r="AU32" i="36" s="1"/>
  <c r="BE32" i="36"/>
  <c r="Q29" i="36" l="1"/>
  <c r="DG29" i="36" s="1"/>
  <c r="AF49" i="36"/>
  <c r="CR49" i="36" s="1"/>
  <c r="CR32" i="36"/>
  <c r="AF51" i="36"/>
  <c r="CR51" i="36" s="1"/>
  <c r="AF43" i="36"/>
  <c r="CR43" i="36" s="1"/>
  <c r="AF54" i="36"/>
  <c r="CR54" i="36" s="1"/>
  <c r="AF46" i="36"/>
  <c r="CR46" i="36" s="1"/>
  <c r="AF57" i="36"/>
  <c r="CR57" i="36" s="1"/>
  <c r="AF37" i="36"/>
  <c r="CR37" i="36" s="1"/>
  <c r="AF40" i="36"/>
  <c r="CR40" i="36" s="1"/>
  <c r="AF60" i="36"/>
  <c r="CR60" i="36" s="1"/>
  <c r="AF34" i="36"/>
  <c r="CR34" i="36" s="1"/>
  <c r="AF63" i="36"/>
  <c r="CR63" i="36" s="1"/>
  <c r="DB66" i="36"/>
  <c r="Q66" i="36"/>
  <c r="DG66" i="36" s="1"/>
  <c r="V51" i="36"/>
  <c r="V37" i="36"/>
  <c r="V57" i="36"/>
  <c r="DB57" i="36" s="1"/>
  <c r="V63" i="36"/>
  <c r="DB63" i="36" s="1"/>
  <c r="V46" i="36"/>
  <c r="V34" i="36"/>
  <c r="Q32" i="36"/>
  <c r="DG32" i="36" s="1"/>
  <c r="V54" i="36"/>
  <c r="DB54" i="36" s="1"/>
  <c r="V49" i="36"/>
  <c r="DB32" i="36"/>
  <c r="V40" i="36"/>
  <c r="V43" i="36"/>
  <c r="V60" i="36"/>
  <c r="DB60" i="36" s="1"/>
  <c r="AZ34" i="36"/>
  <c r="BX34" i="36" s="1"/>
  <c r="BX32" i="36"/>
  <c r="AZ63" i="36"/>
  <c r="BX63" i="36" s="1"/>
  <c r="AZ46" i="36"/>
  <c r="BX46" i="36" s="1"/>
  <c r="AZ57" i="36"/>
  <c r="BX57" i="36" s="1"/>
  <c r="BX43" i="36"/>
  <c r="AZ60" i="36"/>
  <c r="BX60" i="36" s="1"/>
  <c r="AZ54" i="36"/>
  <c r="BX54" i="36" s="1"/>
  <c r="AZ49" i="36"/>
  <c r="BX49" i="36" s="1"/>
  <c r="AZ51" i="36"/>
  <c r="BX51" i="36" s="1"/>
  <c r="AP63" i="36"/>
  <c r="CH63" i="36" s="1"/>
  <c r="AP57" i="36"/>
  <c r="CH57" i="36" s="1"/>
  <c r="AP43" i="36"/>
  <c r="CH43" i="36" s="1"/>
  <c r="AP54" i="36"/>
  <c r="CH54" i="36" s="1"/>
  <c r="AP51" i="36"/>
  <c r="CH51" i="36" s="1"/>
  <c r="AP37" i="36"/>
  <c r="AP40" i="36"/>
  <c r="CH40" i="36" s="1"/>
  <c r="AP46" i="36"/>
  <c r="AP34" i="36"/>
  <c r="AP60" i="36"/>
  <c r="CH60" i="36" s="1"/>
  <c r="AP49" i="36"/>
  <c r="CH49" i="36" s="1"/>
  <c r="CH32" i="36"/>
  <c r="BS32" i="36"/>
  <c r="BE34" i="36"/>
  <c r="BS34" i="36" s="1"/>
  <c r="AA46" i="36"/>
  <c r="CW46" i="36" s="1"/>
  <c r="AA34" i="36"/>
  <c r="CW34" i="36" s="1"/>
  <c r="CW32" i="36"/>
  <c r="AA63" i="36"/>
  <c r="CW63" i="36" s="1"/>
  <c r="AA49" i="36"/>
  <c r="CW49" i="36" s="1"/>
  <c r="AA60" i="36"/>
  <c r="CW60" i="36" s="1"/>
  <c r="AA57" i="36"/>
  <c r="CW57" i="36" s="1"/>
  <c r="AA43" i="36"/>
  <c r="CW43" i="36" s="1"/>
  <c r="AA54" i="36"/>
  <c r="CW54" i="36" s="1"/>
  <c r="AA51" i="36"/>
  <c r="CW51" i="36" s="1"/>
  <c r="AA37" i="36"/>
  <c r="CW37" i="36" s="1"/>
  <c r="AA40" i="36"/>
  <c r="CW40" i="36" s="1"/>
  <c r="AU51" i="36"/>
  <c r="CC51" i="36" s="1"/>
  <c r="AU37" i="36"/>
  <c r="CC32" i="36"/>
  <c r="AU63" i="36"/>
  <c r="CC63" i="36" s="1"/>
  <c r="AU46" i="36"/>
  <c r="AU34" i="36"/>
  <c r="AU57" i="36"/>
  <c r="CC57" i="36" s="1"/>
  <c r="AU49" i="36"/>
  <c r="CC49" i="36" s="1"/>
  <c r="AU54" i="36"/>
  <c r="CC54" i="36" s="1"/>
  <c r="AU60" i="36"/>
  <c r="CC60" i="36" s="1"/>
  <c r="AU43" i="36"/>
  <c r="CC43" i="36" s="1"/>
  <c r="AU40" i="36"/>
  <c r="CC40" i="36" s="1"/>
  <c r="AK40" i="36"/>
  <c r="CM40" i="36" s="1"/>
  <c r="AK51" i="36"/>
  <c r="CM51" i="36" s="1"/>
  <c r="AK37" i="36"/>
  <c r="CM37" i="36" s="1"/>
  <c r="CM32" i="36"/>
  <c r="AK46" i="36"/>
  <c r="CM46" i="36" s="1"/>
  <c r="AK34" i="36"/>
  <c r="CM34" i="36" s="1"/>
  <c r="AK60" i="36"/>
  <c r="CM60" i="36" s="1"/>
  <c r="AK63" i="36"/>
  <c r="CM63" i="36" s="1"/>
  <c r="AK49" i="36"/>
  <c r="CM49" i="36" s="1"/>
  <c r="AK54" i="36"/>
  <c r="CM54" i="36" s="1"/>
  <c r="AK57" i="36"/>
  <c r="CM57" i="36" s="1"/>
  <c r="AK43" i="36"/>
  <c r="CM43" i="36" s="1"/>
  <c r="BE54" i="36"/>
  <c r="BS54" i="36" s="1"/>
  <c r="BE49" i="36"/>
  <c r="BS49" i="36" s="1"/>
  <c r="BE60" i="36"/>
  <c r="BS60" i="36" s="1"/>
  <c r="BE51" i="36"/>
  <c r="BS51" i="36" s="1"/>
  <c r="BE63" i="36"/>
  <c r="BS63" i="36" s="1"/>
  <c r="BE46" i="36"/>
  <c r="BS46" i="36" s="1"/>
  <c r="BE57" i="36"/>
  <c r="BS57" i="36" s="1"/>
  <c r="BS43" i="36"/>
  <c r="I21" i="26"/>
  <c r="DB34" i="36" l="1"/>
  <c r="Q34" i="36"/>
  <c r="DG34" i="36" s="1"/>
  <c r="DB37" i="36"/>
  <c r="Q37" i="36"/>
  <c r="DG37" i="36" s="1"/>
  <c r="CH37" i="36"/>
  <c r="CC37" i="36"/>
  <c r="DB49" i="36"/>
  <c r="Q49" i="36"/>
  <c r="DG49" i="36" s="1"/>
  <c r="DB46" i="36"/>
  <c r="Q46" i="36"/>
  <c r="DG46" i="36" s="1"/>
  <c r="Q57" i="36"/>
  <c r="DG57" i="36" s="1"/>
  <c r="Q54" i="36"/>
  <c r="DG54" i="36" s="1"/>
  <c r="Q60" i="36"/>
  <c r="DG60" i="36" s="1"/>
  <c r="DB51" i="36"/>
  <c r="Q63" i="36"/>
  <c r="DG63" i="36" s="1"/>
  <c r="Q51" i="36"/>
  <c r="DG51" i="36" s="1"/>
  <c r="CH34" i="36"/>
  <c r="CC34" i="36"/>
  <c r="DB43" i="36"/>
  <c r="Q43" i="36"/>
  <c r="DG43" i="36" s="1"/>
  <c r="CH46" i="36"/>
  <c r="CC46" i="36"/>
  <c r="DB40" i="36"/>
  <c r="Q40" i="36"/>
  <c r="DG40" i="36" s="1"/>
  <c r="G40" i="26" l="1"/>
  <c r="C27" i="28"/>
  <c r="C27" i="18"/>
  <c r="C19" i="57" l="1"/>
  <c r="C19" i="51"/>
  <c r="D88" i="57" l="1"/>
  <c r="F89" i="57"/>
  <c r="D89" i="57"/>
  <c r="E92" i="57"/>
  <c r="E87" i="57"/>
  <c r="F92" i="57"/>
  <c r="H93" i="57"/>
  <c r="H89" i="57"/>
  <c r="F94" i="57"/>
  <c r="D93" i="57"/>
  <c r="D90" i="57"/>
  <c r="E94" i="57"/>
  <c r="E91" i="57"/>
  <c r="E89" i="57"/>
  <c r="H92" i="57"/>
  <c r="D87" i="57"/>
  <c r="F90" i="57"/>
  <c r="H90" i="57"/>
  <c r="D92" i="57"/>
  <c r="F91" i="57"/>
  <c r="E88" i="57"/>
  <c r="G88" i="57"/>
  <c r="D94" i="57"/>
  <c r="D19" i="57"/>
  <c r="G91" i="57"/>
  <c r="E90" i="57"/>
  <c r="G94" i="57"/>
  <c r="F87" i="57"/>
  <c r="F93" i="57"/>
  <c r="E93" i="57"/>
  <c r="F88" i="57"/>
  <c r="G87" i="57"/>
  <c r="H91" i="57"/>
  <c r="G92" i="57"/>
  <c r="G89" i="57"/>
  <c r="D91" i="57"/>
  <c r="G90" i="57"/>
  <c r="G93" i="57"/>
  <c r="H94" i="57"/>
  <c r="H87" i="57"/>
  <c r="H88" i="57"/>
  <c r="H58" i="51"/>
  <c r="F56" i="51"/>
  <c r="G57" i="51"/>
  <c r="H55" i="51"/>
  <c r="E55" i="51"/>
  <c r="G59" i="51"/>
  <c r="G56" i="51"/>
  <c r="F57" i="51"/>
  <c r="H59" i="51"/>
  <c r="E58" i="51"/>
  <c r="F55" i="51"/>
  <c r="H57" i="51"/>
  <c r="F58" i="51"/>
  <c r="G55" i="51"/>
  <c r="F61" i="51"/>
  <c r="G58" i="51"/>
  <c r="D55" i="51"/>
  <c r="E56" i="51"/>
  <c r="D59" i="51"/>
  <c r="F60" i="51"/>
  <c r="G61" i="51"/>
  <c r="F62" i="51"/>
  <c r="D58" i="51"/>
  <c r="H62" i="51"/>
  <c r="D61" i="51"/>
  <c r="H61" i="51"/>
  <c r="E62" i="51"/>
  <c r="E59" i="51"/>
  <c r="D62" i="51"/>
  <c r="E61" i="51"/>
  <c r="D60" i="51"/>
  <c r="F59" i="51"/>
  <c r="E60" i="51"/>
  <c r="G60" i="51"/>
  <c r="D56" i="51"/>
  <c r="G62" i="51"/>
  <c r="D19" i="51"/>
  <c r="D57" i="51"/>
  <c r="H60" i="51"/>
  <c r="H56" i="51"/>
  <c r="E57" i="51"/>
  <c r="H249" i="57" l="1"/>
  <c r="E248" i="57"/>
  <c r="D249" i="57"/>
  <c r="D248" i="57"/>
  <c r="E249" i="57"/>
  <c r="F248" i="57"/>
  <c r="F249" i="57"/>
  <c r="G248" i="57"/>
  <c r="G249" i="57"/>
  <c r="H248" i="57"/>
  <c r="H217" i="51"/>
  <c r="E216" i="51"/>
  <c r="D217" i="51"/>
  <c r="D216" i="51"/>
  <c r="E217" i="51"/>
  <c r="F216" i="51"/>
  <c r="F217" i="51"/>
  <c r="G216" i="51"/>
  <c r="G217" i="51"/>
  <c r="H216" i="51"/>
  <c r="M51" i="4"/>
  <c r="D246" i="57" l="1"/>
  <c r="H214" i="51"/>
  <c r="G214" i="51"/>
  <c r="F246" i="57"/>
  <c r="E214" i="51"/>
  <c r="D214" i="51"/>
  <c r="H246" i="57"/>
  <c r="G246" i="57"/>
  <c r="F214" i="51"/>
  <c r="E246" i="57"/>
  <c r="E51" i="4"/>
  <c r="O49" i="4"/>
  <c r="B3" i="26" l="1"/>
  <c r="F9" i="26" l="1"/>
  <c r="CE69" i="26" l="1"/>
  <c r="CG21" i="26"/>
  <c r="EB21" i="26"/>
  <c r="J196" i="26" l="1"/>
  <c r="I196" i="26" l="1"/>
  <c r="H196" i="26"/>
  <c r="F196" i="26"/>
  <c r="C13" i="28" l="1"/>
  <c r="F12" i="28"/>
  <c r="C12" i="28"/>
  <c r="F11" i="28"/>
  <c r="C11" i="28"/>
  <c r="C10" i="28"/>
  <c r="F39" i="28" l="1"/>
  <c r="G39" i="28" s="1"/>
  <c r="D26" i="28"/>
  <c r="C25" i="28"/>
  <c r="F38" i="28" l="1"/>
  <c r="G38" i="28" s="1"/>
  <c r="F37" i="28"/>
  <c r="G37" i="28" s="1"/>
  <c r="C19" i="28" s="1"/>
  <c r="E104" i="36" s="1"/>
  <c r="F19" i="28" l="1"/>
  <c r="J19" i="28" s="1"/>
  <c r="E196" i="26"/>
  <c r="F197" i="26" l="1"/>
  <c r="D197" i="26"/>
  <c r="C197" i="26"/>
  <c r="D196" i="26"/>
  <c r="C196" i="26"/>
  <c r="C31" i="26"/>
  <c r="D192" i="26" s="1"/>
  <c r="F21" i="26"/>
  <c r="C12" i="26"/>
  <c r="F11" i="26"/>
  <c r="C11" i="26"/>
  <c r="F10" i="26"/>
  <c r="C10" i="26"/>
  <c r="C9" i="26"/>
  <c r="B2" i="26"/>
  <c r="U47" i="26" l="1"/>
  <c r="Z47" i="26"/>
  <c r="R47" i="26"/>
  <c r="O47" i="26"/>
  <c r="AA47" i="26"/>
  <c r="S47" i="26"/>
  <c r="X47" i="26"/>
  <c r="P47" i="26"/>
  <c r="Y47" i="26"/>
  <c r="Q47" i="26"/>
  <c r="V47" i="26"/>
  <c r="N47" i="26"/>
  <c r="W47" i="26"/>
  <c r="T47" i="26"/>
  <c r="V99" i="26"/>
  <c r="X99" i="26"/>
  <c r="Y99" i="26"/>
  <c r="W99" i="26"/>
  <c r="AA99" i="26"/>
  <c r="O99" i="26"/>
  <c r="R99" i="26"/>
  <c r="Z99" i="26"/>
  <c r="Q99" i="26"/>
  <c r="U99" i="26"/>
  <c r="P99" i="26"/>
  <c r="S99" i="26"/>
  <c r="T99" i="26"/>
  <c r="N99" i="26"/>
  <c r="C19" i="26"/>
  <c r="C18" i="26"/>
  <c r="C26" i="26"/>
  <c r="D193" i="26"/>
  <c r="F192" i="26"/>
  <c r="C20" i="26" l="1"/>
  <c r="D57" i="36"/>
  <c r="D66" i="36" s="1"/>
  <c r="D53" i="36"/>
  <c r="D71" i="36" s="1"/>
  <c r="D55" i="36"/>
  <c r="D64" i="36" s="1"/>
  <c r="F193" i="26"/>
  <c r="AC69" i="26"/>
  <c r="AE21" i="26"/>
  <c r="BZ21" i="26"/>
  <c r="D84" i="36" l="1"/>
  <c r="D75" i="36"/>
  <c r="D62" i="36"/>
  <c r="D80" i="36"/>
  <c r="D82" i="36"/>
  <c r="D73" i="36"/>
  <c r="BU29" i="26"/>
  <c r="CI29" i="26" s="1"/>
  <c r="BP29" i="26"/>
  <c r="CN29" i="26" s="1"/>
  <c r="BU32" i="26"/>
  <c r="BP32" i="26"/>
  <c r="AQ29" i="26" l="1"/>
  <c r="AL29" i="26"/>
  <c r="AG29" i="26" s="1"/>
  <c r="BF29" i="26"/>
  <c r="CX29" i="26" s="1"/>
  <c r="BK29" i="26"/>
  <c r="CS29" i="26" s="1"/>
  <c r="AV29" i="26"/>
  <c r="BA29" i="26"/>
  <c r="DC29" i="26" s="1"/>
  <c r="AL66" i="26"/>
  <c r="AG66" i="26" s="1"/>
  <c r="AQ32" i="26"/>
  <c r="AL32" i="26"/>
  <c r="AQ66" i="26"/>
  <c r="BU43" i="26"/>
  <c r="BK32" i="26"/>
  <c r="AV32" i="26"/>
  <c r="BP43" i="26"/>
  <c r="BF32" i="26"/>
  <c r="BA66" i="26"/>
  <c r="BU66" i="26"/>
  <c r="BK66" i="26"/>
  <c r="AV66" i="26"/>
  <c r="BP66" i="26"/>
  <c r="BF66" i="26"/>
  <c r="AL54" i="26" l="1"/>
  <c r="AL43" i="26"/>
  <c r="AG43" i="26" s="1"/>
  <c r="AG32" i="26"/>
  <c r="AL63" i="26"/>
  <c r="AL51" i="26"/>
  <c r="AG51" i="26" s="1"/>
  <c r="AL40" i="26"/>
  <c r="AG40" i="26" s="1"/>
  <c r="AL60" i="26"/>
  <c r="AL49" i="26"/>
  <c r="AG49" i="26" s="1"/>
  <c r="DW49" i="26" s="1"/>
  <c r="AL37" i="26"/>
  <c r="AG37" i="26" s="1"/>
  <c r="AL57" i="26"/>
  <c r="AL46" i="26"/>
  <c r="AG46" i="26" s="1"/>
  <c r="AL34" i="26"/>
  <c r="AG34" i="26" s="1"/>
  <c r="BA32" i="26"/>
  <c r="DC32" i="26" s="1"/>
  <c r="AQ60" i="26"/>
  <c r="AQ49" i="26"/>
  <c r="AQ37" i="26"/>
  <c r="AQ34" i="26"/>
  <c r="AQ57" i="26"/>
  <c r="AQ46" i="26"/>
  <c r="AQ54" i="26"/>
  <c r="AQ43" i="26"/>
  <c r="AQ63" i="26"/>
  <c r="AQ51" i="26"/>
  <c r="AQ40" i="26"/>
  <c r="AV54" i="26"/>
  <c r="AV43" i="26"/>
  <c r="AV63" i="26"/>
  <c r="AV51" i="26"/>
  <c r="DH51" i="26" s="1"/>
  <c r="AV40" i="26"/>
  <c r="AV60" i="26"/>
  <c r="AV49" i="26"/>
  <c r="AV37" i="26"/>
  <c r="AV57" i="26"/>
  <c r="AV46" i="26"/>
  <c r="AV34" i="26"/>
  <c r="BP63" i="26"/>
  <c r="CN63" i="26" s="1"/>
  <c r="BP57" i="26"/>
  <c r="CN57" i="26" s="1"/>
  <c r="BP51" i="26"/>
  <c r="CN51" i="26" s="1"/>
  <c r="BP46" i="26"/>
  <c r="CN46" i="26" s="1"/>
  <c r="BP60" i="26"/>
  <c r="CN60" i="26" s="1"/>
  <c r="BP54" i="26"/>
  <c r="CN54" i="26" s="1"/>
  <c r="BP49" i="26"/>
  <c r="CN49" i="26" s="1"/>
  <c r="BU60" i="26"/>
  <c r="CI60" i="26" s="1"/>
  <c r="BU54" i="26"/>
  <c r="CI54" i="26" s="1"/>
  <c r="BU49" i="26"/>
  <c r="CI49" i="26" s="1"/>
  <c r="BU63" i="26"/>
  <c r="CI63" i="26" s="1"/>
  <c r="BU57" i="26"/>
  <c r="CI57" i="26" s="1"/>
  <c r="BU51" i="26"/>
  <c r="CI51" i="26" s="1"/>
  <c r="BU46" i="26"/>
  <c r="CI46" i="26" s="1"/>
  <c r="DW29" i="26"/>
  <c r="DR29" i="26"/>
  <c r="CN66" i="26"/>
  <c r="CX66" i="26"/>
  <c r="BF63" i="26"/>
  <c r="BF57" i="26"/>
  <c r="BF51" i="26"/>
  <c r="CX51" i="26" s="1"/>
  <c r="BF60" i="26"/>
  <c r="BF54" i="26"/>
  <c r="BF49" i="26"/>
  <c r="BK63" i="26"/>
  <c r="BK57" i="26"/>
  <c r="BK51" i="26"/>
  <c r="CS51" i="26" s="1"/>
  <c r="BK60" i="26"/>
  <c r="BK54" i="26"/>
  <c r="BK34" i="26"/>
  <c r="CN32" i="26"/>
  <c r="CN43" i="26"/>
  <c r="CN37" i="26"/>
  <c r="CN40" i="26"/>
  <c r="BP34" i="26"/>
  <c r="CN34" i="26" s="1"/>
  <c r="CI32" i="26"/>
  <c r="CI43" i="26"/>
  <c r="CI37" i="26"/>
  <c r="CI40" i="26"/>
  <c r="BU34" i="26"/>
  <c r="CI34" i="26" s="1"/>
  <c r="CI66" i="26"/>
  <c r="BF37" i="26"/>
  <c r="BK49" i="26"/>
  <c r="CS49" i="26" s="1"/>
  <c r="CS66" i="26"/>
  <c r="DC66" i="26"/>
  <c r="DH66" i="26"/>
  <c r="DR66" i="26"/>
  <c r="DM66" i="26"/>
  <c r="DW66" i="26"/>
  <c r="DH29" i="26"/>
  <c r="DM29" i="26"/>
  <c r="AG54" i="26" l="1"/>
  <c r="AG57" i="26"/>
  <c r="AG63" i="26"/>
  <c r="AG60" i="26"/>
  <c r="BA60" i="26"/>
  <c r="DC60" i="26" s="1"/>
  <c r="BA49" i="26"/>
  <c r="DC49" i="26" s="1"/>
  <c r="BA37" i="26"/>
  <c r="DC37" i="26" s="1"/>
  <c r="BA57" i="26"/>
  <c r="DC57" i="26" s="1"/>
  <c r="BA46" i="26"/>
  <c r="DC46" i="26" s="1"/>
  <c r="BA54" i="26"/>
  <c r="DC54" i="26" s="1"/>
  <c r="BA43" i="26"/>
  <c r="DC43" i="26" s="1"/>
  <c r="BA63" i="26"/>
  <c r="DC63" i="26" s="1"/>
  <c r="BA51" i="26"/>
  <c r="DC51" i="26" s="1"/>
  <c r="BA40" i="26"/>
  <c r="DC40" i="26" s="1"/>
  <c r="BA34" i="26"/>
  <c r="DC34" i="26" s="1"/>
  <c r="BK43" i="26"/>
  <c r="CS43" i="26" s="1"/>
  <c r="DW37" i="26"/>
  <c r="DR40" i="26"/>
  <c r="BF40" i="26"/>
  <c r="CX40" i="26" s="1"/>
  <c r="DH40" i="26"/>
  <c r="CX32" i="26"/>
  <c r="DM32" i="26"/>
  <c r="DH32" i="26"/>
  <c r="BK37" i="26"/>
  <c r="CS32" i="26"/>
  <c r="BF43" i="26"/>
  <c r="CX43" i="26" s="1"/>
  <c r="DR32" i="26"/>
  <c r="DW43" i="26"/>
  <c r="DH49" i="26"/>
  <c r="DW40" i="26"/>
  <c r="BK40" i="26"/>
  <c r="CS40" i="26" s="1"/>
  <c r="CX49" i="26"/>
  <c r="DR49" i="26"/>
  <c r="DR43" i="26"/>
  <c r="DM40" i="26"/>
  <c r="DH37" i="26"/>
  <c r="DR37" i="26"/>
  <c r="DM49" i="26"/>
  <c r="DH43" i="26"/>
  <c r="DM37" i="26"/>
  <c r="DM43" i="26"/>
  <c r="CS63" i="26"/>
  <c r="CS54" i="26"/>
  <c r="CS60" i="26"/>
  <c r="CS57" i="26"/>
  <c r="CX60" i="26"/>
  <c r="CX63" i="26"/>
  <c r="CX57" i="26"/>
  <c r="CX54" i="26"/>
  <c r="DH60" i="26"/>
  <c r="DH57" i="26"/>
  <c r="DH54" i="26"/>
  <c r="DH63" i="26"/>
  <c r="BK46" i="26"/>
  <c r="BF34" i="26"/>
  <c r="BF46" i="26"/>
  <c r="DH46" i="26"/>
  <c r="DH34" i="26"/>
  <c r="CS37" i="26"/>
  <c r="CX37" i="26"/>
  <c r="F39" i="18"/>
  <c r="G39" i="18" s="1"/>
  <c r="F12" i="18"/>
  <c r="F11" i="18"/>
  <c r="C13" i="18"/>
  <c r="C12" i="18"/>
  <c r="C11" i="18"/>
  <c r="C10" i="18"/>
  <c r="C25" i="18"/>
  <c r="DM46" i="26" l="1"/>
  <c r="DM34" i="26"/>
  <c r="DR46" i="26"/>
  <c r="DR34" i="26"/>
  <c r="DW46" i="26"/>
  <c r="DW34" i="26"/>
  <c r="DW32" i="26"/>
  <c r="CX34" i="26"/>
  <c r="CS34" i="26"/>
  <c r="CX46" i="26"/>
  <c r="CS46" i="26"/>
  <c r="DM57" i="26"/>
  <c r="DM54" i="26"/>
  <c r="DM63" i="26"/>
  <c r="DM60" i="26"/>
  <c r="DM51" i="26"/>
  <c r="DR54" i="26"/>
  <c r="DR57" i="26"/>
  <c r="DR60" i="26"/>
  <c r="DR63" i="26"/>
  <c r="DR51" i="26"/>
  <c r="DW57" i="26"/>
  <c r="DW54" i="26"/>
  <c r="DW63" i="26"/>
  <c r="DW60" i="26"/>
  <c r="DW51" i="26"/>
  <c r="F38" i="18"/>
  <c r="G38" i="18" s="1"/>
  <c r="C19" i="18" s="1"/>
  <c r="E105" i="36" s="1"/>
  <c r="C25" i="36" s="1"/>
  <c r="F40" i="18"/>
  <c r="G40" i="18" s="1"/>
  <c r="F19" i="18" l="1"/>
  <c r="J19" i="18" s="1"/>
  <c r="E197" i="26"/>
  <c r="C25" i="26" s="1"/>
  <c r="Q62" i="26" l="1"/>
  <c r="S65" i="26"/>
  <c r="U83" i="26"/>
  <c r="U81" i="26"/>
  <c r="W67" i="26"/>
  <c r="Q54" i="26"/>
  <c r="W63" i="26"/>
  <c r="Q81" i="26"/>
  <c r="Q58" i="26"/>
  <c r="Y57" i="26"/>
  <c r="Y54" i="26"/>
  <c r="S87" i="26"/>
  <c r="S67" i="26"/>
  <c r="Q87" i="26"/>
  <c r="Y90" i="26"/>
  <c r="Y85" i="26"/>
  <c r="Q56" i="26"/>
  <c r="Y60" i="26"/>
  <c r="U78" i="26"/>
  <c r="U67" i="26"/>
  <c r="W61" i="26"/>
  <c r="W57" i="26"/>
  <c r="W75" i="26"/>
  <c r="Q91" i="26"/>
  <c r="W64" i="26"/>
  <c r="U62" i="26"/>
  <c r="W85" i="26"/>
  <c r="Y81" i="26"/>
  <c r="Q67" i="26"/>
  <c r="U71" i="26"/>
  <c r="S91" i="26"/>
  <c r="W58" i="26"/>
  <c r="Y52" i="26"/>
  <c r="S58" i="26"/>
  <c r="Q85" i="26"/>
  <c r="Y87" i="26"/>
  <c r="S52" i="26"/>
  <c r="S63" i="26"/>
  <c r="Y58" i="26"/>
  <c r="Y61" i="26"/>
  <c r="S54" i="26"/>
  <c r="S88" i="26"/>
  <c r="U52" i="26"/>
  <c r="Y56" i="26"/>
  <c r="Q76" i="26"/>
  <c r="W78" i="26"/>
  <c r="S94" i="26"/>
  <c r="Y62" i="26"/>
  <c r="Y73" i="26"/>
  <c r="Y88" i="26"/>
  <c r="Q61" i="26"/>
  <c r="Y75" i="26"/>
  <c r="Y84" i="26"/>
  <c r="U93" i="26"/>
  <c r="S71" i="26"/>
  <c r="S62" i="26"/>
  <c r="S73" i="26"/>
  <c r="W92" i="26"/>
  <c r="Y92" i="26"/>
  <c r="W84" i="26"/>
  <c r="Q64" i="26"/>
  <c r="Q93" i="26"/>
  <c r="Q55" i="26"/>
  <c r="U55" i="26"/>
  <c r="W81" i="26"/>
  <c r="Q71" i="26"/>
  <c r="W51" i="26"/>
  <c r="Q74" i="26"/>
  <c r="S84" i="26"/>
  <c r="Q51" i="26"/>
  <c r="W83" i="26"/>
  <c r="Y74" i="26"/>
  <c r="Y82" i="26"/>
  <c r="U92" i="26"/>
  <c r="U87" i="26"/>
  <c r="W94" i="26"/>
  <c r="W73" i="26"/>
  <c r="S81" i="26"/>
  <c r="Q83" i="26"/>
  <c r="W56" i="26"/>
  <c r="Q92" i="26"/>
  <c r="Q65" i="26"/>
  <c r="S61" i="26"/>
  <c r="S92" i="26"/>
  <c r="S85" i="26"/>
  <c r="U76" i="26"/>
  <c r="U70" i="26"/>
  <c r="Y69" i="26"/>
  <c r="U73" i="26"/>
  <c r="U84" i="26"/>
  <c r="Y80" i="26"/>
  <c r="S53" i="26"/>
  <c r="Q75" i="26"/>
  <c r="S76" i="26"/>
  <c r="U94" i="26"/>
  <c r="Q80" i="26"/>
  <c r="U54" i="26"/>
  <c r="W76" i="26"/>
  <c r="W69" i="26"/>
  <c r="Y79" i="26"/>
  <c r="S74" i="26"/>
  <c r="U58" i="26"/>
  <c r="W82" i="26"/>
  <c r="W80" i="26"/>
  <c r="U85" i="26"/>
  <c r="Y51" i="26"/>
  <c r="S79" i="26"/>
  <c r="U60" i="26"/>
  <c r="W55" i="26"/>
  <c r="Q88" i="26"/>
  <c r="U88" i="26"/>
  <c r="U80" i="26"/>
  <c r="Q66" i="26"/>
  <c r="Y63" i="26"/>
  <c r="U72" i="26"/>
  <c r="Q72" i="26"/>
  <c r="U79" i="26"/>
  <c r="Y89" i="26"/>
  <c r="U57" i="26"/>
  <c r="W93" i="26"/>
  <c r="W60" i="26"/>
  <c r="Q90" i="26"/>
  <c r="Y53" i="26"/>
  <c r="Y91" i="26"/>
  <c r="Q53" i="26"/>
  <c r="Y78" i="26"/>
  <c r="S60" i="26"/>
  <c r="S93" i="26"/>
  <c r="S66" i="26"/>
  <c r="Q89" i="26"/>
  <c r="Y83" i="26"/>
  <c r="Y67" i="26"/>
  <c r="S64" i="26"/>
  <c r="U65" i="26"/>
  <c r="W53" i="26"/>
  <c r="W89" i="26"/>
  <c r="W72" i="26"/>
  <c r="W66" i="26"/>
  <c r="U91" i="26"/>
  <c r="U82" i="26"/>
  <c r="S89" i="26"/>
  <c r="S78" i="26"/>
  <c r="Y71" i="26"/>
  <c r="Y64" i="26"/>
  <c r="Y94" i="26"/>
  <c r="Q84" i="26"/>
  <c r="U61" i="26"/>
  <c r="U51" i="26"/>
  <c r="U66" i="26"/>
  <c r="W52" i="26"/>
  <c r="W71" i="26"/>
  <c r="W54" i="26"/>
  <c r="Q73" i="26"/>
  <c r="S51" i="26"/>
  <c r="S57" i="26"/>
  <c r="Q70" i="26"/>
  <c r="S83" i="26"/>
  <c r="U75" i="26"/>
  <c r="S70" i="26"/>
  <c r="W65" i="26"/>
  <c r="U89" i="26"/>
  <c r="W87" i="26"/>
  <c r="Y76" i="26"/>
  <c r="Q69" i="26"/>
  <c r="W90" i="26"/>
  <c r="U63" i="26"/>
  <c r="Y65" i="26"/>
  <c r="Q60" i="26"/>
  <c r="U69" i="26"/>
  <c r="S72" i="26"/>
  <c r="U74" i="26"/>
  <c r="W88" i="26"/>
  <c r="S55" i="26"/>
  <c r="S69" i="26"/>
  <c r="U53" i="26"/>
  <c r="U90" i="26"/>
  <c r="U56" i="26"/>
  <c r="Y93" i="26"/>
  <c r="S90" i="26"/>
  <c r="Q82" i="26"/>
  <c r="Q63" i="26"/>
  <c r="W91" i="26"/>
  <c r="Y66" i="26"/>
  <c r="Y70" i="26"/>
  <c r="U64" i="26"/>
  <c r="W79" i="26"/>
  <c r="S56" i="26"/>
  <c r="W62" i="26"/>
  <c r="W70" i="26"/>
  <c r="W74" i="26"/>
  <c r="Q78" i="26"/>
  <c r="S82" i="26"/>
  <c r="Y55" i="26"/>
  <c r="S75" i="26"/>
  <c r="Q94" i="26"/>
  <c r="Q52" i="26"/>
  <c r="Q57" i="26"/>
  <c r="S80" i="26"/>
  <c r="Y72" i="26"/>
  <c r="Q79" i="26"/>
  <c r="Z78" i="26"/>
  <c r="T56" i="26"/>
  <c r="T88" i="26"/>
  <c r="P89" i="26"/>
  <c r="P83" i="26"/>
  <c r="P90" i="26"/>
  <c r="P79" i="26"/>
  <c r="G79" i="26" s="1"/>
  <c r="R76" i="26"/>
  <c r="P57" i="26"/>
  <c r="R51" i="26"/>
  <c r="P80" i="26"/>
  <c r="X93" i="26"/>
  <c r="R54" i="26"/>
  <c r="X81" i="26"/>
  <c r="X55" i="26"/>
  <c r="P82" i="26"/>
  <c r="R89" i="26"/>
  <c r="X90" i="26"/>
  <c r="R63" i="26"/>
  <c r="X56" i="26"/>
  <c r="X69" i="26"/>
  <c r="P66" i="26"/>
  <c r="X84" i="26"/>
  <c r="R52" i="26"/>
  <c r="V85" i="26"/>
  <c r="X53" i="26"/>
  <c r="X89" i="26"/>
  <c r="X92" i="26"/>
  <c r="T62" i="26"/>
  <c r="V56" i="26"/>
  <c r="J56" i="26" s="1"/>
  <c r="X73" i="26"/>
  <c r="K73" i="26" s="1"/>
  <c r="P78" i="26"/>
  <c r="G78" i="26" s="1"/>
  <c r="V63" i="26"/>
  <c r="R92" i="26"/>
  <c r="V84" i="26"/>
  <c r="X60" i="26"/>
  <c r="K60" i="26" s="1"/>
  <c r="R65" i="26"/>
  <c r="R79" i="26"/>
  <c r="H79" i="26" s="1"/>
  <c r="X61" i="26"/>
  <c r="X80" i="26"/>
  <c r="K80" i="26" s="1"/>
  <c r="T65" i="26"/>
  <c r="X52" i="26"/>
  <c r="P70" i="26"/>
  <c r="X65" i="26"/>
  <c r="T87" i="26"/>
  <c r="R75" i="26"/>
  <c r="V58" i="26"/>
  <c r="V91" i="26"/>
  <c r="X79" i="26"/>
  <c r="X87" i="26"/>
  <c r="V76" i="26"/>
  <c r="T79" i="26"/>
  <c r="P62" i="26"/>
  <c r="V70" i="26"/>
  <c r="P91" i="26"/>
  <c r="P51" i="26"/>
  <c r="G51" i="26" s="1"/>
  <c r="R70" i="26"/>
  <c r="V69" i="26"/>
  <c r="V61" i="26"/>
  <c r="R69" i="26"/>
  <c r="T84" i="26"/>
  <c r="X66" i="26"/>
  <c r="P69" i="26"/>
  <c r="T82" i="26"/>
  <c r="V53" i="26"/>
  <c r="T64" i="26"/>
  <c r="T51" i="26"/>
  <c r="P55" i="26"/>
  <c r="X75" i="26"/>
  <c r="T91" i="26"/>
  <c r="X94" i="26"/>
  <c r="X51" i="26"/>
  <c r="K51" i="26" s="1"/>
  <c r="T78" i="26"/>
  <c r="T66" i="26"/>
  <c r="V72" i="26"/>
  <c r="X58" i="26"/>
  <c r="P71" i="26"/>
  <c r="P63" i="26"/>
  <c r="R55" i="26"/>
  <c r="V65" i="26"/>
  <c r="P56" i="26"/>
  <c r="R67" i="26"/>
  <c r="V66" i="26"/>
  <c r="T90" i="26"/>
  <c r="I90" i="26" s="1"/>
  <c r="X64" i="26"/>
  <c r="T89" i="26"/>
  <c r="P58" i="26"/>
  <c r="R88" i="26"/>
  <c r="H88" i="26" s="1"/>
  <c r="V79" i="26"/>
  <c r="P92" i="26"/>
  <c r="T85" i="26"/>
  <c r="P75" i="26"/>
  <c r="G75" i="26" s="1"/>
  <c r="P76" i="26"/>
  <c r="X78" i="26"/>
  <c r="T71" i="26"/>
  <c r="V67" i="26"/>
  <c r="V93" i="26"/>
  <c r="J93" i="26" s="1"/>
  <c r="V81" i="26"/>
  <c r="X76" i="26"/>
  <c r="R90" i="26"/>
  <c r="V55" i="26"/>
  <c r="V64" i="26"/>
  <c r="V60" i="26"/>
  <c r="X54" i="26"/>
  <c r="R83" i="26"/>
  <c r="R53" i="26"/>
  <c r="V88" i="26"/>
  <c r="P88" i="26"/>
  <c r="Z79" i="26"/>
  <c r="T70" i="26"/>
  <c r="R74" i="26"/>
  <c r="R82" i="26"/>
  <c r="V87" i="26"/>
  <c r="P85" i="26"/>
  <c r="T52" i="26"/>
  <c r="R56" i="26"/>
  <c r="V75" i="26"/>
  <c r="T73" i="26"/>
  <c r="I73" i="26" s="1"/>
  <c r="V82" i="26"/>
  <c r="X63" i="26"/>
  <c r="T60" i="26"/>
  <c r="V57" i="26"/>
  <c r="X70" i="26"/>
  <c r="X57" i="26"/>
  <c r="P72" i="26"/>
  <c r="P64" i="26"/>
  <c r="R93" i="26"/>
  <c r="P74" i="26"/>
  <c r="G74" i="26" s="1"/>
  <c r="R73" i="26"/>
  <c r="H73" i="26" s="1"/>
  <c r="T61" i="26"/>
  <c r="R91" i="26"/>
  <c r="P52" i="26"/>
  <c r="R85" i="26"/>
  <c r="T92" i="26"/>
  <c r="V62" i="26"/>
  <c r="T53" i="26"/>
  <c r="R78" i="26"/>
  <c r="V54" i="26"/>
  <c r="X83" i="26"/>
  <c r="X71" i="26"/>
  <c r="V89" i="26"/>
  <c r="J89" i="26" s="1"/>
  <c r="R87" i="26"/>
  <c r="T75" i="26"/>
  <c r="V52" i="26"/>
  <c r="R81" i="26"/>
  <c r="V92" i="26"/>
  <c r="T83" i="26"/>
  <c r="T67" i="26"/>
  <c r="V78" i="26"/>
  <c r="J78" i="26" s="1"/>
  <c r="R94" i="26"/>
  <c r="H94" i="26" s="1"/>
  <c r="T93" i="26"/>
  <c r="I93" i="26" s="1"/>
  <c r="V83" i="26"/>
  <c r="X82" i="26"/>
  <c r="V80" i="26"/>
  <c r="X72" i="26"/>
  <c r="P84" i="26"/>
  <c r="T72" i="26"/>
  <c r="V74" i="26"/>
  <c r="P73" i="26"/>
  <c r="R80" i="26"/>
  <c r="T74" i="26"/>
  <c r="R58" i="26"/>
  <c r="H58" i="26" s="1"/>
  <c r="Z88" i="26"/>
  <c r="P87" i="26"/>
  <c r="R64" i="26"/>
  <c r="X62" i="26"/>
  <c r="K62" i="26" s="1"/>
  <c r="V51" i="26"/>
  <c r="P67" i="26"/>
  <c r="P61" i="26"/>
  <c r="T63" i="26"/>
  <c r="R84" i="26"/>
  <c r="T57" i="26"/>
  <c r="V90" i="26"/>
  <c r="T69" i="26"/>
  <c r="T54" i="26"/>
  <c r="T94" i="26"/>
  <c r="I94" i="26" s="1"/>
  <c r="P54" i="26"/>
  <c r="P94" i="26"/>
  <c r="R71" i="26"/>
  <c r="X88" i="26"/>
  <c r="X74" i="26"/>
  <c r="P53" i="26"/>
  <c r="T58" i="26"/>
  <c r="R72" i="26"/>
  <c r="V71" i="26"/>
  <c r="P65" i="26"/>
  <c r="G65" i="26" s="1"/>
  <c r="X91" i="26"/>
  <c r="R66" i="26"/>
  <c r="Z87" i="26"/>
  <c r="V73" i="26"/>
  <c r="J73" i="26" s="1"/>
  <c r="R61" i="26"/>
  <c r="R62" i="26"/>
  <c r="R57" i="26"/>
  <c r="X67" i="26"/>
  <c r="X85" i="26"/>
  <c r="T55" i="26"/>
  <c r="I55" i="26" s="1"/>
  <c r="P60" i="26"/>
  <c r="P93" i="26"/>
  <c r="P81" i="26"/>
  <c r="G81" i="26" s="1"/>
  <c r="T76" i="26"/>
  <c r="T81" i="26"/>
  <c r="V94" i="26"/>
  <c r="J94" i="26" s="1"/>
  <c r="T80" i="26"/>
  <c r="R60" i="26"/>
  <c r="X112" i="26"/>
  <c r="V121" i="26"/>
  <c r="V130" i="26"/>
  <c r="V123" i="26"/>
  <c r="X145" i="26"/>
  <c r="X137" i="26"/>
  <c r="V108" i="26"/>
  <c r="V141" i="26"/>
  <c r="X146" i="26"/>
  <c r="V131" i="26"/>
  <c r="V142" i="26"/>
  <c r="V122" i="26"/>
  <c r="X125" i="26"/>
  <c r="V145" i="26"/>
  <c r="V124" i="26"/>
  <c r="V126" i="26"/>
  <c r="V113" i="26"/>
  <c r="V140" i="26"/>
  <c r="V135" i="26"/>
  <c r="X116" i="26"/>
  <c r="V119" i="26"/>
  <c r="X105" i="26"/>
  <c r="Q124" i="26"/>
  <c r="Q118" i="26"/>
  <c r="S124" i="26"/>
  <c r="W106" i="26"/>
  <c r="Y123" i="26"/>
  <c r="U140" i="26"/>
  <c r="S136" i="26"/>
  <c r="Q135" i="26"/>
  <c r="Q136" i="26"/>
  <c r="U139" i="26"/>
  <c r="W116" i="26"/>
  <c r="Q119" i="26"/>
  <c r="Y104" i="26"/>
  <c r="U117" i="26"/>
  <c r="Y108" i="26"/>
  <c r="U109" i="26"/>
  <c r="U142" i="26"/>
  <c r="U144" i="26"/>
  <c r="Q114" i="26"/>
  <c r="W141" i="26"/>
  <c r="S126" i="26"/>
  <c r="Q104" i="26"/>
  <c r="W104" i="26"/>
  <c r="W125" i="26"/>
  <c r="Q122" i="26"/>
  <c r="Q126" i="26"/>
  <c r="Y132" i="26"/>
  <c r="Y116" i="26"/>
  <c r="Q132" i="26"/>
  <c r="U107" i="26"/>
  <c r="U127" i="26"/>
  <c r="W135" i="26"/>
  <c r="S122" i="26"/>
  <c r="U131" i="26"/>
  <c r="W140" i="26"/>
  <c r="Q141" i="26"/>
  <c r="S105" i="26"/>
  <c r="Q145" i="26"/>
  <c r="Y110" i="26"/>
  <c r="U123" i="26"/>
  <c r="W117" i="26"/>
  <c r="W145" i="26"/>
  <c r="U126" i="26"/>
  <c r="U134" i="26"/>
  <c r="Y131" i="26"/>
  <c r="W137" i="26"/>
  <c r="Y118" i="26"/>
  <c r="S127" i="26"/>
  <c r="U118" i="26"/>
  <c r="Y128" i="26"/>
  <c r="Q128" i="26"/>
  <c r="Q139" i="26"/>
  <c r="S121" i="26"/>
  <c r="Y133" i="26"/>
  <c r="S108" i="26"/>
  <c r="P114" i="26"/>
  <c r="G114" i="26" s="1"/>
  <c r="V112" i="26"/>
  <c r="V115" i="26"/>
  <c r="T112" i="26"/>
  <c r="V137" i="26"/>
  <c r="V114" i="26"/>
  <c r="T131" i="26"/>
  <c r="T118" i="26"/>
  <c r="T128" i="26"/>
  <c r="T144" i="26"/>
  <c r="T115" i="26"/>
  <c r="R136" i="26"/>
  <c r="T105" i="26"/>
  <c r="R103" i="26"/>
  <c r="U113" i="26"/>
  <c r="S114" i="26"/>
  <c r="Q115" i="26"/>
  <c r="W121" i="26"/>
  <c r="Q103" i="26"/>
  <c r="S110" i="26"/>
  <c r="Q137" i="26"/>
  <c r="U125" i="26"/>
  <c r="S133" i="26"/>
  <c r="U110" i="26"/>
  <c r="W108" i="26"/>
  <c r="Y113" i="26"/>
  <c r="Q121" i="26"/>
  <c r="S115" i="26"/>
  <c r="Q144" i="26"/>
  <c r="Y140" i="26"/>
  <c r="S137" i="26"/>
  <c r="V127" i="26"/>
  <c r="V103" i="26"/>
  <c r="V139" i="26"/>
  <c r="X119" i="26"/>
  <c r="X114" i="26"/>
  <c r="X109" i="26"/>
  <c r="V106" i="26"/>
  <c r="X136" i="26"/>
  <c r="X113" i="26"/>
  <c r="X144" i="26"/>
  <c r="X126" i="26"/>
  <c r="X141" i="26"/>
  <c r="X123" i="26"/>
  <c r="X134" i="26"/>
  <c r="X108" i="26"/>
  <c r="X127" i="26"/>
  <c r="V133" i="26"/>
  <c r="V118" i="26"/>
  <c r="X139" i="26"/>
  <c r="X143" i="26"/>
  <c r="X121" i="26"/>
  <c r="Q106" i="26"/>
  <c r="U122" i="26"/>
  <c r="U112" i="26"/>
  <c r="U108" i="26"/>
  <c r="S104" i="26"/>
  <c r="Q116" i="26"/>
  <c r="Q131" i="26"/>
  <c r="Y142" i="26"/>
  <c r="S109" i="26"/>
  <c r="Q108" i="26"/>
  <c r="Q110" i="26"/>
  <c r="U119" i="26"/>
  <c r="W112" i="26"/>
  <c r="U128" i="26"/>
  <c r="S123" i="26"/>
  <c r="S146" i="26"/>
  <c r="Q146" i="26"/>
  <c r="U143" i="26"/>
  <c r="Y109" i="26"/>
  <c r="Y117" i="26"/>
  <c r="S119" i="26"/>
  <c r="S135" i="26"/>
  <c r="Q113" i="26"/>
  <c r="W103" i="26"/>
  <c r="Q105" i="26"/>
  <c r="S103" i="26"/>
  <c r="U105" i="26"/>
  <c r="W124" i="26"/>
  <c r="W134" i="26"/>
  <c r="W105" i="26"/>
  <c r="W113" i="26"/>
  <c r="U132" i="26"/>
  <c r="Y107" i="26"/>
  <c r="Y125" i="26"/>
  <c r="S106" i="26"/>
  <c r="Q140" i="26"/>
  <c r="W110" i="26"/>
  <c r="U103" i="26"/>
  <c r="W114" i="26"/>
  <c r="Y103" i="26"/>
  <c r="S117" i="26"/>
  <c r="P105" i="26"/>
  <c r="T125" i="26"/>
  <c r="T123" i="26"/>
  <c r="V128" i="26"/>
  <c r="X124" i="26"/>
  <c r="T141" i="26"/>
  <c r="V107" i="26"/>
  <c r="T130" i="26"/>
  <c r="X115" i="26"/>
  <c r="T133" i="26"/>
  <c r="Q117" i="26"/>
  <c r="S130" i="26"/>
  <c r="Y144" i="26"/>
  <c r="S140" i="26"/>
  <c r="W127" i="26"/>
  <c r="Y106" i="26"/>
  <c r="Y139" i="26"/>
  <c r="Q107" i="26"/>
  <c r="W126" i="26"/>
  <c r="Y122" i="26"/>
  <c r="S143" i="26"/>
  <c r="U114" i="26"/>
  <c r="S145" i="26"/>
  <c r="Q134" i="26"/>
  <c r="S107" i="26"/>
  <c r="V117" i="26"/>
  <c r="X128" i="26"/>
  <c r="X140" i="26"/>
  <c r="X118" i="26"/>
  <c r="K118" i="26" s="1"/>
  <c r="V110" i="26"/>
  <c r="V104" i="26"/>
  <c r="X107" i="26"/>
  <c r="V132" i="26"/>
  <c r="X122" i="26"/>
  <c r="V105" i="26"/>
  <c r="V143" i="26"/>
  <c r="X104" i="26"/>
  <c r="X106" i="26"/>
  <c r="X110" i="26"/>
  <c r="X130" i="26"/>
  <c r="X117" i="26"/>
  <c r="X135" i="26"/>
  <c r="V146" i="26"/>
  <c r="X103" i="26"/>
  <c r="V144" i="26"/>
  <c r="S128" i="26"/>
  <c r="W118" i="26"/>
  <c r="Q130" i="26"/>
  <c r="W115" i="26"/>
  <c r="S141" i="26"/>
  <c r="Y145" i="26"/>
  <c r="W146" i="26"/>
  <c r="S113" i="26"/>
  <c r="U137" i="26"/>
  <c r="Y112" i="26"/>
  <c r="W119" i="26"/>
  <c r="Q125" i="26"/>
  <c r="U104" i="26"/>
  <c r="U115" i="26"/>
  <c r="Y114" i="26"/>
  <c r="W131" i="26"/>
  <c r="Y126" i="26"/>
  <c r="U133" i="26"/>
  <c r="Y124" i="26"/>
  <c r="U141" i="26"/>
  <c r="Y105" i="26"/>
  <c r="U130" i="26"/>
  <c r="Q133" i="26"/>
  <c r="S112" i="26"/>
  <c r="Y127" i="26"/>
  <c r="S142" i="26"/>
  <c r="Q127" i="26"/>
  <c r="U146" i="26"/>
  <c r="S131" i="26"/>
  <c r="Q123" i="26"/>
  <c r="W130" i="26"/>
  <c r="S125" i="26"/>
  <c r="Q142" i="26"/>
  <c r="Y136" i="26"/>
  <c r="S132" i="26"/>
  <c r="Y134" i="26"/>
  <c r="Y143" i="26"/>
  <c r="U116" i="26"/>
  <c r="S139" i="26"/>
  <c r="U121" i="26"/>
  <c r="W136" i="26"/>
  <c r="W143" i="26"/>
  <c r="Y115" i="26"/>
  <c r="U106" i="26"/>
  <c r="W142" i="26"/>
  <c r="S118" i="26"/>
  <c r="W123" i="26"/>
  <c r="Y141" i="26"/>
  <c r="W122" i="26"/>
  <c r="W139" i="26"/>
  <c r="Y146" i="26"/>
  <c r="W133" i="26"/>
  <c r="P141" i="26"/>
  <c r="G141" i="26" s="1"/>
  <c r="P109" i="26"/>
  <c r="P124" i="26"/>
  <c r="P137" i="26"/>
  <c r="P113" i="26"/>
  <c r="P103" i="26"/>
  <c r="P118" i="26"/>
  <c r="P145" i="26"/>
  <c r="R117" i="26"/>
  <c r="V109" i="26"/>
  <c r="V125" i="26"/>
  <c r="T140" i="26"/>
  <c r="X133" i="26"/>
  <c r="K133" i="26" s="1"/>
  <c r="V116" i="26"/>
  <c r="R140" i="26"/>
  <c r="X142" i="26"/>
  <c r="T142" i="26"/>
  <c r="X132" i="26"/>
  <c r="X131" i="26"/>
  <c r="R135" i="26"/>
  <c r="T110" i="26"/>
  <c r="V136" i="26"/>
  <c r="V134" i="26"/>
  <c r="Q112" i="26"/>
  <c r="U135" i="26"/>
  <c r="Y121" i="26"/>
  <c r="W144" i="26"/>
  <c r="U145" i="26"/>
  <c r="W128" i="26"/>
  <c r="Y137" i="26"/>
  <c r="Q109" i="26"/>
  <c r="W107" i="26"/>
  <c r="U124" i="26"/>
  <c r="S134" i="26"/>
  <c r="Y135" i="26"/>
  <c r="W109" i="26"/>
  <c r="W132" i="26"/>
  <c r="Q143" i="26"/>
  <c r="S144" i="26"/>
  <c r="U136" i="26"/>
  <c r="Y130" i="26"/>
  <c r="S116" i="26"/>
  <c r="Y119" i="26"/>
  <c r="R144" i="26"/>
  <c r="R107" i="26"/>
  <c r="T121" i="26"/>
  <c r="T106" i="26"/>
  <c r="P108" i="26"/>
  <c r="P140" i="26"/>
  <c r="R114" i="26"/>
  <c r="R132" i="26"/>
  <c r="T146" i="26"/>
  <c r="R108" i="26"/>
  <c r="T104" i="26"/>
  <c r="P135" i="26"/>
  <c r="P128" i="26"/>
  <c r="T114" i="26"/>
  <c r="R125" i="26"/>
  <c r="T122" i="26"/>
  <c r="I122" i="26" s="1"/>
  <c r="T143" i="26"/>
  <c r="T109" i="26"/>
  <c r="R131" i="26"/>
  <c r="P121" i="26"/>
  <c r="G121" i="26" s="1"/>
  <c r="P142" i="26"/>
  <c r="R124" i="26"/>
  <c r="T116" i="26"/>
  <c r="T132" i="26"/>
  <c r="P116" i="26"/>
  <c r="R113" i="26"/>
  <c r="P117" i="26"/>
  <c r="R105" i="26"/>
  <c r="P143" i="26"/>
  <c r="R121" i="26"/>
  <c r="T119" i="26"/>
  <c r="R104" i="26"/>
  <c r="T145" i="26"/>
  <c r="R130" i="26"/>
  <c r="T117" i="26"/>
  <c r="I117" i="26" s="1"/>
  <c r="R119" i="26"/>
  <c r="T135" i="26"/>
  <c r="T103" i="26"/>
  <c r="P125" i="26"/>
  <c r="P110" i="26"/>
  <c r="R128" i="26"/>
  <c r="R112" i="26"/>
  <c r="R137" i="26"/>
  <c r="R142" i="26"/>
  <c r="R139" i="26"/>
  <c r="R146" i="26"/>
  <c r="T139" i="26"/>
  <c r="P131" i="26"/>
  <c r="P126" i="26"/>
  <c r="T108" i="26"/>
  <c r="P130" i="26"/>
  <c r="G130" i="26" s="1"/>
  <c r="P104" i="26"/>
  <c r="P115" i="26"/>
  <c r="R116" i="26"/>
  <c r="H116" i="26" s="1"/>
  <c r="P133" i="26"/>
  <c r="R122" i="26"/>
  <c r="P127" i="26"/>
  <c r="R123" i="26"/>
  <c r="P132" i="26"/>
  <c r="R110" i="26"/>
  <c r="R126" i="26"/>
  <c r="T136" i="26"/>
  <c r="R134" i="26"/>
  <c r="P119" i="26"/>
  <c r="T137" i="26"/>
  <c r="P106" i="26"/>
  <c r="T113" i="26"/>
  <c r="R133" i="26"/>
  <c r="T124" i="26"/>
  <c r="R118" i="26"/>
  <c r="P136" i="26"/>
  <c r="P123" i="26"/>
  <c r="P112" i="26"/>
  <c r="T134" i="26"/>
  <c r="R127" i="26"/>
  <c r="R141" i="26"/>
  <c r="R109" i="26"/>
  <c r="P139" i="26"/>
  <c r="P146" i="26"/>
  <c r="P134" i="26"/>
  <c r="T127" i="26"/>
  <c r="I127" i="26" s="1"/>
  <c r="R145" i="26"/>
  <c r="R115" i="26"/>
  <c r="P122" i="26"/>
  <c r="T126" i="26"/>
  <c r="R106" i="26"/>
  <c r="P144" i="26"/>
  <c r="R143" i="26"/>
  <c r="H143" i="26" s="1"/>
  <c r="T107" i="26"/>
  <c r="P107" i="26"/>
  <c r="O103" i="26"/>
  <c r="N103" i="26"/>
  <c r="N51" i="26"/>
  <c r="I118" i="26" l="1"/>
  <c r="G134" i="26"/>
  <c r="K140" i="26"/>
  <c r="I57" i="26"/>
  <c r="G115" i="26"/>
  <c r="K117" i="26"/>
  <c r="J116" i="26"/>
  <c r="G113" i="26"/>
  <c r="G116" i="26"/>
  <c r="K67" i="26"/>
  <c r="J55" i="26"/>
  <c r="G117" i="26"/>
  <c r="H114" i="26"/>
  <c r="G94" i="26"/>
  <c r="I51" i="26"/>
  <c r="K89" i="26"/>
  <c r="J117" i="26"/>
  <c r="G118" i="26"/>
  <c r="H118" i="26"/>
  <c r="I116" i="26"/>
  <c r="G112" i="26"/>
  <c r="H132" i="26"/>
  <c r="H119" i="26"/>
  <c r="I119" i="26"/>
  <c r="G119" i="26"/>
  <c r="H113" i="26"/>
  <c r="H117" i="26"/>
  <c r="K113" i="26"/>
  <c r="I113" i="26"/>
  <c r="H112" i="26"/>
  <c r="H140" i="26"/>
  <c r="H115" i="26"/>
  <c r="I114" i="26"/>
  <c r="H80" i="26"/>
  <c r="K64" i="26"/>
  <c r="G69" i="26"/>
  <c r="K114" i="26"/>
  <c r="K115" i="26"/>
  <c r="J114" i="26"/>
  <c r="I112" i="26"/>
  <c r="K116" i="26"/>
  <c r="I115" i="26"/>
  <c r="J115" i="26"/>
  <c r="J112" i="26"/>
  <c r="J113" i="26"/>
  <c r="K112" i="26"/>
  <c r="K119" i="26"/>
  <c r="J119" i="26"/>
  <c r="J118" i="26"/>
  <c r="I143" i="26"/>
  <c r="J64" i="26"/>
  <c r="G56" i="26"/>
  <c r="H63" i="26"/>
  <c r="H123" i="26"/>
  <c r="H84" i="26"/>
  <c r="H122" i="26"/>
  <c r="J62" i="26"/>
  <c r="J70" i="26"/>
  <c r="H91" i="26"/>
  <c r="K66" i="26"/>
  <c r="G72" i="26"/>
  <c r="G133" i="26"/>
  <c r="J88" i="26"/>
  <c r="I89" i="26"/>
  <c r="J75" i="26"/>
  <c r="K61" i="26"/>
  <c r="G58" i="26"/>
  <c r="I78" i="26"/>
  <c r="K87" i="26"/>
  <c r="G67" i="26"/>
  <c r="J67" i="26"/>
  <c r="H67" i="26"/>
  <c r="K52" i="26"/>
  <c r="K56" i="26"/>
  <c r="J90" i="26"/>
  <c r="K63" i="26"/>
  <c r="H131" i="26"/>
  <c r="I145" i="26"/>
  <c r="H134" i="26"/>
  <c r="H141" i="26"/>
  <c r="J137" i="26"/>
  <c r="J134" i="26"/>
  <c r="I81" i="26"/>
  <c r="J58" i="26"/>
  <c r="I62" i="26"/>
  <c r="K81" i="26"/>
  <c r="J57" i="26"/>
  <c r="G62" i="26"/>
  <c r="J51" i="26"/>
  <c r="J83" i="26"/>
  <c r="H81" i="26"/>
  <c r="I92" i="26"/>
  <c r="G64" i="26"/>
  <c r="K88" i="26"/>
  <c r="H85" i="26"/>
  <c r="K84" i="26"/>
  <c r="I53" i="26"/>
  <c r="J76" i="26"/>
  <c r="I125" i="26"/>
  <c r="I110" i="26"/>
  <c r="H60" i="26"/>
  <c r="G73" i="26"/>
  <c r="K72" i="26"/>
  <c r="H83" i="26"/>
  <c r="G63" i="26"/>
  <c r="I66" i="26"/>
  <c r="I91" i="26"/>
  <c r="I64" i="26"/>
  <c r="H76" i="26"/>
  <c r="I107" i="26"/>
  <c r="I139" i="26"/>
  <c r="I80" i="26"/>
  <c r="G60" i="26"/>
  <c r="I84" i="26"/>
  <c r="I109" i="26"/>
  <c r="K83" i="26"/>
  <c r="I60" i="26"/>
  <c r="J53" i="26"/>
  <c r="K94" i="26"/>
  <c r="H62" i="26"/>
  <c r="I58" i="26"/>
  <c r="J54" i="26"/>
  <c r="I85" i="26"/>
  <c r="J69" i="26"/>
  <c r="J84" i="26"/>
  <c r="K70" i="26"/>
  <c r="K78" i="26"/>
  <c r="G92" i="26"/>
  <c r="J65" i="26"/>
  <c r="G71" i="26"/>
  <c r="K75" i="26"/>
  <c r="H92" i="26"/>
  <c r="I88" i="26"/>
  <c r="G85" i="26"/>
  <c r="I74" i="26"/>
  <c r="I72" i="26"/>
  <c r="I52" i="26"/>
  <c r="K58" i="26"/>
  <c r="G55" i="26"/>
  <c r="I126" i="26"/>
  <c r="G93" i="26"/>
  <c r="K74" i="26"/>
  <c r="G54" i="26"/>
  <c r="I67" i="26"/>
  <c r="J87" i="26"/>
  <c r="J81" i="26"/>
  <c r="I71" i="26"/>
  <c r="G91" i="26"/>
  <c r="J91" i="26"/>
  <c r="I87" i="26"/>
  <c r="G66" i="26"/>
  <c r="K55" i="26"/>
  <c r="I76" i="26"/>
  <c r="K91" i="26"/>
  <c r="I54" i="26"/>
  <c r="G61" i="26"/>
  <c r="J52" i="26"/>
  <c r="K71" i="26"/>
  <c r="H93" i="26"/>
  <c r="J82" i="26"/>
  <c r="I82" i="26"/>
  <c r="H65" i="26"/>
  <c r="H52" i="26"/>
  <c r="K85" i="26"/>
  <c r="I69" i="26"/>
  <c r="G84" i="26"/>
  <c r="J92" i="26"/>
  <c r="I75" i="26"/>
  <c r="K57" i="26"/>
  <c r="I70" i="26"/>
  <c r="I79" i="26"/>
  <c r="K79" i="26"/>
  <c r="H54" i="26"/>
  <c r="G83" i="26"/>
  <c r="K93" i="26"/>
  <c r="H137" i="26"/>
  <c r="H121" i="26"/>
  <c r="I142" i="26"/>
  <c r="K65" i="26"/>
  <c r="I65" i="26"/>
  <c r="G89" i="26"/>
  <c r="J66" i="26"/>
  <c r="H69" i="26"/>
  <c r="G70" i="26"/>
  <c r="G90" i="26"/>
  <c r="H82" i="26"/>
  <c r="G106" i="26"/>
  <c r="J104" i="26"/>
  <c r="H136" i="26"/>
  <c r="G52" i="26"/>
  <c r="I103" i="26"/>
  <c r="H130" i="26"/>
  <c r="H51" i="26"/>
  <c r="H66" i="26"/>
  <c r="I63" i="26"/>
  <c r="J74" i="26"/>
  <c r="J80" i="26"/>
  <c r="I61" i="26"/>
  <c r="H56" i="26"/>
  <c r="G88" i="26"/>
  <c r="J85" i="26"/>
  <c r="K69" i="26"/>
  <c r="K90" i="26"/>
  <c r="G80" i="26"/>
  <c r="G87" i="26"/>
  <c r="H57" i="26"/>
  <c r="H61" i="26"/>
  <c r="J71" i="26"/>
  <c r="H71" i="26"/>
  <c r="H64" i="26"/>
  <c r="K82" i="26"/>
  <c r="I83" i="26"/>
  <c r="H74" i="26"/>
  <c r="K54" i="26"/>
  <c r="H90" i="26"/>
  <c r="G76" i="26"/>
  <c r="J79" i="26"/>
  <c r="H55" i="26"/>
  <c r="H70" i="26"/>
  <c r="J63" i="26"/>
  <c r="K92" i="26"/>
  <c r="H89" i="26"/>
  <c r="I56" i="26"/>
  <c r="H78" i="26"/>
  <c r="K53" i="26"/>
  <c r="H72" i="26"/>
  <c r="G53" i="26"/>
  <c r="H53" i="26"/>
  <c r="J60" i="26"/>
  <c r="K76" i="26"/>
  <c r="J72" i="26"/>
  <c r="J61" i="26"/>
  <c r="H75" i="26"/>
  <c r="G82" i="26"/>
  <c r="G57" i="26"/>
  <c r="H87" i="26"/>
  <c r="K122" i="26"/>
  <c r="I131" i="26"/>
  <c r="G135" i="26"/>
  <c r="K132" i="26"/>
  <c r="K110" i="26"/>
  <c r="G127" i="26"/>
  <c r="H106" i="26"/>
  <c r="H109" i="26"/>
  <c r="H146" i="26"/>
  <c r="H104" i="26"/>
  <c r="H144" i="26"/>
  <c r="K128" i="26"/>
  <c r="G143" i="26"/>
  <c r="H142" i="26"/>
  <c r="H135" i="26"/>
  <c r="I121" i="26"/>
  <c r="G110" i="26"/>
  <c r="G128" i="26"/>
  <c r="H127" i="26"/>
  <c r="I134" i="26"/>
  <c r="G107" i="26"/>
  <c r="H126" i="26"/>
  <c r="H124" i="26"/>
  <c r="I132" i="26"/>
  <c r="I140" i="26"/>
  <c r="I144" i="26"/>
  <c r="K108" i="26"/>
  <c r="I136" i="26"/>
  <c r="H128" i="26"/>
  <c r="I106" i="26"/>
  <c r="J136" i="26"/>
  <c r="G103" i="26"/>
  <c r="J105" i="26"/>
  <c r="I123" i="26"/>
  <c r="G108" i="26"/>
  <c r="K123" i="26"/>
  <c r="H139" i="26"/>
  <c r="H107" i="26"/>
  <c r="J125" i="26"/>
  <c r="F103" i="26"/>
  <c r="J146" i="26"/>
  <c r="J109" i="26"/>
  <c r="G109" i="26"/>
  <c r="J107" i="26"/>
  <c r="J103" i="26"/>
  <c r="G144" i="26"/>
  <c r="G132" i="26"/>
  <c r="G104" i="26"/>
  <c r="G124" i="26"/>
  <c r="J122" i="26"/>
  <c r="J141" i="26"/>
  <c r="J123" i="26"/>
  <c r="K144" i="26"/>
  <c r="J126" i="26"/>
  <c r="H145" i="26"/>
  <c r="I124" i="26"/>
  <c r="I137" i="26"/>
  <c r="H110" i="26"/>
  <c r="I135" i="26"/>
  <c r="I104" i="26"/>
  <c r="K135" i="26"/>
  <c r="K106" i="26"/>
  <c r="J110" i="26"/>
  <c r="I133" i="26"/>
  <c r="I141" i="26"/>
  <c r="K121" i="26"/>
  <c r="J133" i="26"/>
  <c r="J127" i="26"/>
  <c r="J135" i="26"/>
  <c r="J124" i="26"/>
  <c r="J142" i="26"/>
  <c r="J108" i="26"/>
  <c r="J130" i="26"/>
  <c r="K109" i="26"/>
  <c r="H133" i="26"/>
  <c r="H108" i="26"/>
  <c r="K142" i="26"/>
  <c r="J144" i="26"/>
  <c r="K104" i="26"/>
  <c r="J132" i="26"/>
  <c r="K124" i="26"/>
  <c r="K143" i="26"/>
  <c r="K127" i="26"/>
  <c r="K141" i="26"/>
  <c r="K136" i="26"/>
  <c r="H103" i="26"/>
  <c r="K105" i="26"/>
  <c r="J140" i="26"/>
  <c r="J145" i="26"/>
  <c r="J131" i="26"/>
  <c r="K137" i="26"/>
  <c r="J121" i="26"/>
  <c r="K134" i="26"/>
  <c r="I108" i="26"/>
  <c r="H105" i="26"/>
  <c r="H125" i="26"/>
  <c r="I146" i="26"/>
  <c r="K131" i="26"/>
  <c r="K103" i="26"/>
  <c r="K130" i="26"/>
  <c r="J143" i="26"/>
  <c r="K107" i="26"/>
  <c r="I130" i="26"/>
  <c r="J128" i="26"/>
  <c r="K139" i="26"/>
  <c r="K126" i="26"/>
  <c r="J106" i="26"/>
  <c r="J139" i="26"/>
  <c r="I105" i="26"/>
  <c r="I128" i="26"/>
  <c r="K125" i="26"/>
  <c r="K146" i="26"/>
  <c r="K145" i="26"/>
  <c r="G142" i="26"/>
  <c r="G122" i="26"/>
  <c r="G146" i="26"/>
  <c r="G145" i="26"/>
  <c r="G126" i="26"/>
  <c r="G140" i="26"/>
  <c r="G123" i="26"/>
  <c r="G136" i="26"/>
  <c r="G105" i="26"/>
  <c r="G137" i="26"/>
  <c r="G131" i="26"/>
  <c r="G125" i="26"/>
  <c r="G139" i="26"/>
  <c r="O89" i="26"/>
  <c r="O62" i="26"/>
  <c r="N94" i="26"/>
  <c r="N71" i="26"/>
  <c r="O87" i="26"/>
  <c r="N63" i="26"/>
  <c r="N87" i="26"/>
  <c r="N89" i="26"/>
  <c r="O67" i="26"/>
  <c r="O74" i="26"/>
  <c r="N73" i="26"/>
  <c r="O53" i="26"/>
  <c r="N52" i="26"/>
  <c r="N76" i="26"/>
  <c r="O88" i="26"/>
  <c r="O72" i="26"/>
  <c r="N75" i="26"/>
  <c r="O55" i="26"/>
  <c r="N72" i="26"/>
  <c r="N60" i="26"/>
  <c r="O91" i="26"/>
  <c r="N81" i="26"/>
  <c r="O54" i="26"/>
  <c r="N84" i="26"/>
  <c r="O78" i="26"/>
  <c r="N66" i="26"/>
  <c r="N55" i="26"/>
  <c r="O66" i="26"/>
  <c r="O82" i="26"/>
  <c r="O76" i="26"/>
  <c r="O83" i="26"/>
  <c r="N92" i="26"/>
  <c r="O69" i="26"/>
  <c r="O61" i="26"/>
  <c r="N62" i="26"/>
  <c r="N93" i="26"/>
  <c r="N74" i="26"/>
  <c r="O94" i="26"/>
  <c r="O85" i="26"/>
  <c r="N85" i="26"/>
  <c r="O84" i="26"/>
  <c r="N83" i="26"/>
  <c r="O63" i="26"/>
  <c r="N54" i="26"/>
  <c r="N69" i="26"/>
  <c r="O56" i="26"/>
  <c r="N56" i="26"/>
  <c r="N65" i="26"/>
  <c r="N91" i="26"/>
  <c r="N58" i="26"/>
  <c r="O64" i="26"/>
  <c r="O75" i="26"/>
  <c r="N64" i="26"/>
  <c r="N70" i="26"/>
  <c r="O57" i="26"/>
  <c r="N57" i="26"/>
  <c r="O80" i="26"/>
  <c r="O58" i="26"/>
  <c r="O92" i="26"/>
  <c r="O90" i="26"/>
  <c r="N82" i="26"/>
  <c r="N88" i="26"/>
  <c r="O60" i="26"/>
  <c r="N78" i="26"/>
  <c r="O73" i="26"/>
  <c r="O79" i="26"/>
  <c r="N90" i="26"/>
  <c r="O71" i="26"/>
  <c r="N53" i="26"/>
  <c r="O70" i="26"/>
  <c r="O93" i="26"/>
  <c r="N67" i="26"/>
  <c r="O65" i="26"/>
  <c r="N79" i="26"/>
  <c r="N61" i="26"/>
  <c r="N80" i="26"/>
  <c r="O81" i="26"/>
  <c r="O52" i="26"/>
  <c r="F91" i="26" l="1"/>
  <c r="F89" i="26"/>
  <c r="F53" i="26"/>
  <c r="F69" i="26"/>
  <c r="F67" i="26"/>
  <c r="F88" i="26"/>
  <c r="F78" i="26"/>
  <c r="F90" i="26"/>
  <c r="F61" i="26"/>
  <c r="F82" i="26"/>
  <c r="F80" i="26"/>
  <c r="F62" i="26"/>
  <c r="F83" i="26"/>
  <c r="F93" i="26"/>
  <c r="F72" i="26"/>
  <c r="F94" i="26"/>
  <c r="F92" i="26"/>
  <c r="F87" i="26"/>
  <c r="F74" i="26"/>
  <c r="F85" i="26"/>
  <c r="F81" i="26"/>
  <c r="F55" i="26"/>
  <c r="F84" i="26"/>
  <c r="F79" i="26"/>
  <c r="F70" i="26"/>
  <c r="F76" i="26"/>
  <c r="F64" i="26"/>
  <c r="F71" i="26"/>
  <c r="F73" i="26"/>
  <c r="F75" i="26"/>
  <c r="F63" i="26"/>
  <c r="F54" i="26"/>
  <c r="F60" i="26"/>
  <c r="F66" i="26"/>
  <c r="F65" i="26"/>
  <c r="F56" i="26"/>
  <c r="F52" i="26"/>
  <c r="F58" i="26"/>
  <c r="F57" i="26"/>
  <c r="F11" i="35" l="1"/>
  <c r="F12" i="36"/>
  <c r="F13" i="28"/>
  <c r="F12" i="26"/>
  <c r="N135" i="26" l="1"/>
  <c r="O115" i="26"/>
  <c r="N119" i="26"/>
  <c r="N131" i="26"/>
  <c r="O105" i="26"/>
  <c r="N137" i="26"/>
  <c r="O123" i="26"/>
  <c r="N125" i="26"/>
  <c r="O133" i="26"/>
  <c r="O118" i="26"/>
  <c r="N133" i="26"/>
  <c r="O144" i="26"/>
  <c r="N107" i="26"/>
  <c r="N122" i="26"/>
  <c r="O145" i="26"/>
  <c r="N132" i="26"/>
  <c r="N136" i="26"/>
  <c r="N130" i="26"/>
  <c r="O116" i="26"/>
  <c r="N104" i="26"/>
  <c r="O109" i="26"/>
  <c r="O125" i="26"/>
  <c r="N115" i="26"/>
  <c r="O126" i="26"/>
  <c r="O139" i="26"/>
  <c r="N127" i="26"/>
  <c r="O141" i="26"/>
  <c r="N139" i="26"/>
  <c r="O117" i="26"/>
  <c r="N128" i="26"/>
  <c r="O140" i="26"/>
  <c r="O121" i="26"/>
  <c r="O107" i="26"/>
  <c r="N110" i="26"/>
  <c r="O106" i="26"/>
  <c r="O113" i="26"/>
  <c r="N106" i="26"/>
  <c r="O128" i="26"/>
  <c r="O132" i="26"/>
  <c r="O110" i="26"/>
  <c r="O112" i="26"/>
  <c r="O108" i="26"/>
  <c r="N113" i="26"/>
  <c r="O135" i="26"/>
  <c r="O119" i="26"/>
  <c r="N123" i="26"/>
  <c r="O143" i="26"/>
  <c r="N145" i="26"/>
  <c r="N143" i="26"/>
  <c r="O124" i="26"/>
  <c r="O136" i="26"/>
  <c r="O146" i="26"/>
  <c r="O131" i="26"/>
  <c r="N144" i="26"/>
  <c r="N116" i="26"/>
  <c r="O142" i="26"/>
  <c r="N112" i="26"/>
  <c r="N118" i="26"/>
  <c r="O127" i="26"/>
  <c r="O122" i="26"/>
  <c r="O134" i="26"/>
  <c r="N117" i="26"/>
  <c r="N121" i="26"/>
  <c r="O137" i="26"/>
  <c r="N114" i="26"/>
  <c r="N108" i="26"/>
  <c r="O114" i="26"/>
  <c r="N126" i="26"/>
  <c r="N105" i="26"/>
  <c r="N124" i="26"/>
  <c r="O104" i="26"/>
  <c r="N142" i="26"/>
  <c r="N146" i="26"/>
  <c r="N141" i="26"/>
  <c r="N109" i="26"/>
  <c r="O130" i="26"/>
  <c r="N134" i="26"/>
  <c r="N140" i="26"/>
  <c r="M38" i="4"/>
  <c r="F118" i="26" l="1"/>
  <c r="F116" i="26"/>
  <c r="F113" i="26"/>
  <c r="F117" i="26"/>
  <c r="F114" i="26"/>
  <c r="F115" i="26"/>
  <c r="F112" i="26"/>
  <c r="F119" i="26"/>
  <c r="F140" i="26"/>
  <c r="F144" i="26"/>
  <c r="F126" i="26"/>
  <c r="F105" i="26"/>
  <c r="F123" i="26"/>
  <c r="F145" i="26"/>
  <c r="F142" i="26"/>
  <c r="F109" i="26"/>
  <c r="F121" i="26"/>
  <c r="F143" i="26"/>
  <c r="F110" i="26"/>
  <c r="F141" i="26"/>
  <c r="F146" i="26"/>
  <c r="F134" i="26"/>
  <c r="F124" i="26"/>
  <c r="F139" i="26"/>
  <c r="F133" i="26"/>
  <c r="F131" i="26"/>
  <c r="F136" i="26"/>
  <c r="F132" i="26"/>
  <c r="F130" i="26"/>
  <c r="F137" i="26"/>
  <c r="F135" i="26"/>
  <c r="F127" i="26"/>
  <c r="F125" i="26"/>
  <c r="F128" i="26"/>
  <c r="F122" i="26"/>
  <c r="F108" i="26"/>
  <c r="F104" i="26"/>
  <c r="F107" i="26"/>
  <c r="F106" i="26"/>
  <c r="E38" i="4"/>
  <c r="O36" i="4"/>
  <c r="F13" i="18" l="1"/>
  <c r="C22" i="4" l="1"/>
  <c r="BQ83" i="51"/>
  <c r="BF84" i="51"/>
  <c r="BR104" i="57"/>
  <c r="AX104" i="57"/>
  <c r="AL72" i="51"/>
  <c r="BI103" i="57"/>
  <c r="AX121" i="57"/>
  <c r="BF83" i="51"/>
  <c r="BI75" i="51"/>
  <c r="BI103" i="35"/>
  <c r="AK89" i="51"/>
  <c r="BF102" i="57"/>
  <c r="BE87" i="51"/>
  <c r="AX90" i="51"/>
  <c r="BS122" i="57"/>
  <c r="BS118" i="35"/>
  <c r="BS85" i="51"/>
  <c r="BQ72" i="51"/>
  <c r="BO119" i="57"/>
  <c r="BO117" i="57"/>
  <c r="AK102" i="57"/>
  <c r="AW117" i="57"/>
  <c r="BF87" i="51"/>
  <c r="AU73" i="51"/>
  <c r="BG101" i="57"/>
  <c r="BS102" i="35"/>
  <c r="AU116" i="57"/>
  <c r="BG104" i="57"/>
  <c r="BP106" i="57"/>
  <c r="BQ88" i="51"/>
  <c r="AM85" i="51"/>
  <c r="AY103" i="57"/>
  <c r="BP71" i="51"/>
  <c r="AL73" i="51"/>
  <c r="BI88" i="51"/>
  <c r="BR89" i="51"/>
  <c r="BO88" i="51"/>
  <c r="AV86" i="51"/>
  <c r="AY122" i="57"/>
  <c r="BE108" i="57"/>
  <c r="AW106" i="57"/>
  <c r="AM104" i="57"/>
  <c r="BS116" i="35"/>
  <c r="BP86" i="51"/>
  <c r="BE101" i="57"/>
  <c r="AW120" i="57"/>
  <c r="BI117" i="57"/>
  <c r="AK87" i="51"/>
  <c r="AN120" i="57"/>
  <c r="BO118" i="57"/>
  <c r="AW69" i="51"/>
  <c r="AW101" i="57"/>
  <c r="BH90" i="51"/>
  <c r="BP120" i="57"/>
  <c r="AL120" i="57"/>
  <c r="BQ74" i="51"/>
  <c r="AU69" i="51"/>
  <c r="AX87" i="51"/>
  <c r="BH86" i="51"/>
  <c r="BO108" i="57"/>
  <c r="AX88" i="51"/>
  <c r="AX69" i="51"/>
  <c r="AU84" i="51"/>
  <c r="BI102" i="35"/>
  <c r="BG75" i="51"/>
  <c r="AY118" i="57"/>
  <c r="AV105" i="57"/>
  <c r="BH71" i="51"/>
  <c r="AL115" i="57"/>
  <c r="AV75" i="51"/>
  <c r="AX119" i="57"/>
  <c r="AO108" i="57"/>
  <c r="BO122" i="57"/>
  <c r="BE122" i="57"/>
  <c r="AM69" i="51"/>
  <c r="AX84" i="51"/>
  <c r="AK115" i="57"/>
  <c r="AO118" i="57"/>
  <c r="BF76" i="51"/>
  <c r="BI117" i="35"/>
  <c r="AV89" i="51"/>
  <c r="BG116" i="57"/>
  <c r="AW102" i="57"/>
  <c r="BS119" i="57"/>
  <c r="BR107" i="57"/>
  <c r="BQ89" i="51"/>
  <c r="AO104" i="35"/>
  <c r="AN105" i="57"/>
  <c r="AV103" i="57"/>
  <c r="AN71" i="51"/>
  <c r="BP108" i="57"/>
  <c r="BH89" i="51"/>
  <c r="BQ122" i="57"/>
  <c r="AX71" i="51"/>
  <c r="BP102" i="57"/>
  <c r="AO105" i="57"/>
  <c r="AX108" i="57"/>
  <c r="BP121" i="57"/>
  <c r="AK86" i="51"/>
  <c r="AK118" i="57"/>
  <c r="AL106" i="57"/>
  <c r="AU108" i="57"/>
  <c r="BH104" i="57"/>
  <c r="AY72" i="51"/>
  <c r="BP119" i="57"/>
  <c r="AY87" i="51"/>
  <c r="BH76" i="51"/>
  <c r="BG103" i="57"/>
  <c r="AW76" i="51"/>
  <c r="AY116" i="35"/>
  <c r="AW72" i="51"/>
  <c r="BH87" i="51"/>
  <c r="AL88" i="51"/>
  <c r="BR73" i="51"/>
  <c r="AN90" i="51"/>
  <c r="BP90" i="51"/>
  <c r="BS115" i="35"/>
  <c r="BH105" i="57"/>
  <c r="BH84" i="51"/>
  <c r="BO89" i="51"/>
  <c r="AL84" i="51"/>
  <c r="AY119" i="57"/>
  <c r="BI107" i="57"/>
  <c r="AL76" i="51"/>
  <c r="AL71" i="51"/>
  <c r="BS101" i="35"/>
  <c r="AK72" i="51"/>
  <c r="BI76" i="51"/>
  <c r="AW108" i="57"/>
  <c r="AK101" i="57"/>
  <c r="AW104" i="57"/>
  <c r="BP105" i="57"/>
  <c r="BS117" i="35"/>
  <c r="BF71" i="51"/>
  <c r="AV115" i="57"/>
  <c r="BE107" i="57"/>
  <c r="BS106" i="57"/>
  <c r="AL102" i="57"/>
  <c r="BR105" i="57"/>
  <c r="BP69" i="51"/>
  <c r="BF107" i="57"/>
  <c r="BH122" i="57"/>
  <c r="AU70" i="51"/>
  <c r="AY108" i="57"/>
  <c r="BF106" i="57"/>
  <c r="AL69" i="51"/>
  <c r="BS83" i="51"/>
  <c r="BQ76" i="51"/>
  <c r="AM106" i="57"/>
  <c r="BE83" i="51"/>
  <c r="BP76" i="51"/>
  <c r="AU105" i="57"/>
  <c r="AO70" i="51"/>
  <c r="AO72" i="51"/>
  <c r="AY75" i="51"/>
  <c r="BG84" i="51"/>
  <c r="AO84" i="51"/>
  <c r="AO122" i="57"/>
  <c r="AW84" i="51"/>
  <c r="BE84" i="51"/>
  <c r="AM119" i="57"/>
  <c r="AU89" i="51"/>
  <c r="AO69" i="51"/>
  <c r="AX72" i="51"/>
  <c r="AY71" i="51"/>
  <c r="BI118" i="57"/>
  <c r="BI89" i="51"/>
  <c r="BE90" i="51"/>
  <c r="AO103" i="35"/>
  <c r="BI106" i="57"/>
  <c r="AU103" i="57"/>
  <c r="BG107" i="57"/>
  <c r="AK73" i="51"/>
  <c r="BH103" i="57"/>
  <c r="BG118" i="57"/>
  <c r="BR75" i="51"/>
  <c r="AO117" i="35"/>
  <c r="BH119" i="57"/>
  <c r="AN107" i="57"/>
  <c r="BI71" i="51"/>
  <c r="BS76" i="51"/>
  <c r="AL107" i="57"/>
  <c r="BQ71" i="51"/>
  <c r="BE117" i="57"/>
  <c r="AM121" i="57"/>
  <c r="BP103" i="57"/>
  <c r="BQ118" i="57"/>
  <c r="BS120" i="57"/>
  <c r="AL103" i="57"/>
  <c r="BR117" i="57"/>
  <c r="BQ117" i="57"/>
  <c r="BQ108" i="57"/>
  <c r="BQ75" i="51"/>
  <c r="AY106" i="57"/>
  <c r="AL104" i="57"/>
  <c r="BR118" i="57"/>
  <c r="AY103" i="35"/>
  <c r="AX107" i="57"/>
  <c r="AK104" i="57"/>
  <c r="BE89" i="51"/>
  <c r="AX74" i="51"/>
  <c r="AM117" i="57"/>
  <c r="AN122" i="57"/>
  <c r="BG69" i="51"/>
  <c r="BO107" i="57"/>
  <c r="AV102" i="57"/>
  <c r="BE74" i="51"/>
  <c r="AO115" i="35"/>
  <c r="BE71" i="51"/>
  <c r="AX117" i="57"/>
  <c r="BP115" i="57"/>
  <c r="AW119" i="57"/>
  <c r="AN121" i="57"/>
  <c r="BQ70" i="51"/>
  <c r="BP88" i="51"/>
  <c r="AX75" i="51"/>
  <c r="AL119" i="57"/>
  <c r="AM75" i="51"/>
  <c r="BP85" i="51"/>
  <c r="BS105" i="57"/>
  <c r="BE69" i="51"/>
  <c r="AN119" i="57"/>
  <c r="BG71" i="51"/>
  <c r="BF116" i="57"/>
  <c r="BS73" i="51"/>
  <c r="BS84" i="51"/>
  <c r="AL117" i="57"/>
  <c r="BQ104" i="57"/>
  <c r="AY118" i="35"/>
  <c r="BO70" i="51"/>
  <c r="AO121" i="57"/>
  <c r="BP104" i="57"/>
  <c r="BF69" i="51"/>
  <c r="BS69" i="51"/>
  <c r="AV71" i="51"/>
  <c r="BF89" i="51"/>
  <c r="AU121" i="57"/>
  <c r="AN118" i="57"/>
  <c r="AV121" i="57"/>
  <c r="BP72" i="51"/>
  <c r="AO102" i="35"/>
  <c r="AV120" i="57"/>
  <c r="BG106" i="57"/>
  <c r="AX85" i="51"/>
  <c r="AN108" i="57"/>
  <c r="AK121" i="57"/>
  <c r="AW70" i="51"/>
  <c r="BP73" i="51"/>
  <c r="AU122" i="57"/>
  <c r="AV73" i="51"/>
  <c r="AV118" i="57"/>
  <c r="BR84" i="51"/>
  <c r="AW121" i="57"/>
  <c r="BG115" i="57"/>
  <c r="AL90" i="51"/>
  <c r="AY107" i="57"/>
  <c r="AX120" i="57"/>
  <c r="BS70" i="51"/>
  <c r="AL75" i="51"/>
  <c r="AK76" i="51"/>
  <c r="BR103" i="57"/>
  <c r="BF72" i="51"/>
  <c r="BS71" i="51"/>
  <c r="AW116" i="57"/>
  <c r="BS108" i="57"/>
  <c r="BF103" i="57"/>
  <c r="BQ69" i="51"/>
  <c r="AM108" i="57"/>
  <c r="BR108" i="57"/>
  <c r="AU74" i="51"/>
  <c r="AK117" i="57"/>
  <c r="BO115" i="57"/>
  <c r="AO106" i="57"/>
  <c r="AN86" i="51"/>
  <c r="BG122" i="57"/>
  <c r="BE85" i="51"/>
  <c r="BE116" i="57"/>
  <c r="AW103" i="57"/>
  <c r="BE118" i="57"/>
  <c r="AK83" i="51"/>
  <c r="BO86" i="51"/>
  <c r="AW87" i="51"/>
  <c r="BI108" i="57"/>
  <c r="AO103" i="57"/>
  <c r="AL70" i="51"/>
  <c r="AY69" i="51"/>
  <c r="BE75" i="51"/>
  <c r="BH107" i="57"/>
  <c r="AU107" i="57"/>
  <c r="AO117" i="57"/>
  <c r="BI121" i="57"/>
  <c r="AO86" i="51"/>
  <c r="AK106" i="57"/>
  <c r="AX106" i="57"/>
  <c r="AX105" i="57"/>
  <c r="BQ84" i="51"/>
  <c r="BS90" i="51"/>
  <c r="BP74" i="51"/>
  <c r="BF88" i="51"/>
  <c r="AY101" i="35"/>
  <c r="BQ105" i="57"/>
  <c r="AY105" i="57"/>
  <c r="AV107" i="57"/>
  <c r="BS117" i="57"/>
  <c r="BQ120" i="57"/>
  <c r="AU120" i="57"/>
  <c r="BO90" i="51"/>
  <c r="AU115" i="57"/>
  <c r="AM101" i="57"/>
  <c r="AV106" i="57"/>
  <c r="BH88" i="51"/>
  <c r="BP84" i="51"/>
  <c r="AN72" i="51"/>
  <c r="AL122" i="57"/>
  <c r="BE73" i="51"/>
  <c r="AO85" i="51"/>
  <c r="AN103" i="57"/>
  <c r="BH106" i="57"/>
  <c r="AV70" i="51"/>
  <c r="AM87" i="51"/>
  <c r="BO71" i="51"/>
  <c r="AN89" i="51"/>
  <c r="BF108" i="57"/>
  <c r="BQ119" i="57"/>
  <c r="BH75" i="51"/>
  <c r="AV119" i="57"/>
  <c r="AM107" i="57"/>
  <c r="BO102" i="57"/>
  <c r="AM105" i="57"/>
  <c r="AN76" i="51"/>
  <c r="AV117" i="57"/>
  <c r="BF122" i="57"/>
  <c r="BG76" i="51"/>
  <c r="AL121" i="57"/>
  <c r="AM115" i="57"/>
  <c r="AW118" i="57"/>
  <c r="BI119" i="57"/>
  <c r="BI73" i="51"/>
  <c r="AL86" i="51"/>
  <c r="AL101" i="57"/>
  <c r="BO105" i="57"/>
  <c r="AO87" i="51"/>
  <c r="BQ86" i="51"/>
  <c r="AX70" i="51"/>
  <c r="AW75" i="51"/>
  <c r="BP116" i="57"/>
  <c r="BE76" i="51"/>
  <c r="AO74" i="51"/>
  <c r="BS86" i="51"/>
  <c r="BR70" i="51"/>
  <c r="BS118" i="57"/>
  <c r="AX122" i="57"/>
  <c r="BR90" i="51"/>
  <c r="AW105" i="57"/>
  <c r="AK119" i="57"/>
  <c r="BO121" i="57"/>
  <c r="AV122" i="57"/>
  <c r="AV108" i="57"/>
  <c r="AY70" i="51"/>
  <c r="BQ107" i="57"/>
  <c r="BR85" i="51"/>
  <c r="BG85" i="51"/>
  <c r="BQ90" i="51"/>
  <c r="AN85" i="51"/>
  <c r="AK75" i="51"/>
  <c r="BI104" i="57"/>
  <c r="BP118" i="57"/>
  <c r="AM102" i="57"/>
  <c r="AW86" i="51"/>
  <c r="BQ115" i="57"/>
  <c r="BF73" i="51"/>
  <c r="AO101" i="35"/>
  <c r="AL83" i="51"/>
  <c r="AM73" i="51"/>
  <c r="AK69" i="51"/>
  <c r="BO120" i="57"/>
  <c r="BQ116" i="57"/>
  <c r="BI70" i="51"/>
  <c r="AU119" i="57"/>
  <c r="AM122" i="57"/>
  <c r="BI87" i="51"/>
  <c r="BG87" i="51"/>
  <c r="AN104" i="57"/>
  <c r="BS75" i="51"/>
  <c r="AL87" i="51"/>
  <c r="BG108" i="57"/>
  <c r="AO76" i="51"/>
  <c r="BP70" i="51"/>
  <c r="AU83" i="51"/>
  <c r="AM89" i="51"/>
  <c r="AM84" i="51"/>
  <c r="BR88" i="51"/>
  <c r="BI101" i="35"/>
  <c r="AV90" i="51"/>
  <c r="AL89" i="51"/>
  <c r="AU75" i="51"/>
  <c r="BO106" i="57"/>
  <c r="AV101" i="57"/>
  <c r="BF115" i="57"/>
  <c r="BO87" i="51"/>
  <c r="AX103" i="57"/>
  <c r="BI85" i="51"/>
  <c r="BR74" i="51"/>
  <c r="AK84" i="51"/>
  <c r="BF90" i="51"/>
  <c r="AO104" i="57"/>
  <c r="BS103" i="35"/>
  <c r="BF74" i="51"/>
  <c r="BF121" i="57"/>
  <c r="BP122" i="57"/>
  <c r="BE88" i="51"/>
  <c r="AV88" i="51"/>
  <c r="BQ103" i="57"/>
  <c r="AL108" i="57"/>
  <c r="AN84" i="51"/>
  <c r="BE120" i="57"/>
  <c r="AO107" i="57"/>
  <c r="BF120" i="57"/>
  <c r="BI115" i="35"/>
  <c r="BI118" i="35"/>
  <c r="BS74" i="51"/>
  <c r="BG120" i="57"/>
  <c r="AY102" i="35"/>
  <c r="BG83" i="51"/>
  <c r="AW107" i="57"/>
  <c r="AM88" i="51"/>
  <c r="AO116" i="35"/>
  <c r="AN69" i="51"/>
  <c r="AX89" i="51"/>
  <c r="AK108" i="57"/>
  <c r="BS103" i="57"/>
  <c r="AU90" i="51"/>
  <c r="BR119" i="57"/>
  <c r="AL118" i="57"/>
  <c r="AY83" i="51"/>
  <c r="BR106" i="57"/>
  <c r="BP89" i="51"/>
  <c r="BE72" i="51"/>
  <c r="AK70" i="51"/>
  <c r="AX118" i="57"/>
  <c r="BP83" i="51"/>
  <c r="BS88" i="51"/>
  <c r="AY85" i="51"/>
  <c r="BO85" i="51"/>
  <c r="BH70" i="51"/>
  <c r="BE104" i="57"/>
  <c r="BR71" i="51"/>
  <c r="BS87" i="51"/>
  <c r="AY121" i="57"/>
  <c r="BE103" i="57"/>
  <c r="BE121" i="57"/>
  <c r="AL116" i="57"/>
  <c r="AK85" i="51"/>
  <c r="BR120" i="57"/>
  <c r="AU102" i="57"/>
  <c r="AW74" i="51"/>
  <c r="BG117" i="57"/>
  <c r="AO119" i="57"/>
  <c r="BP87" i="51"/>
  <c r="BE105" i="57"/>
  <c r="BF117" i="57"/>
  <c r="AM118" i="57"/>
  <c r="AU71" i="51"/>
  <c r="AO71" i="51"/>
  <c r="BQ85" i="51"/>
  <c r="AO73" i="51"/>
  <c r="BO72" i="51"/>
  <c r="BI90" i="51"/>
  <c r="BO116" i="57"/>
  <c r="BS121" i="57"/>
  <c r="AM72" i="51"/>
  <c r="AY90" i="51"/>
  <c r="BG119" i="57"/>
  <c r="BI84" i="51"/>
  <c r="BQ73" i="51"/>
  <c r="BO104" i="57"/>
  <c r="BH72" i="51"/>
  <c r="AY117" i="35"/>
  <c r="AV104" i="57"/>
  <c r="AV84" i="51"/>
  <c r="BQ101" i="57"/>
  <c r="BE86" i="51"/>
  <c r="AW89" i="51"/>
  <c r="AY115" i="35"/>
  <c r="BO103" i="57"/>
  <c r="AV87" i="51"/>
  <c r="AK116" i="57"/>
  <c r="AU88" i="51"/>
  <c r="AV72" i="51"/>
  <c r="BH73" i="51"/>
  <c r="AO118" i="35"/>
  <c r="BG70" i="51"/>
  <c r="BI116" i="35"/>
  <c r="BF75" i="51"/>
  <c r="BG74" i="51"/>
  <c r="AW115" i="57"/>
  <c r="BF70" i="51"/>
  <c r="BG102" i="57"/>
  <c r="BF101" i="57"/>
  <c r="AU106" i="57"/>
  <c r="AU118" i="57"/>
  <c r="AY104" i="57"/>
  <c r="AX73" i="51"/>
  <c r="BG90" i="51"/>
  <c r="AV83" i="51"/>
  <c r="AL105" i="57"/>
  <c r="BH108" i="57"/>
  <c r="BE106" i="57"/>
  <c r="AN88" i="51"/>
  <c r="BR87" i="51"/>
  <c r="BH85" i="51"/>
  <c r="BQ106" i="57"/>
  <c r="BO101" i="57"/>
  <c r="AV76" i="51"/>
  <c r="BO76" i="51"/>
  <c r="BO75" i="51"/>
  <c r="BG105" i="57"/>
  <c r="BR122" i="57"/>
  <c r="BG121" i="57"/>
  <c r="AV85" i="51"/>
  <c r="AU87" i="51"/>
  <c r="BI74" i="51"/>
  <c r="AK105" i="57"/>
  <c r="AY88" i="51"/>
  <c r="BR83" i="51"/>
  <c r="AN70" i="51"/>
  <c r="BI86" i="51"/>
  <c r="BI120" i="57"/>
  <c r="AY74" i="51"/>
  <c r="AM76" i="51"/>
  <c r="BQ102" i="57"/>
  <c r="AU76" i="51"/>
  <c r="AM116" i="57"/>
  <c r="BE102" i="57"/>
  <c r="BO84" i="51"/>
  <c r="AO75" i="51"/>
  <c r="BS104" i="57"/>
  <c r="AW90" i="51"/>
  <c r="AY89" i="51"/>
  <c r="AO83" i="51"/>
  <c r="AM120" i="57"/>
  <c r="AX76" i="51"/>
  <c r="AW83" i="51"/>
  <c r="AK71" i="51"/>
  <c r="BG86" i="51"/>
  <c r="AX83" i="51"/>
  <c r="AV74" i="51"/>
  <c r="BE115" i="57"/>
  <c r="AY120" i="57"/>
  <c r="BI69" i="51"/>
  <c r="AM90" i="51"/>
  <c r="AV69" i="51"/>
  <c r="BP75" i="51"/>
  <c r="AM70" i="51"/>
  <c r="BH69" i="51"/>
  <c r="AU72" i="51"/>
  <c r="AU86" i="51"/>
  <c r="AN83" i="51"/>
  <c r="BG72" i="51"/>
  <c r="BR72" i="51"/>
  <c r="AU117" i="57"/>
  <c r="AK74" i="51"/>
  <c r="AM103" i="57"/>
  <c r="BS89" i="51"/>
  <c r="BG89" i="51"/>
  <c r="BR121" i="57"/>
  <c r="AW71" i="51"/>
  <c r="BG88" i="51"/>
  <c r="BF118" i="57"/>
  <c r="AU85" i="51"/>
  <c r="BH83" i="51"/>
  <c r="AO90" i="51"/>
  <c r="AM86" i="51"/>
  <c r="AW85" i="51"/>
  <c r="BP101" i="57"/>
  <c r="BR69" i="51"/>
  <c r="AY86" i="51"/>
  <c r="AO88" i="51"/>
  <c r="AN87" i="51"/>
  <c r="BH121" i="57"/>
  <c r="BG73" i="51"/>
  <c r="AN73" i="51"/>
  <c r="BH117" i="57"/>
  <c r="BI72" i="51"/>
  <c r="AK88" i="51"/>
  <c r="AX86" i="51"/>
  <c r="AW73" i="51"/>
  <c r="BO73" i="51"/>
  <c r="AK103" i="57"/>
  <c r="AL85" i="51"/>
  <c r="BI105" i="57"/>
  <c r="BQ121" i="57"/>
  <c r="AW88" i="51"/>
  <c r="BI122" i="57"/>
  <c r="BF104" i="57"/>
  <c r="BS72" i="51"/>
  <c r="BP107" i="57"/>
  <c r="AV116" i="57"/>
  <c r="AU104" i="57"/>
  <c r="AU101" i="57"/>
  <c r="BR86" i="51"/>
  <c r="AN117" i="57"/>
  <c r="AO120" i="57"/>
  <c r="BF85" i="51"/>
  <c r="AM71" i="51"/>
  <c r="BR76" i="51"/>
  <c r="AY104" i="35"/>
  <c r="BO83" i="51"/>
  <c r="BO74" i="51"/>
  <c r="BF119" i="57"/>
  <c r="BS107" i="57"/>
  <c r="AN74" i="51"/>
  <c r="BF86" i="51"/>
  <c r="AY73" i="51"/>
  <c r="AK90" i="51"/>
  <c r="AK107" i="57"/>
  <c r="AK120" i="57"/>
  <c r="BH118" i="57"/>
  <c r="BQ87" i="51"/>
  <c r="AM74" i="51"/>
  <c r="AK122" i="57"/>
  <c r="BH120" i="57"/>
  <c r="BI104" i="35"/>
  <c r="BH74" i="51"/>
  <c r="BS104" i="35"/>
  <c r="AN75" i="51"/>
  <c r="AY76" i="51"/>
  <c r="AM83" i="51"/>
  <c r="BO69" i="51"/>
  <c r="BE70" i="51"/>
  <c r="BI83" i="51"/>
  <c r="AL74" i="51"/>
  <c r="AW122" i="57"/>
  <c r="BP117" i="57"/>
  <c r="AO89" i="51"/>
  <c r="AY84" i="51"/>
  <c r="BF105" i="57"/>
  <c r="BE119" i="57"/>
  <c r="AN106" i="57"/>
  <c r="AY117" i="57"/>
  <c r="J105" i="57" l="1"/>
  <c r="J54" i="57" s="1"/>
  <c r="J30" i="57" s="1"/>
  <c r="I120" i="57"/>
  <c r="L84" i="51"/>
  <c r="L70" i="51"/>
  <c r="L42" i="51" s="1"/>
  <c r="L27" i="51" s="1"/>
  <c r="Z131" i="26" s="1"/>
  <c r="M70" i="51"/>
  <c r="M42" i="51" s="1"/>
  <c r="M27" i="51" s="1"/>
  <c r="Z140" i="26" s="1"/>
  <c r="I76" i="51"/>
  <c r="I48" i="51" s="1"/>
  <c r="I33" i="51" s="1"/>
  <c r="Z110" i="26" s="1"/>
  <c r="M117" i="35"/>
  <c r="J119" i="57"/>
  <c r="L69" i="51"/>
  <c r="L41" i="51" s="1"/>
  <c r="L26" i="51" s="1"/>
  <c r="Z130" i="26" s="1"/>
  <c r="L72" i="51"/>
  <c r="L44" i="51" s="1"/>
  <c r="L29" i="51" s="1"/>
  <c r="Z133" i="26" s="1"/>
  <c r="I108" i="57"/>
  <c r="I57" i="57" s="1"/>
  <c r="I33" i="57" s="1"/>
  <c r="J122" i="57"/>
  <c r="K106" i="57"/>
  <c r="K55" i="57" s="1"/>
  <c r="K31" i="57" s="1"/>
  <c r="I84" i="51"/>
  <c r="J115" i="57"/>
  <c r="L120" i="57"/>
  <c r="L88" i="51"/>
  <c r="K104" i="57"/>
  <c r="K53" i="57" s="1"/>
  <c r="K29" i="57" s="1"/>
  <c r="M71" i="51"/>
  <c r="M43" i="51" s="1"/>
  <c r="M28" i="51" s="1"/>
  <c r="Z141" i="26" s="1"/>
  <c r="J102" i="57"/>
  <c r="J51" i="57" s="1"/>
  <c r="J27" i="57" s="1"/>
  <c r="I103" i="57"/>
  <c r="I52" i="57" s="1"/>
  <c r="I28" i="57" s="1"/>
  <c r="I71" i="51"/>
  <c r="I43" i="51" s="1"/>
  <c r="I28" i="51" s="1"/>
  <c r="Z105" i="26" s="1"/>
  <c r="K121" i="57"/>
  <c r="L107" i="57"/>
  <c r="L56" i="57" s="1"/>
  <c r="L32" i="57" s="1"/>
  <c r="I72" i="51"/>
  <c r="I44" i="51" s="1"/>
  <c r="I29" i="51" s="1"/>
  <c r="Z106" i="26" s="1"/>
  <c r="J117" i="57"/>
  <c r="K119" i="57"/>
  <c r="J85" i="51"/>
  <c r="L90" i="51"/>
  <c r="L76" i="51"/>
  <c r="L48" i="51" s="1"/>
  <c r="L33" i="51" s="1"/>
  <c r="Z137" i="26" s="1"/>
  <c r="K73" i="51"/>
  <c r="K45" i="51" s="1"/>
  <c r="K30" i="51" s="1"/>
  <c r="Z125" i="26" s="1"/>
  <c r="M117" i="57"/>
  <c r="I85" i="51"/>
  <c r="L119" i="57"/>
  <c r="L77" i="57" s="1"/>
  <c r="L63" i="57" s="1"/>
  <c r="L39" i="57" s="1"/>
  <c r="Z82" i="26" s="1"/>
  <c r="M102" i="35"/>
  <c r="M51" i="35" s="1"/>
  <c r="M27" i="35" s="1"/>
  <c r="K84" i="51"/>
  <c r="K103" i="57"/>
  <c r="K52" i="57" s="1"/>
  <c r="K28" i="57" s="1"/>
  <c r="K107" i="57"/>
  <c r="K56" i="57" s="1"/>
  <c r="K32" i="57" s="1"/>
  <c r="I117" i="57"/>
  <c r="K108" i="57"/>
  <c r="K57" i="57" s="1"/>
  <c r="K33" i="57" s="1"/>
  <c r="J107" i="57"/>
  <c r="J56" i="57" s="1"/>
  <c r="J32" i="57" s="1"/>
  <c r="I88" i="51"/>
  <c r="M104" i="35"/>
  <c r="M53" i="35" s="1"/>
  <c r="M29" i="35" s="1"/>
  <c r="J116" i="57"/>
  <c r="J74" i="57" s="1"/>
  <c r="J60" i="57" s="1"/>
  <c r="J36" i="57" s="1"/>
  <c r="Z61" i="26" s="1"/>
  <c r="I115" i="57"/>
  <c r="M86" i="51"/>
  <c r="J118" i="57"/>
  <c r="L121" i="57"/>
  <c r="K86" i="51"/>
  <c r="L106" i="57"/>
  <c r="L55" i="57" s="1"/>
  <c r="L31" i="57" s="1"/>
  <c r="I104" i="57"/>
  <c r="I53" i="57" s="1"/>
  <c r="I29" i="57" s="1"/>
  <c r="M84" i="51"/>
  <c r="K70" i="51"/>
  <c r="K42" i="51" s="1"/>
  <c r="K27" i="51" s="1"/>
  <c r="Z122" i="26" s="1"/>
  <c r="K75" i="51"/>
  <c r="K47" i="51" s="1"/>
  <c r="K32" i="51" s="1"/>
  <c r="Z127" i="26" s="1"/>
  <c r="L122" i="57"/>
  <c r="I75" i="51"/>
  <c r="I47" i="51" s="1"/>
  <c r="I32" i="51" s="1"/>
  <c r="Z109" i="26" s="1"/>
  <c r="I102" i="57"/>
  <c r="I51" i="57" s="1"/>
  <c r="I27" i="57" s="1"/>
  <c r="I105" i="57"/>
  <c r="I54" i="57" s="1"/>
  <c r="I30" i="57" s="1"/>
  <c r="I122" i="57"/>
  <c r="I80" i="57" s="1"/>
  <c r="I66" i="57" s="1"/>
  <c r="I42" i="57" s="1"/>
  <c r="Z58" i="26" s="1"/>
  <c r="L75" i="51"/>
  <c r="L47" i="51" s="1"/>
  <c r="L32" i="51" s="1"/>
  <c r="Z136" i="26" s="1"/>
  <c r="I119" i="57"/>
  <c r="I73" i="51"/>
  <c r="I45" i="51" s="1"/>
  <c r="I30" i="51" s="1"/>
  <c r="Z107" i="26" s="1"/>
  <c r="M83" i="51"/>
  <c r="I106" i="57"/>
  <c r="I55" i="57" s="1"/>
  <c r="I31" i="57" s="1"/>
  <c r="M76" i="51"/>
  <c r="M48" i="51" s="1"/>
  <c r="M33" i="51" s="1"/>
  <c r="Z146" i="26" s="1"/>
  <c r="L105" i="57"/>
  <c r="L54" i="57" s="1"/>
  <c r="L30" i="57" s="1"/>
  <c r="K105" i="57"/>
  <c r="K54" i="57" s="1"/>
  <c r="K30" i="57" s="1"/>
  <c r="M75" i="51"/>
  <c r="M47" i="51" s="1"/>
  <c r="M32" i="51" s="1"/>
  <c r="Z145" i="26" s="1"/>
  <c r="L85" i="51"/>
  <c r="L71" i="51"/>
  <c r="L43" i="51" s="1"/>
  <c r="L28" i="51" s="1"/>
  <c r="Z132" i="26" s="1"/>
  <c r="L89" i="51"/>
  <c r="I121" i="57"/>
  <c r="I90" i="51"/>
  <c r="K71" i="51"/>
  <c r="K43" i="51" s="1"/>
  <c r="K28" i="51" s="1"/>
  <c r="Z123" i="26" s="1"/>
  <c r="M107" i="57"/>
  <c r="M56" i="57" s="1"/>
  <c r="M32" i="57" s="1"/>
  <c r="M108" i="57"/>
  <c r="M57" i="57" s="1"/>
  <c r="M33" i="57" s="1"/>
  <c r="J75" i="51"/>
  <c r="J47" i="51" s="1"/>
  <c r="J32" i="51" s="1"/>
  <c r="Z118" i="26" s="1"/>
  <c r="K72" i="51"/>
  <c r="K44" i="51" s="1"/>
  <c r="K29" i="51" s="1"/>
  <c r="Z124" i="26" s="1"/>
  <c r="M118" i="35"/>
  <c r="M76" i="35" s="1"/>
  <c r="M62" i="35" s="1"/>
  <c r="M38" i="35" s="1"/>
  <c r="H90" i="36" s="1"/>
  <c r="M105" i="57"/>
  <c r="M54" i="57" s="1"/>
  <c r="M30" i="57" s="1"/>
  <c r="J103" i="57"/>
  <c r="J52" i="57" s="1"/>
  <c r="J28" i="57" s="1"/>
  <c r="K85" i="51"/>
  <c r="M103" i="35"/>
  <c r="M52" i="35" s="1"/>
  <c r="M28" i="35" s="1"/>
  <c r="J76" i="51"/>
  <c r="J48" i="51" s="1"/>
  <c r="J33" i="51" s="1"/>
  <c r="Z119" i="26" s="1"/>
  <c r="I118" i="57"/>
  <c r="I76" i="57" s="1"/>
  <c r="I62" i="57" s="1"/>
  <c r="I38" i="57" s="1"/>
  <c r="Z54" i="26" s="1"/>
  <c r="I89" i="51"/>
  <c r="M74" i="51"/>
  <c r="M46" i="51" s="1"/>
  <c r="M31" i="51" s="1"/>
  <c r="Z144" i="26" s="1"/>
  <c r="M121" i="57"/>
  <c r="K83" i="51"/>
  <c r="J74" i="51"/>
  <c r="J46" i="51" s="1"/>
  <c r="J31" i="51" s="1"/>
  <c r="Z117" i="26" s="1"/>
  <c r="J88" i="51"/>
  <c r="M116" i="35"/>
  <c r="M74" i="35" s="1"/>
  <c r="M60" i="35" s="1"/>
  <c r="M36" i="35" s="1"/>
  <c r="H88" i="36" s="1"/>
  <c r="K76" i="51"/>
  <c r="K48" i="51" s="1"/>
  <c r="K33" i="51" s="1"/>
  <c r="Z128" i="26" s="1"/>
  <c r="M122" i="57"/>
  <c r="J120" i="57"/>
  <c r="J72" i="51"/>
  <c r="J44" i="51" s="1"/>
  <c r="J29" i="51" s="1"/>
  <c r="Z115" i="26" s="1"/>
  <c r="M73" i="51"/>
  <c r="M45" i="51" s="1"/>
  <c r="M30" i="51" s="1"/>
  <c r="Z143" i="26" s="1"/>
  <c r="I69" i="51"/>
  <c r="I41" i="51" s="1"/>
  <c r="I26" i="51" s="1"/>
  <c r="Z103" i="26" s="1"/>
  <c r="L83" i="51"/>
  <c r="K101" i="57"/>
  <c r="K50" i="57" s="1"/>
  <c r="K26" i="57" s="1"/>
  <c r="M89" i="51"/>
  <c r="K116" i="57"/>
  <c r="M119" i="57"/>
  <c r="I70" i="51"/>
  <c r="I42" i="51" s="1"/>
  <c r="I27" i="51" s="1"/>
  <c r="Z104" i="26" s="1"/>
  <c r="I86" i="51"/>
  <c r="J121" i="57"/>
  <c r="J83" i="51"/>
  <c r="K122" i="57"/>
  <c r="I83" i="51"/>
  <c r="M85" i="51"/>
  <c r="I74" i="51"/>
  <c r="I46" i="51" s="1"/>
  <c r="I31" i="51" s="1"/>
  <c r="Z108" i="26" s="1"/>
  <c r="K120" i="57"/>
  <c r="K78" i="57" s="1"/>
  <c r="K64" i="57" s="1"/>
  <c r="K40" i="57" s="1"/>
  <c r="Z74" i="26" s="1"/>
  <c r="K87" i="51"/>
  <c r="J69" i="51"/>
  <c r="J41" i="51" s="1"/>
  <c r="J26" i="51" s="1"/>
  <c r="Z112" i="26" s="1"/>
  <c r="I101" i="57"/>
  <c r="I50" i="57" s="1"/>
  <c r="I26" i="57" s="1"/>
  <c r="J86" i="51"/>
  <c r="M87" i="51"/>
  <c r="M106" i="57"/>
  <c r="M55" i="57" s="1"/>
  <c r="M31" i="57" s="1"/>
  <c r="K115" i="57"/>
  <c r="L73" i="51"/>
  <c r="L45" i="51" s="1"/>
  <c r="L30" i="51" s="1"/>
  <c r="Z134" i="26" s="1"/>
  <c r="L87" i="51"/>
  <c r="M120" i="57"/>
  <c r="J70" i="51"/>
  <c r="J42" i="51" s="1"/>
  <c r="J27" i="51" s="1"/>
  <c r="Z113" i="26" s="1"/>
  <c r="L118" i="57"/>
  <c r="J104" i="57"/>
  <c r="J53" i="57" s="1"/>
  <c r="J29" i="57" s="1"/>
  <c r="K74" i="51"/>
  <c r="K46" i="51" s="1"/>
  <c r="K31" i="51" s="1"/>
  <c r="Z126" i="26" s="1"/>
  <c r="M115" i="35"/>
  <c r="M118" i="57"/>
  <c r="M72" i="51"/>
  <c r="M44" i="51" s="1"/>
  <c r="M29" i="51" s="1"/>
  <c r="Z142" i="26" s="1"/>
  <c r="J90" i="51"/>
  <c r="I87" i="51"/>
  <c r="M88" i="51"/>
  <c r="I107" i="57"/>
  <c r="I56" i="57" s="1"/>
  <c r="I32" i="57" s="1"/>
  <c r="M101" i="35"/>
  <c r="M50" i="35" s="1"/>
  <c r="M26" i="35" s="1"/>
  <c r="K89" i="51"/>
  <c r="L103" i="57"/>
  <c r="J89" i="51"/>
  <c r="L104" i="57"/>
  <c r="L53" i="57" s="1"/>
  <c r="L29" i="57" s="1"/>
  <c r="J108" i="57"/>
  <c r="J57" i="57" s="1"/>
  <c r="J33" i="57" s="1"/>
  <c r="J71" i="51"/>
  <c r="J43" i="51" s="1"/>
  <c r="J28" i="51" s="1"/>
  <c r="Z114" i="26" s="1"/>
  <c r="K90" i="51"/>
  <c r="K69" i="51"/>
  <c r="K41" i="51" s="1"/>
  <c r="K26" i="51" s="1"/>
  <c r="Z121" i="26" s="1"/>
  <c r="J87" i="51"/>
  <c r="M69" i="51"/>
  <c r="M41" i="51" s="1"/>
  <c r="M26" i="51" s="1"/>
  <c r="Z139" i="26" s="1"/>
  <c r="J73" i="51"/>
  <c r="J45" i="51" s="1"/>
  <c r="J30" i="51" s="1"/>
  <c r="Z116" i="26" s="1"/>
  <c r="L117" i="57"/>
  <c r="K117" i="57"/>
  <c r="J84" i="51"/>
  <c r="K118" i="57"/>
  <c r="K76" i="57" s="1"/>
  <c r="K62" i="57" s="1"/>
  <c r="K38" i="57" s="1"/>
  <c r="Z72" i="26" s="1"/>
  <c r="M90" i="51"/>
  <c r="M103" i="57"/>
  <c r="M52" i="57" s="1"/>
  <c r="M28" i="57" s="1"/>
  <c r="L86" i="51"/>
  <c r="K88" i="51"/>
  <c r="K102" i="57"/>
  <c r="K51" i="57" s="1"/>
  <c r="K27" i="57" s="1"/>
  <c r="J101" i="57"/>
  <c r="J50" i="57" s="1"/>
  <c r="J26" i="57" s="1"/>
  <c r="M104" i="57"/>
  <c r="M53" i="57" s="1"/>
  <c r="M29" i="57" s="1"/>
  <c r="I116" i="57"/>
  <c r="I74" i="57" s="1"/>
  <c r="I60" i="57" s="1"/>
  <c r="I36" i="57" s="1"/>
  <c r="Z52" i="26" s="1"/>
  <c r="L74" i="51"/>
  <c r="L46" i="51" s="1"/>
  <c r="L31" i="51" s="1"/>
  <c r="Z135" i="26" s="1"/>
  <c r="J106" i="57"/>
  <c r="J55" i="57" s="1"/>
  <c r="J31" i="57" s="1"/>
  <c r="L108" i="57"/>
  <c r="L57" i="57" s="1"/>
  <c r="L33" i="57" s="1"/>
  <c r="K77" i="57"/>
  <c r="K63" i="57" s="1"/>
  <c r="K39" i="57" s="1"/>
  <c r="Z73" i="26" s="1"/>
  <c r="O51" i="26"/>
  <c r="F51" i="26" s="1"/>
  <c r="J77" i="57" l="1"/>
  <c r="J63" i="57" s="1"/>
  <c r="J39" i="57" s="1"/>
  <c r="Z64" i="26" s="1"/>
  <c r="I75" i="57"/>
  <c r="I61" i="57" s="1"/>
  <c r="I37" i="57" s="1"/>
  <c r="Z53" i="26" s="1"/>
  <c r="M75" i="35"/>
  <c r="M61" i="35" s="1"/>
  <c r="M37" i="35" s="1"/>
  <c r="H89" i="36" s="1"/>
  <c r="J80" i="57"/>
  <c r="J66" i="57" s="1"/>
  <c r="J42" i="57" s="1"/>
  <c r="Z67" i="26" s="1"/>
  <c r="J79" i="57"/>
  <c r="J65" i="57" s="1"/>
  <c r="J41" i="57" s="1"/>
  <c r="Z66" i="26" s="1"/>
  <c r="K73" i="57"/>
  <c r="K59" i="57" s="1"/>
  <c r="K35" i="57" s="1"/>
  <c r="Z69" i="26" s="1"/>
  <c r="M80" i="57"/>
  <c r="M66" i="57" s="1"/>
  <c r="M42" i="57" s="1"/>
  <c r="Z94" i="26" s="1"/>
  <c r="J75" i="57"/>
  <c r="J61" i="57" s="1"/>
  <c r="J37" i="57" s="1"/>
  <c r="Z62" i="26" s="1"/>
  <c r="M76" i="57"/>
  <c r="M62" i="57" s="1"/>
  <c r="M38" i="57" s="1"/>
  <c r="Z90" i="26" s="1"/>
  <c r="I77" i="57"/>
  <c r="I63" i="57" s="1"/>
  <c r="I39" i="57" s="1"/>
  <c r="Z55" i="26" s="1"/>
  <c r="I73" i="57"/>
  <c r="I59" i="57" s="1"/>
  <c r="I35" i="57" s="1"/>
  <c r="Z51" i="26" s="1"/>
  <c r="J73" i="57"/>
  <c r="J59" i="57" s="1"/>
  <c r="J35" i="57" s="1"/>
  <c r="Z60" i="26" s="1"/>
  <c r="K79" i="57"/>
  <c r="K65" i="57" s="1"/>
  <c r="K41" i="57" s="1"/>
  <c r="Z75" i="26" s="1"/>
  <c r="K75" i="57"/>
  <c r="K61" i="57" s="1"/>
  <c r="K37" i="57" s="1"/>
  <c r="Z71" i="26" s="1"/>
  <c r="M79" i="57"/>
  <c r="M65" i="57" s="1"/>
  <c r="M41" i="57" s="1"/>
  <c r="Z93" i="26" s="1"/>
  <c r="I79" i="57"/>
  <c r="I65" i="57" s="1"/>
  <c r="I41" i="57" s="1"/>
  <c r="Z57" i="26" s="1"/>
  <c r="M75" i="57"/>
  <c r="M61" i="57" s="1"/>
  <c r="M37" i="57" s="1"/>
  <c r="Z89" i="26" s="1"/>
  <c r="L78" i="57"/>
  <c r="L64" i="57" s="1"/>
  <c r="L40" i="57" s="1"/>
  <c r="Z83" i="26" s="1"/>
  <c r="L52" i="57"/>
  <c r="L28" i="57" s="1"/>
  <c r="L75" i="57"/>
  <c r="L61" i="57" s="1"/>
  <c r="L37" i="57" s="1"/>
  <c r="L79" i="57"/>
  <c r="L65" i="57" s="1"/>
  <c r="L41" i="57" s="1"/>
  <c r="Z84" i="26" s="1"/>
  <c r="L76" i="57"/>
  <c r="L62" i="57" s="1"/>
  <c r="L38" i="57" s="1"/>
  <c r="Z81" i="26" s="1"/>
  <c r="M73" i="35"/>
  <c r="M59" i="35" s="1"/>
  <c r="M35" i="35" s="1"/>
  <c r="H87" i="36" s="1"/>
  <c r="M77" i="57"/>
  <c r="M63" i="57" s="1"/>
  <c r="M39" i="57" s="1"/>
  <c r="Z91" i="26" s="1"/>
  <c r="K80" i="57"/>
  <c r="K66" i="57" s="1"/>
  <c r="K42" i="57" s="1"/>
  <c r="Z76" i="26" s="1"/>
  <c r="J76" i="57"/>
  <c r="J62" i="57" s="1"/>
  <c r="J38" i="57" s="1"/>
  <c r="Z63" i="26" s="1"/>
  <c r="K74" i="57"/>
  <c r="K60" i="57" s="1"/>
  <c r="K36" i="57" s="1"/>
  <c r="Z70" i="26" s="1"/>
  <c r="L80" i="57"/>
  <c r="L66" i="57" s="1"/>
  <c r="L42" i="57" s="1"/>
  <c r="Z85" i="26" s="1"/>
  <c r="J78" i="57"/>
  <c r="J64" i="57" s="1"/>
  <c r="J40" i="57" s="1"/>
  <c r="Z65" i="26" s="1"/>
  <c r="M78" i="57"/>
  <c r="M64" i="57" s="1"/>
  <c r="M40" i="57" s="1"/>
  <c r="Z92" i="26" s="1"/>
  <c r="I78" i="57"/>
  <c r="I64" i="57" s="1"/>
  <c r="I40" i="57" s="1"/>
  <c r="Z56" i="26" s="1"/>
  <c r="Z80" i="26" l="1"/>
  <c r="BC118" i="35"/>
  <c r="BS122" i="35"/>
  <c r="AH75" i="51"/>
  <c r="AT106" i="35"/>
  <c r="AZ104" i="35"/>
  <c r="AT76" i="51"/>
  <c r="BL120" i="57"/>
  <c r="AI70" i="51"/>
  <c r="AL103" i="35"/>
  <c r="AF117" i="35"/>
  <c r="BK88" i="51"/>
  <c r="AP70" i="51"/>
  <c r="BP119" i="35"/>
  <c r="AI90" i="51"/>
  <c r="BH115" i="35"/>
  <c r="BA103" i="35"/>
  <c r="AI106" i="35"/>
  <c r="BA103" i="57"/>
  <c r="BC74" i="51"/>
  <c r="AP83" i="51"/>
  <c r="BQ101" i="35"/>
  <c r="BH120" i="35"/>
  <c r="AG83" i="51"/>
  <c r="AS106" i="57"/>
  <c r="BF122" i="35"/>
  <c r="BC119" i="35"/>
  <c r="AK101" i="35"/>
  <c r="BA118" i="35"/>
  <c r="AG120" i="35"/>
  <c r="AY107" i="35"/>
  <c r="BE122" i="35"/>
  <c r="BR105" i="35"/>
  <c r="BN103" i="57"/>
  <c r="AR74" i="51"/>
  <c r="AZ86" i="51"/>
  <c r="BL103" i="57"/>
  <c r="AU122" i="35"/>
  <c r="AQ102" i="57"/>
  <c r="BC101" i="35"/>
  <c r="AQ75" i="51"/>
  <c r="BC107" i="57"/>
  <c r="BM107" i="57"/>
  <c r="BM75" i="51"/>
  <c r="AV105" i="35"/>
  <c r="AP117" i="35"/>
  <c r="AX105" i="35"/>
  <c r="AG87" i="51"/>
  <c r="BO121" i="35"/>
  <c r="AS120" i="35"/>
  <c r="BL73" i="51"/>
  <c r="AM103" i="35"/>
  <c r="BD122" i="57"/>
  <c r="AI102" i="35"/>
  <c r="AQ88" i="51"/>
  <c r="BM118" i="35"/>
  <c r="BC102" i="35"/>
  <c r="AY105" i="35"/>
  <c r="BF101" i="35"/>
  <c r="AP118" i="57"/>
  <c r="AF119" i="35"/>
  <c r="AI116" i="57"/>
  <c r="BG102" i="35"/>
  <c r="BK118" i="35"/>
  <c r="BA121" i="57"/>
  <c r="AY119" i="35"/>
  <c r="AF106" i="35"/>
  <c r="AJ71" i="51"/>
  <c r="BD76" i="51"/>
  <c r="BN115" i="57"/>
  <c r="BK121" i="57"/>
  <c r="AN107" i="35"/>
  <c r="AR75" i="51"/>
  <c r="BL85" i="51"/>
  <c r="BP102" i="35"/>
  <c r="BA107" i="35"/>
  <c r="AS108" i="35"/>
  <c r="BK74" i="51"/>
  <c r="AS117" i="57"/>
  <c r="AQ108" i="57"/>
  <c r="AJ121" i="35"/>
  <c r="AT104" i="57"/>
  <c r="BM71" i="51"/>
  <c r="AI120" i="57"/>
  <c r="AM104" i="35"/>
  <c r="BA118" i="57"/>
  <c r="BO102" i="35"/>
  <c r="AJ115" i="35"/>
  <c r="AS118" i="35"/>
  <c r="BL105" i="57"/>
  <c r="BC89" i="51"/>
  <c r="AR102" i="35"/>
  <c r="BK107" i="35"/>
  <c r="BR118" i="35"/>
  <c r="AR88" i="51"/>
  <c r="AH69" i="51"/>
  <c r="AR103" i="35"/>
  <c r="BB105" i="35"/>
  <c r="BN101" i="35"/>
  <c r="BL121" i="35"/>
  <c r="AN122" i="35"/>
  <c r="BD74" i="51"/>
  <c r="AV102" i="35"/>
  <c r="AG89" i="51"/>
  <c r="AZ72" i="51"/>
  <c r="AV106" i="35"/>
  <c r="AK104" i="35"/>
  <c r="BF120" i="35"/>
  <c r="BB108" i="57"/>
  <c r="AV115" i="35"/>
  <c r="AP89" i="51"/>
  <c r="AJ76" i="51"/>
  <c r="BM73" i="51"/>
  <c r="AZ103" i="57"/>
  <c r="BG103" i="35"/>
  <c r="BD115" i="57"/>
  <c r="AM120" i="35"/>
  <c r="AZ120" i="57"/>
  <c r="AR107" i="57"/>
  <c r="BH121" i="35"/>
  <c r="AJ121" i="57"/>
  <c r="BL108" i="35"/>
  <c r="AH88" i="51"/>
  <c r="AF116" i="57"/>
  <c r="AJ85" i="51"/>
  <c r="BK90" i="51"/>
  <c r="AJ120" i="35"/>
  <c r="AR84" i="51"/>
  <c r="BR121" i="35"/>
  <c r="BJ122" i="57"/>
  <c r="AJ116" i="35"/>
  <c r="AZ117" i="35"/>
  <c r="AK122" i="35"/>
  <c r="BJ101" i="35"/>
  <c r="AG119" i="35"/>
  <c r="BA106" i="57"/>
  <c r="AZ118" i="35"/>
  <c r="AI121" i="35"/>
  <c r="BB71" i="51"/>
  <c r="BJ103" i="57"/>
  <c r="AQ117" i="57"/>
  <c r="AZ85" i="51"/>
  <c r="AO105" i="35"/>
  <c r="AH74" i="51"/>
  <c r="AS73" i="51"/>
  <c r="AI101" i="57"/>
  <c r="BJ101" i="57"/>
  <c r="BC122" i="57"/>
  <c r="AJ108" i="35"/>
  <c r="BJ106" i="35"/>
  <c r="AF104" i="35"/>
  <c r="BN118" i="35"/>
  <c r="BJ107" i="57"/>
  <c r="BO108" i="35"/>
  <c r="AS69" i="51"/>
  <c r="AR102" i="57"/>
  <c r="BL117" i="35"/>
  <c r="BC104" i="57"/>
  <c r="AU108" i="35"/>
  <c r="BQ104" i="35"/>
  <c r="BM120" i="57"/>
  <c r="BA88" i="51"/>
  <c r="AF117" i="57"/>
  <c r="AK120" i="35"/>
  <c r="AV120" i="35"/>
  <c r="BN108" i="35"/>
  <c r="BC76" i="51"/>
  <c r="BD84" i="51"/>
  <c r="AP104" i="57"/>
  <c r="AJ75" i="51"/>
  <c r="BI119" i="35"/>
  <c r="AL102" i="35"/>
  <c r="BC117" i="57"/>
  <c r="AT104" i="35"/>
  <c r="BD121" i="35"/>
  <c r="AU121" i="35"/>
  <c r="BJ105" i="57"/>
  <c r="AZ76" i="51"/>
  <c r="BJ118" i="35"/>
  <c r="BJ122" i="35"/>
  <c r="AJ105" i="35"/>
  <c r="BE104" i="35"/>
  <c r="BL76" i="51"/>
  <c r="BB122" i="57"/>
  <c r="AI104" i="57"/>
  <c r="BK115" i="57"/>
  <c r="BM103" i="57"/>
  <c r="AP116" i="35"/>
  <c r="BS106" i="35"/>
  <c r="AI88" i="51"/>
  <c r="AH106" i="35"/>
  <c r="AF119" i="57"/>
  <c r="BD120" i="35"/>
  <c r="AH120" i="35"/>
  <c r="BC75" i="51"/>
  <c r="BR106" i="35"/>
  <c r="AN106" i="35"/>
  <c r="AT115" i="57"/>
  <c r="BQ120" i="35"/>
  <c r="AS121" i="57"/>
  <c r="AV119" i="35"/>
  <c r="AR85" i="51"/>
  <c r="AG121" i="57"/>
  <c r="AQ72" i="51"/>
  <c r="AL117" i="35"/>
  <c r="AP104" i="35"/>
  <c r="BN103" i="35"/>
  <c r="AJ106" i="35"/>
  <c r="BN72" i="51"/>
  <c r="BB89" i="51"/>
  <c r="BF102" i="35"/>
  <c r="AS103" i="57"/>
  <c r="BQ116" i="35"/>
  <c r="AP121" i="57"/>
  <c r="AJ101" i="57"/>
  <c r="BJ73" i="51"/>
  <c r="BD120" i="57"/>
  <c r="BA121" i="35"/>
  <c r="AX107" i="35"/>
  <c r="AZ107" i="57"/>
  <c r="AR106" i="57"/>
  <c r="AF118" i="35"/>
  <c r="BB115" i="35"/>
  <c r="BR104" i="35"/>
  <c r="BG119" i="35"/>
  <c r="BO119" i="35"/>
  <c r="BN120" i="35"/>
  <c r="BM115" i="57"/>
  <c r="BL104" i="35"/>
  <c r="BJ106" i="57"/>
  <c r="AI72" i="51"/>
  <c r="AH107" i="35"/>
  <c r="AJ108" i="57"/>
  <c r="AP103" i="35"/>
  <c r="AW119" i="35"/>
  <c r="BK101" i="57"/>
  <c r="AT102" i="35"/>
  <c r="AL106" i="35"/>
  <c r="BC116" i="57"/>
  <c r="BG106" i="35"/>
  <c r="BG107" i="35"/>
  <c r="BC86" i="51"/>
  <c r="BL121" i="57"/>
  <c r="AK108" i="35"/>
  <c r="BB117" i="35"/>
  <c r="AH116" i="35"/>
  <c r="BK87" i="51"/>
  <c r="AG121" i="35"/>
  <c r="BK107" i="57"/>
  <c r="BK103" i="35"/>
  <c r="AH76" i="51"/>
  <c r="BA74" i="51"/>
  <c r="BJ115" i="35"/>
  <c r="AT117" i="35"/>
  <c r="AP101" i="57"/>
  <c r="BB90" i="51"/>
  <c r="AQ115" i="35"/>
  <c r="AW102" i="35"/>
  <c r="AX104" i="35"/>
  <c r="BA73" i="51"/>
  <c r="BH101" i="35"/>
  <c r="BN69" i="51"/>
  <c r="BR107" i="35"/>
  <c r="BO106" i="35"/>
  <c r="AN108" i="35"/>
  <c r="AQ69" i="51"/>
  <c r="AH101" i="57"/>
  <c r="AG71" i="51"/>
  <c r="AZ115" i="35"/>
  <c r="AT117" i="57"/>
  <c r="AH115" i="35"/>
  <c r="AR70" i="51"/>
  <c r="AH105" i="35"/>
  <c r="AH107" i="57"/>
  <c r="AQ103" i="35"/>
  <c r="AT102" i="57"/>
  <c r="AU103" i="35"/>
  <c r="AZ75" i="51"/>
  <c r="AT118" i="35"/>
  <c r="AV122" i="35"/>
  <c r="AH120" i="57"/>
  <c r="BQ122" i="35"/>
  <c r="BD106" i="57"/>
  <c r="BN89" i="51"/>
  <c r="AI116" i="35"/>
  <c r="AL107" i="35"/>
  <c r="AZ87" i="51"/>
  <c r="BL115" i="57"/>
  <c r="BP108" i="35"/>
  <c r="AH116" i="57"/>
  <c r="AS119" i="57"/>
  <c r="BP116" i="35"/>
  <c r="AG115" i="35"/>
  <c r="BM116" i="57"/>
  <c r="AS101" i="35"/>
  <c r="BK117" i="35"/>
  <c r="AR105" i="57"/>
  <c r="AG119" i="57"/>
  <c r="BM102" i="57"/>
  <c r="BB118" i="57"/>
  <c r="BI122" i="35"/>
  <c r="BN105" i="57"/>
  <c r="BF121" i="35"/>
  <c r="BA102" i="35"/>
  <c r="AI117" i="57"/>
  <c r="AS115" i="35"/>
  <c r="AS101" i="57"/>
  <c r="AT120" i="57"/>
  <c r="AH106" i="57"/>
  <c r="AZ121" i="57"/>
  <c r="BO120" i="35"/>
  <c r="AH117" i="35"/>
  <c r="AQ87" i="51"/>
  <c r="BE102" i="35"/>
  <c r="BO117" i="35"/>
  <c r="AL104" i="35"/>
  <c r="BR101" i="35"/>
  <c r="BM108" i="57"/>
  <c r="AW122" i="35"/>
  <c r="BA104" i="57"/>
  <c r="BN122" i="35"/>
  <c r="AP102" i="35"/>
  <c r="AS70" i="51"/>
  <c r="AL115" i="35"/>
  <c r="AN118" i="35"/>
  <c r="BQ108" i="35"/>
  <c r="AP101" i="35"/>
  <c r="AZ102" i="35"/>
  <c r="AZ102" i="57"/>
  <c r="AZ115" i="57"/>
  <c r="AT90" i="51"/>
  <c r="BJ69" i="51"/>
  <c r="AR108" i="35"/>
  <c r="AR108" i="57"/>
  <c r="AZ84" i="51"/>
  <c r="BJ102" i="57"/>
  <c r="AT121" i="35"/>
  <c r="AJ74" i="51"/>
  <c r="BB117" i="57"/>
  <c r="BJ87" i="51"/>
  <c r="AR73" i="51"/>
  <c r="AR86" i="51"/>
  <c r="AI122" i="35"/>
  <c r="BD116" i="35"/>
  <c r="BB107" i="35"/>
  <c r="AQ122" i="57"/>
  <c r="BC115" i="35"/>
  <c r="BJ119" i="57"/>
  <c r="BQ121" i="35"/>
  <c r="BJ72" i="51"/>
  <c r="BN71" i="51"/>
  <c r="AG86" i="51"/>
  <c r="BB120" i="35"/>
  <c r="BH122" i="35"/>
  <c r="AS105" i="57"/>
  <c r="BB86" i="51"/>
  <c r="AV117" i="35"/>
  <c r="AH104" i="57"/>
  <c r="AR106" i="35"/>
  <c r="BN88" i="51"/>
  <c r="AK106" i="35"/>
  <c r="AG117" i="35"/>
  <c r="AF84" i="51"/>
  <c r="BD85" i="51"/>
  <c r="AH70" i="51"/>
  <c r="BJ76" i="51"/>
  <c r="AH108" i="35"/>
  <c r="BG117" i="35"/>
  <c r="AP115" i="35"/>
  <c r="BE121" i="35"/>
  <c r="AU116" i="35"/>
  <c r="BM119" i="35"/>
  <c r="AG70" i="51"/>
  <c r="AG103" i="35"/>
  <c r="AW117" i="35"/>
  <c r="BG118" i="35"/>
  <c r="AT73" i="51"/>
  <c r="BM120" i="35"/>
  <c r="BA84" i="51"/>
  <c r="AX121" i="35"/>
  <c r="AT107" i="35"/>
  <c r="BC103" i="35"/>
  <c r="BA102" i="57"/>
  <c r="BN107" i="57"/>
  <c r="AW103" i="35"/>
  <c r="AQ90" i="51"/>
  <c r="BC107" i="35"/>
  <c r="BN121" i="57"/>
  <c r="BA89" i="51"/>
  <c r="BF107" i="35"/>
  <c r="AQ104" i="35"/>
  <c r="AS121" i="35"/>
  <c r="AP90" i="51"/>
  <c r="AN117" i="35"/>
  <c r="AT83" i="51"/>
  <c r="AU107" i="35"/>
  <c r="AR120" i="35"/>
  <c r="AH104" i="35"/>
  <c r="BN106" i="57"/>
  <c r="AG116" i="57"/>
  <c r="AI122" i="57"/>
  <c r="AH121" i="57"/>
  <c r="BL101" i="57"/>
  <c r="AN115" i="35"/>
  <c r="BB118" i="35"/>
  <c r="AP119" i="35"/>
  <c r="AQ105" i="35"/>
  <c r="AW116" i="35"/>
  <c r="AZ107" i="35"/>
  <c r="AS72" i="51"/>
  <c r="AT108" i="35"/>
  <c r="AG117" i="57"/>
  <c r="AS83" i="51"/>
  <c r="AI89" i="51"/>
  <c r="BN116" i="35"/>
  <c r="BN121" i="35"/>
  <c r="BN87" i="51"/>
  <c r="AH71" i="51"/>
  <c r="AI84" i="51"/>
  <c r="BL74" i="51"/>
  <c r="AT121" i="57"/>
  <c r="BL70" i="51"/>
  <c r="BK108" i="35"/>
  <c r="BB120" i="57"/>
  <c r="AI119" i="57"/>
  <c r="AR71" i="51"/>
  <c r="AZ103" i="35"/>
  <c r="BK85" i="51"/>
  <c r="AH87" i="51"/>
  <c r="AJ119" i="35"/>
  <c r="BG122" i="35"/>
  <c r="BP118" i="35"/>
  <c r="BK76" i="51"/>
  <c r="BJ116" i="57"/>
  <c r="AT116" i="57"/>
  <c r="BK103" i="57"/>
  <c r="BA119" i="35"/>
  <c r="AT72" i="51"/>
  <c r="BJ71" i="51"/>
  <c r="BJ86" i="51"/>
  <c r="AP122" i="35"/>
  <c r="BK104" i="35"/>
  <c r="BA70" i="51"/>
  <c r="AP76" i="51"/>
  <c r="AG108" i="57"/>
  <c r="AR119" i="57"/>
  <c r="AJ116" i="57"/>
  <c r="BB102" i="57"/>
  <c r="BP103" i="35"/>
  <c r="AP107" i="57"/>
  <c r="AT103" i="57"/>
  <c r="BL122" i="35"/>
  <c r="BM119" i="57"/>
  <c r="AP86" i="51"/>
  <c r="AM107" i="35"/>
  <c r="AQ105" i="57"/>
  <c r="AF103" i="35"/>
  <c r="BA105" i="35"/>
  <c r="BC87" i="51"/>
  <c r="BN107" i="35"/>
  <c r="BJ70" i="51"/>
  <c r="AI103" i="35"/>
  <c r="BL104" i="57"/>
  <c r="BE108" i="35"/>
  <c r="AR89" i="51"/>
  <c r="BI105" i="35"/>
  <c r="AV104" i="35"/>
  <c r="AJ69" i="51"/>
  <c r="AJ118" i="57"/>
  <c r="BL102" i="57"/>
  <c r="BC85" i="51"/>
  <c r="AF83" i="51"/>
  <c r="BQ102" i="35"/>
  <c r="BQ118" i="35"/>
  <c r="BM107" i="35"/>
  <c r="BK116" i="57"/>
  <c r="BN105" i="35"/>
  <c r="BN122" i="57"/>
  <c r="AL121" i="35"/>
  <c r="AG73" i="51"/>
  <c r="AI106" i="57"/>
  <c r="AZ70" i="51"/>
  <c r="BB69" i="51"/>
  <c r="BS119" i="35"/>
  <c r="AJ88" i="51"/>
  <c r="BD86" i="51"/>
  <c r="BA107" i="57"/>
  <c r="BD69" i="51"/>
  <c r="AJ89" i="51"/>
  <c r="BD107" i="35"/>
  <c r="AM108" i="35"/>
  <c r="AY121" i="35"/>
  <c r="AM118" i="35"/>
  <c r="AG116" i="35"/>
  <c r="AT101" i="35"/>
  <c r="AR104" i="35"/>
  <c r="AS107" i="35"/>
  <c r="BK69" i="51"/>
  <c r="BB87" i="51"/>
  <c r="AM106" i="35"/>
  <c r="AH86" i="51"/>
  <c r="BC102" i="57"/>
  <c r="BN117" i="35"/>
  <c r="BA117" i="57"/>
  <c r="BP105" i="35"/>
  <c r="BO115" i="35"/>
  <c r="BN102" i="57"/>
  <c r="AI105" i="57"/>
  <c r="AT115" i="35"/>
  <c r="BM103" i="35"/>
  <c r="BN86" i="51"/>
  <c r="BC121" i="57"/>
  <c r="BM106" i="57"/>
  <c r="AQ101" i="35"/>
  <c r="BB106" i="35"/>
  <c r="AH83" i="51"/>
  <c r="AT107" i="57"/>
  <c r="BM118" i="57"/>
  <c r="BA120" i="57"/>
  <c r="AR118" i="57"/>
  <c r="AG118" i="57"/>
  <c r="AF107" i="35"/>
  <c r="AV116" i="35"/>
  <c r="AN102" i="35"/>
  <c r="BM86" i="51"/>
  <c r="AY120" i="35"/>
  <c r="BK119" i="57"/>
  <c r="AI104" i="35"/>
  <c r="AR118" i="35"/>
  <c r="AW121" i="35"/>
  <c r="AH122" i="57"/>
  <c r="AF116" i="35"/>
  <c r="AU119" i="35"/>
  <c r="AZ116" i="35"/>
  <c r="AR104" i="57"/>
  <c r="AT75" i="51"/>
  <c r="BJ90" i="51"/>
  <c r="BA122" i="57"/>
  <c r="AQ122" i="35"/>
  <c r="AS104" i="35"/>
  <c r="AP116" i="57"/>
  <c r="AR90" i="51"/>
  <c r="AU120" i="35"/>
  <c r="AI115" i="57"/>
  <c r="AS107" i="57"/>
  <c r="BF115" i="35"/>
  <c r="AZ119" i="57"/>
  <c r="BB106" i="57"/>
  <c r="AF87" i="51"/>
  <c r="BL107" i="35"/>
  <c r="AL119" i="35"/>
  <c r="BN75" i="51"/>
  <c r="BM89" i="51"/>
  <c r="AU117" i="35"/>
  <c r="AU104" i="35"/>
  <c r="AG122" i="35"/>
  <c r="AP103" i="57"/>
  <c r="AQ89" i="51"/>
  <c r="AK119" i="35"/>
  <c r="BA69" i="51"/>
  <c r="BR122" i="35"/>
  <c r="BC119" i="57"/>
  <c r="AW101" i="35"/>
  <c r="BP115" i="35"/>
  <c r="AF108" i="35"/>
  <c r="BE116" i="35"/>
  <c r="AT106" i="57"/>
  <c r="BS105" i="35"/>
  <c r="BJ84" i="51"/>
  <c r="AQ84" i="51"/>
  <c r="AZ122" i="57"/>
  <c r="AP107" i="35"/>
  <c r="BN117" i="57"/>
  <c r="AK115" i="35"/>
  <c r="AQ119" i="35"/>
  <c r="BE115" i="35"/>
  <c r="BK116" i="35"/>
  <c r="BR102" i="35"/>
  <c r="AP108" i="35"/>
  <c r="BK70" i="51"/>
  <c r="BL71" i="51"/>
  <c r="BJ116" i="35"/>
  <c r="AQ117" i="35"/>
  <c r="AJ104" i="57"/>
  <c r="BB122" i="35"/>
  <c r="BF117" i="35"/>
  <c r="AG107" i="57"/>
  <c r="BL90" i="51"/>
  <c r="AT74" i="51"/>
  <c r="BK104" i="57"/>
  <c r="AJ84" i="51"/>
  <c r="AQ118" i="35"/>
  <c r="BC71" i="51"/>
  <c r="BJ121" i="35"/>
  <c r="BR117" i="35"/>
  <c r="AN104" i="35"/>
  <c r="AF118" i="57"/>
  <c r="AZ106" i="57"/>
  <c r="AS115" i="57"/>
  <c r="BF104" i="35"/>
  <c r="AH117" i="57"/>
  <c r="BJ120" i="35"/>
  <c r="AT69" i="51"/>
  <c r="AV121" i="35"/>
  <c r="AH84" i="51"/>
  <c r="BM106" i="35"/>
  <c r="AS89" i="51"/>
  <c r="BJ104" i="57"/>
  <c r="BB102" i="35"/>
  <c r="AF108" i="57"/>
  <c r="AJ101" i="35"/>
  <c r="BL103" i="35"/>
  <c r="AK103" i="35"/>
  <c r="AR116" i="57"/>
  <c r="BM72" i="51"/>
  <c r="BE107" i="35"/>
  <c r="AR115" i="57"/>
  <c r="BB116" i="35"/>
  <c r="BP107" i="35"/>
  <c r="AF107" i="57"/>
  <c r="AM117" i="35"/>
  <c r="AS74" i="51"/>
  <c r="BQ107" i="35"/>
  <c r="AZ89" i="51"/>
  <c r="BM70" i="51"/>
  <c r="BM122" i="35"/>
  <c r="BA83" i="51"/>
  <c r="BM116" i="35"/>
  <c r="AZ71" i="51"/>
  <c r="AS108" i="57"/>
  <c r="AN119" i="35"/>
  <c r="AR116" i="35"/>
  <c r="AO107" i="35"/>
  <c r="AK121" i="35"/>
  <c r="BL119" i="35"/>
  <c r="AT105" i="35"/>
  <c r="AQ108" i="35"/>
  <c r="BL83" i="51"/>
  <c r="AG122" i="57"/>
  <c r="AP118" i="35"/>
  <c r="BA117" i="35"/>
  <c r="BN120" i="57"/>
  <c r="BN85" i="51"/>
  <c r="BJ115" i="57"/>
  <c r="AG118" i="35"/>
  <c r="AQ73" i="51"/>
  <c r="AH73" i="51"/>
  <c r="BK105" i="35"/>
  <c r="AR101" i="57"/>
  <c r="BA106" i="35"/>
  <c r="BN119" i="57"/>
  <c r="BL107" i="57"/>
  <c r="BD73" i="51"/>
  <c r="BL116" i="57"/>
  <c r="BK101" i="35"/>
  <c r="AX101" i="35"/>
  <c r="AP69" i="51"/>
  <c r="AT108" i="57"/>
  <c r="BQ117" i="35"/>
  <c r="AN101" i="35"/>
  <c r="BN101" i="57"/>
  <c r="BK119" i="35"/>
  <c r="BN104" i="35"/>
  <c r="BO103" i="35"/>
  <c r="AP122" i="57"/>
  <c r="BK83" i="51"/>
  <c r="AF74" i="51"/>
  <c r="AI83" i="51"/>
  <c r="BF103" i="35"/>
  <c r="AV107" i="35"/>
  <c r="BB104" i="57"/>
  <c r="BM69" i="51"/>
  <c r="AQ118" i="57"/>
  <c r="BK121" i="35"/>
  <c r="BC108" i="57"/>
  <c r="AS103" i="35"/>
  <c r="BE101" i="35"/>
  <c r="BP122" i="35"/>
  <c r="AH102" i="57"/>
  <c r="AI76" i="51"/>
  <c r="BK120" i="35"/>
  <c r="AH119" i="57"/>
  <c r="AF104" i="57"/>
  <c r="AT119" i="35"/>
  <c r="AI107" i="57"/>
  <c r="AF101" i="57"/>
  <c r="AF88" i="51"/>
  <c r="AF103" i="57"/>
  <c r="AF102" i="57"/>
  <c r="AZ117" i="57"/>
  <c r="AI107" i="35"/>
  <c r="AW105" i="35"/>
  <c r="AP102" i="57"/>
  <c r="BC117" i="35"/>
  <c r="AF72" i="51"/>
  <c r="BJ117" i="57"/>
  <c r="AT101" i="57"/>
  <c r="BI121" i="35"/>
  <c r="AT86" i="51"/>
  <c r="AS105" i="35"/>
  <c r="AG104" i="35"/>
  <c r="BD89" i="51"/>
  <c r="BH103" i="35"/>
  <c r="BR115" i="35"/>
  <c r="BL106" i="57"/>
  <c r="BE117" i="35"/>
  <c r="AH105" i="57"/>
  <c r="BL106" i="35"/>
  <c r="BC69" i="51"/>
  <c r="BA90" i="51"/>
  <c r="BF105" i="35"/>
  <c r="BC88" i="51"/>
  <c r="AQ116" i="57"/>
  <c r="BE105" i="35"/>
  <c r="BB76" i="51"/>
  <c r="BP117" i="35"/>
  <c r="BH106" i="35"/>
  <c r="AS116" i="35"/>
  <c r="AP84" i="51"/>
  <c r="AJ90" i="51"/>
  <c r="BR108" i="35"/>
  <c r="BJ108" i="57"/>
  <c r="AF76" i="51"/>
  <c r="AH103" i="35"/>
  <c r="BL72" i="51"/>
  <c r="AJ119" i="57"/>
  <c r="AJ107" i="57"/>
  <c r="BG105" i="35"/>
  <c r="AS122" i="35"/>
  <c r="BA76" i="51"/>
  <c r="AQ83" i="51"/>
  <c r="BR116" i="35"/>
  <c r="AM121" i="35"/>
  <c r="BE106" i="35"/>
  <c r="BB121" i="35"/>
  <c r="AF71" i="51"/>
  <c r="AT105" i="57"/>
  <c r="AI69" i="51"/>
  <c r="AZ108" i="35"/>
  <c r="BC70" i="51"/>
  <c r="BA87" i="51"/>
  <c r="AP117" i="57"/>
  <c r="BE103" i="35"/>
  <c r="AP106" i="57"/>
  <c r="AG103" i="57"/>
  <c r="BB104" i="35"/>
  <c r="AP106" i="35"/>
  <c r="BA115" i="57"/>
  <c r="AS104" i="57"/>
  <c r="BH118" i="35"/>
  <c r="AJ102" i="35"/>
  <c r="AJ117" i="57"/>
  <c r="AS71" i="51"/>
  <c r="AG75" i="51"/>
  <c r="AP108" i="57"/>
  <c r="BD101" i="57"/>
  <c r="AZ122" i="35"/>
  <c r="BA116" i="35"/>
  <c r="AQ119" i="57"/>
  <c r="BM122" i="57"/>
  <c r="BA85" i="51"/>
  <c r="BL115" i="35"/>
  <c r="BA115" i="35"/>
  <c r="AR101" i="35"/>
  <c r="BM85" i="51"/>
  <c r="BH102" i="35"/>
  <c r="AR72" i="51"/>
  <c r="BQ106" i="35"/>
  <c r="BL122" i="57"/>
  <c r="BE118" i="35"/>
  <c r="AT84" i="51"/>
  <c r="AH121" i="35"/>
  <c r="BK122" i="35"/>
  <c r="BR120" i="35"/>
  <c r="BQ103" i="35"/>
  <c r="BN108" i="57"/>
  <c r="BG116" i="35"/>
  <c r="AJ115" i="57"/>
  <c r="AF89" i="51"/>
  <c r="BK102" i="35"/>
  <c r="AF121" i="57"/>
  <c r="BD106" i="35"/>
  <c r="BD102" i="57"/>
  <c r="AV118" i="35"/>
  <c r="BD103" i="57"/>
  <c r="BD118" i="35"/>
  <c r="BR119" i="35"/>
  <c r="AY106" i="35"/>
  <c r="AP87" i="51"/>
  <c r="AQ74" i="51"/>
  <c r="BQ119" i="35"/>
  <c r="AH115" i="57"/>
  <c r="AI108" i="35"/>
  <c r="AI118" i="57"/>
  <c r="AR119" i="35"/>
  <c r="BB73" i="51"/>
  <c r="BB88" i="51"/>
  <c r="AW115" i="35"/>
  <c r="BQ115" i="35"/>
  <c r="AG101" i="35"/>
  <c r="AR87" i="51"/>
  <c r="AP88" i="51"/>
  <c r="BD122" i="35"/>
  <c r="AR120" i="57"/>
  <c r="AZ105" i="57"/>
  <c r="BC83" i="51"/>
  <c r="BB75" i="51"/>
  <c r="AQ106" i="35"/>
  <c r="BK71" i="51"/>
  <c r="AJ86" i="51"/>
  <c r="AN121" i="35"/>
  <c r="AG106" i="57"/>
  <c r="AQ121" i="57"/>
  <c r="AQ76" i="51"/>
  <c r="AW108" i="35"/>
  <c r="AS86" i="51"/>
  <c r="AI74" i="51"/>
  <c r="BK120" i="57"/>
  <c r="AG74" i="51"/>
  <c r="AI103" i="57"/>
  <c r="BN118" i="57"/>
  <c r="BD87" i="51"/>
  <c r="AQ107" i="57"/>
  <c r="AM105" i="35"/>
  <c r="AI71" i="51"/>
  <c r="AR103" i="57"/>
  <c r="AS90" i="51"/>
  <c r="AL120" i="35"/>
  <c r="BD105" i="57"/>
  <c r="BC121" i="35"/>
  <c r="AQ101" i="57"/>
  <c r="BN74" i="51"/>
  <c r="AG85" i="51"/>
  <c r="BL118" i="57"/>
  <c r="AI87" i="51"/>
  <c r="BJ120" i="57"/>
  <c r="AR115" i="35"/>
  <c r="BB105" i="57"/>
  <c r="AP120" i="35"/>
  <c r="BD108" i="57"/>
  <c r="BK102" i="57"/>
  <c r="BC106" i="57"/>
  <c r="AZ104" i="57"/>
  <c r="AN120" i="35"/>
  <c r="AJ70" i="51"/>
  <c r="AQ70" i="51"/>
  <c r="BF108" i="35"/>
  <c r="BM104" i="35"/>
  <c r="BC118" i="57"/>
  <c r="BB101" i="35"/>
  <c r="BL75" i="51"/>
  <c r="BS107" i="35"/>
  <c r="BJ75" i="51"/>
  <c r="BA75" i="51"/>
  <c r="AS106" i="35"/>
  <c r="AZ90" i="51"/>
  <c r="BH104" i="35"/>
  <c r="AF105" i="57"/>
  <c r="AQ103" i="57"/>
  <c r="AP71" i="51"/>
  <c r="AG104" i="57"/>
  <c r="BD101" i="35"/>
  <c r="AJ72" i="51"/>
  <c r="AJ122" i="57"/>
  <c r="AX108" i="35"/>
  <c r="AZ83" i="51"/>
  <c r="AH103" i="57"/>
  <c r="BM115" i="35"/>
  <c r="AJ83" i="51"/>
  <c r="BF116" i="35"/>
  <c r="AM119" i="35"/>
  <c r="AJ107" i="35"/>
  <c r="AU106" i="35"/>
  <c r="AF120" i="35"/>
  <c r="BJ118" i="57"/>
  <c r="AR122" i="57"/>
  <c r="BQ105" i="35"/>
  <c r="AI108" i="57"/>
  <c r="BD83" i="51"/>
  <c r="BB115" i="57"/>
  <c r="AZ88" i="51"/>
  <c r="BJ107" i="35"/>
  <c r="AI117" i="35"/>
  <c r="BF118" i="35"/>
  <c r="AP75" i="51"/>
  <c r="AS75" i="51"/>
  <c r="AQ107" i="35"/>
  <c r="BP121" i="35"/>
  <c r="BN106" i="35"/>
  <c r="BL120" i="35"/>
  <c r="BA122" i="35"/>
  <c r="AI115" i="35"/>
  <c r="BD117" i="57"/>
  <c r="BD88" i="51"/>
  <c r="BM108" i="35"/>
  <c r="AG105" i="57"/>
  <c r="BK89" i="51"/>
  <c r="BC105" i="57"/>
  <c r="AO121" i="35"/>
  <c r="AP105" i="35"/>
  <c r="AT103" i="35"/>
  <c r="BJ83" i="51"/>
  <c r="BL69" i="51"/>
  <c r="AQ120" i="35"/>
  <c r="AP73" i="51"/>
  <c r="AP85" i="51"/>
  <c r="AM116" i="35"/>
  <c r="BD104" i="35"/>
  <c r="AT88" i="51"/>
  <c r="BJ104" i="35"/>
  <c r="BN76" i="51"/>
  <c r="BL86" i="51"/>
  <c r="BJ89" i="51"/>
  <c r="BG115" i="35"/>
  <c r="AL118" i="35"/>
  <c r="BD117" i="35"/>
  <c r="BC106" i="35"/>
  <c r="BN90" i="51"/>
  <c r="AW104" i="35"/>
  <c r="AH72" i="51"/>
  <c r="AZ101" i="35"/>
  <c r="BD115" i="35"/>
  <c r="BC101" i="57"/>
  <c r="AG102" i="35"/>
  <c r="AJ118" i="35"/>
  <c r="AF73" i="51"/>
  <c r="AQ86" i="51"/>
  <c r="BK115" i="35"/>
  <c r="AS118" i="57"/>
  <c r="BG101" i="35"/>
  <c r="BM101" i="35"/>
  <c r="AX122" i="35"/>
  <c r="AJ104" i="35"/>
  <c r="AF86" i="51"/>
  <c r="AS122" i="57"/>
  <c r="BM90" i="51"/>
  <c r="BN73" i="51"/>
  <c r="AG72" i="51"/>
  <c r="AG108" i="35"/>
  <c r="AX115" i="35"/>
  <c r="AM122" i="35"/>
  <c r="AT89" i="51"/>
  <c r="BK122" i="57"/>
  <c r="BE120" i="35"/>
  <c r="BI120" i="35"/>
  <c r="AS87" i="51"/>
  <c r="BO101" i="35"/>
  <c r="AU118" i="35"/>
  <c r="BK106" i="57"/>
  <c r="BC115" i="57"/>
  <c r="BA108" i="35"/>
  <c r="BA71" i="51"/>
  <c r="BL87" i="51"/>
  <c r="AF115" i="35"/>
  <c r="BL118" i="35"/>
  <c r="BL101" i="35"/>
  <c r="AM101" i="35"/>
  <c r="BN83" i="51"/>
  <c r="AT122" i="35"/>
  <c r="BA108" i="57"/>
  <c r="AT119" i="57"/>
  <c r="BD71" i="51"/>
  <c r="BD105" i="35"/>
  <c r="AI102" i="57"/>
  <c r="AT116" i="35"/>
  <c r="BB103" i="35"/>
  <c r="BP106" i="35"/>
  <c r="BB121" i="57"/>
  <c r="AS116" i="57"/>
  <c r="AR76" i="51"/>
  <c r="AO106" i="35"/>
  <c r="AQ106" i="57"/>
  <c r="BD107" i="57"/>
  <c r="AS88" i="51"/>
  <c r="BC72" i="51"/>
  <c r="AX119" i="35"/>
  <c r="AJ87" i="51"/>
  <c r="AW118" i="35"/>
  <c r="BD104" i="57"/>
  <c r="BC120" i="57"/>
  <c r="AR122" i="35"/>
  <c r="BG121" i="35"/>
  <c r="BJ121" i="57"/>
  <c r="BA72" i="51"/>
  <c r="BE119" i="35"/>
  <c r="AP105" i="57"/>
  <c r="AR105" i="35"/>
  <c r="AJ103" i="35"/>
  <c r="AS117" i="35"/>
  <c r="BF106" i="35"/>
  <c r="BA101" i="57"/>
  <c r="AF105" i="35"/>
  <c r="AI118" i="35"/>
  <c r="AJ105" i="57"/>
  <c r="AT71" i="51"/>
  <c r="BB107" i="57"/>
  <c r="AH122" i="35"/>
  <c r="AU115" i="35"/>
  <c r="BB101" i="57"/>
  <c r="BH108" i="35"/>
  <c r="AG105" i="35"/>
  <c r="AI86" i="51"/>
  <c r="BC73" i="51"/>
  <c r="AK117" i="35"/>
  <c r="AJ117" i="35"/>
  <c r="AJ73" i="51"/>
  <c r="BL116" i="35"/>
  <c r="BD103" i="35"/>
  <c r="BJ102" i="35"/>
  <c r="BC104" i="35"/>
  <c r="AF102" i="35"/>
  <c r="AS84" i="51"/>
  <c r="AL101" i="35"/>
  <c r="BG104" i="35"/>
  <c r="AG115" i="57"/>
  <c r="BN102" i="35"/>
  <c r="BI107" i="35"/>
  <c r="AF115" i="57"/>
  <c r="AU102" i="35"/>
  <c r="AY108" i="35"/>
  <c r="AT85" i="51"/>
  <c r="AM115" i="35"/>
  <c r="BA116" i="57"/>
  <c r="AF121" i="35"/>
  <c r="BS121" i="35"/>
  <c r="AT120" i="35"/>
  <c r="AS85" i="51"/>
  <c r="AN116" i="35"/>
  <c r="AR117" i="57"/>
  <c r="BO107" i="35"/>
  <c r="AZ121" i="35"/>
  <c r="BM83" i="51"/>
  <c r="AG102" i="57"/>
  <c r="AV103" i="35"/>
  <c r="BH119" i="35"/>
  <c r="AR107" i="35"/>
  <c r="BG108" i="35"/>
  <c r="AK116" i="35"/>
  <c r="AP115" i="57"/>
  <c r="AQ85" i="51"/>
  <c r="AF120" i="57"/>
  <c r="AI119" i="35"/>
  <c r="BM117" i="57"/>
  <c r="BM121" i="35"/>
  <c r="BM87" i="51"/>
  <c r="AJ122" i="35"/>
  <c r="AZ101" i="57"/>
  <c r="BI108" i="35"/>
  <c r="BN84" i="51"/>
  <c r="BC122" i="35"/>
  <c r="AS120" i="57"/>
  <c r="BK118" i="57"/>
  <c r="BJ74" i="51"/>
  <c r="BD116" i="57"/>
  <c r="AR121" i="57"/>
  <c r="BL84" i="51"/>
  <c r="AX102" i="35"/>
  <c r="AI120" i="35"/>
  <c r="BC84" i="51"/>
  <c r="BA101" i="35"/>
  <c r="BB72" i="51"/>
  <c r="BB84" i="51"/>
  <c r="AP72" i="51"/>
  <c r="BC116" i="35"/>
  <c r="AQ120" i="57"/>
  <c r="AI75" i="51"/>
  <c r="AO122" i="35"/>
  <c r="AG120" i="57"/>
  <c r="AH118" i="57"/>
  <c r="AW106" i="35"/>
  <c r="AF90" i="51"/>
  <c r="AL108" i="35"/>
  <c r="BK106" i="35"/>
  <c r="AH102" i="35"/>
  <c r="BC105" i="35"/>
  <c r="AZ69" i="51"/>
  <c r="BD119" i="57"/>
  <c r="BO116" i="35"/>
  <c r="BM76" i="51"/>
  <c r="AZ116" i="57"/>
  <c r="BA120" i="35"/>
  <c r="AQ115" i="57"/>
  <c r="BS120" i="35"/>
  <c r="BF119" i="35"/>
  <c r="BM101" i="57"/>
  <c r="BD70" i="51"/>
  <c r="BB74" i="51"/>
  <c r="BN119" i="35"/>
  <c r="AS76" i="51"/>
  <c r="AR83" i="51"/>
  <c r="BL117" i="57"/>
  <c r="AX106" i="35"/>
  <c r="AT118" i="57"/>
  <c r="BL88" i="51"/>
  <c r="AH101" i="35"/>
  <c r="AH90" i="51"/>
  <c r="BN115" i="35"/>
  <c r="BB119" i="35"/>
  <c r="AU105" i="35"/>
  <c r="BH107" i="35"/>
  <c r="BK108" i="57"/>
  <c r="BD102" i="35"/>
  <c r="BL102" i="35"/>
  <c r="AI121" i="57"/>
  <c r="AM102" i="35"/>
  <c r="BM121" i="57"/>
  <c r="AQ121" i="35"/>
  <c r="AQ102" i="35"/>
  <c r="AT87" i="51"/>
  <c r="BH117" i="35"/>
  <c r="AS102" i="35"/>
  <c r="AL116" i="35"/>
  <c r="BA104" i="35"/>
  <c r="BM102" i="35"/>
  <c r="BK105" i="57"/>
  <c r="BD108" i="35"/>
  <c r="AW120" i="35"/>
  <c r="BK84" i="51"/>
  <c r="AZ105" i="35"/>
  <c r="BB70" i="51"/>
  <c r="AT70" i="51"/>
  <c r="AI73" i="51"/>
  <c r="AL105" i="35"/>
  <c r="AR121" i="35"/>
  <c r="AX117" i="35"/>
  <c r="AO120" i="35"/>
  <c r="BJ108" i="35"/>
  <c r="AJ120" i="57"/>
  <c r="AS119" i="35"/>
  <c r="AJ102" i="57"/>
  <c r="AF69" i="51"/>
  <c r="AF106" i="57"/>
  <c r="AK102" i="35"/>
  <c r="AL122" i="35"/>
  <c r="BL89" i="51"/>
  <c r="AR69" i="51"/>
  <c r="AP74" i="51"/>
  <c r="BC108" i="35"/>
  <c r="BC120" i="35"/>
  <c r="AG88" i="51"/>
  <c r="BL105" i="35"/>
  <c r="BM117" i="35"/>
  <c r="AN105" i="35"/>
  <c r="BJ103" i="35"/>
  <c r="AG101" i="57"/>
  <c r="AJ103" i="57"/>
  <c r="BK117" i="57"/>
  <c r="AG76" i="51"/>
  <c r="BK72" i="51"/>
  <c r="BH116" i="35"/>
  <c r="BB85" i="51"/>
  <c r="BM105" i="57"/>
  <c r="AZ120" i="35"/>
  <c r="BP120" i="35"/>
  <c r="BJ105" i="35"/>
  <c r="AO119" i="35"/>
  <c r="BR103" i="35"/>
  <c r="BB119" i="57"/>
  <c r="AV108" i="35"/>
  <c r="BI106" i="35"/>
  <c r="AT122" i="57"/>
  <c r="BG120" i="35"/>
  <c r="BO122" i="35"/>
  <c r="AP119" i="57"/>
  <c r="BO105" i="35"/>
  <c r="AY122" i="35"/>
  <c r="AO108" i="35"/>
  <c r="BN70" i="51"/>
  <c r="AU101" i="35"/>
  <c r="AX120" i="35"/>
  <c r="AZ73" i="51"/>
  <c r="AF70" i="51"/>
  <c r="AH85" i="51"/>
  <c r="AF85" i="51"/>
  <c r="AK105" i="35"/>
  <c r="BA86" i="51"/>
  <c r="BD119" i="35"/>
  <c r="BM74" i="51"/>
  <c r="BD118" i="57"/>
  <c r="AK118" i="35"/>
  <c r="BJ85" i="51"/>
  <c r="AG106" i="35"/>
  <c r="AP121" i="35"/>
  <c r="AX116" i="35"/>
  <c r="AF122" i="35"/>
  <c r="AI101" i="35"/>
  <c r="BC103" i="57"/>
  <c r="AN103" i="35"/>
  <c r="AZ119" i="35"/>
  <c r="BK73" i="51"/>
  <c r="AW107" i="35"/>
  <c r="AV101" i="35"/>
  <c r="BD90" i="51"/>
  <c r="AJ106" i="57"/>
  <c r="AG90" i="51"/>
  <c r="BO118" i="35"/>
  <c r="BK86" i="51"/>
  <c r="BC90" i="51"/>
  <c r="BM88" i="51"/>
  <c r="AH108" i="57"/>
  <c r="AP120" i="57"/>
  <c r="BS108" i="35"/>
  <c r="BL119" i="57"/>
  <c r="AI85" i="51"/>
  <c r="BD121" i="57"/>
  <c r="AH119" i="35"/>
  <c r="BD75" i="51"/>
  <c r="AX118" i="35"/>
  <c r="AZ74" i="51"/>
  <c r="BM105" i="35"/>
  <c r="BN104" i="57"/>
  <c r="BK75" i="51"/>
  <c r="BP101" i="35"/>
  <c r="BA119" i="57"/>
  <c r="AZ106" i="35"/>
  <c r="AG107" i="35"/>
  <c r="AI105" i="35"/>
  <c r="BM84" i="51"/>
  <c r="BN116" i="57"/>
  <c r="BJ119" i="35"/>
  <c r="BD72" i="51"/>
  <c r="BH105" i="35"/>
  <c r="BB108" i="35"/>
  <c r="AQ116" i="35"/>
  <c r="AK107" i="35"/>
  <c r="BP104" i="35"/>
  <c r="BM104" i="57"/>
  <c r="AG69" i="51"/>
  <c r="AH118" i="35"/>
  <c r="AF101" i="35"/>
  <c r="BJ88" i="51"/>
  <c r="AZ108" i="57"/>
  <c r="AQ104" i="57"/>
  <c r="AQ71" i="51"/>
  <c r="BJ117" i="35"/>
  <c r="AZ118" i="57"/>
  <c r="AF75" i="51"/>
  <c r="AR117" i="35"/>
  <c r="AS102" i="57"/>
  <c r="BB116" i="57"/>
  <c r="AH89" i="51"/>
  <c r="BO104" i="35"/>
  <c r="BB103" i="57"/>
  <c r="BA105" i="57"/>
  <c r="AX103" i="35"/>
  <c r="BL108" i="57"/>
  <c r="AF122" i="57"/>
  <c r="AG84" i="51"/>
  <c r="BB83" i="51"/>
  <c r="E84" i="51" l="1"/>
  <c r="D122" i="57"/>
  <c r="F89" i="51"/>
  <c r="D75" i="51"/>
  <c r="D47" i="51" s="1"/>
  <c r="D32" i="51" s="1"/>
  <c r="AA109" i="26" s="1"/>
  <c r="L109" i="26" s="1"/>
  <c r="M109" i="26" s="1"/>
  <c r="D101" i="35"/>
  <c r="D50" i="35" s="1"/>
  <c r="D26" i="35" s="1"/>
  <c r="F118" i="35"/>
  <c r="E69" i="51"/>
  <c r="E41" i="51" s="1"/>
  <c r="E26" i="51" s="1"/>
  <c r="AA112" i="26" s="1"/>
  <c r="L112" i="26" s="1"/>
  <c r="M112" i="26" s="1"/>
  <c r="I107" i="35"/>
  <c r="I56" i="35" s="1"/>
  <c r="I32" i="35" s="1"/>
  <c r="G105" i="35"/>
  <c r="G54" i="35" s="1"/>
  <c r="G30" i="35" s="1"/>
  <c r="E107" i="35"/>
  <c r="E56" i="35" s="1"/>
  <c r="E32" i="35" s="1"/>
  <c r="F119" i="35"/>
  <c r="G85" i="51"/>
  <c r="F108" i="57"/>
  <c r="F57" i="57" s="1"/>
  <c r="F33" i="57" s="1"/>
  <c r="E90" i="51"/>
  <c r="H106" i="57"/>
  <c r="H55" i="57" s="1"/>
  <c r="H31" i="57" s="1"/>
  <c r="L103" i="35"/>
  <c r="L52" i="35" s="1"/>
  <c r="L28" i="35" s="1"/>
  <c r="G101" i="35"/>
  <c r="G50" i="35" s="1"/>
  <c r="G26" i="35" s="1"/>
  <c r="D122" i="35"/>
  <c r="E106" i="35"/>
  <c r="E55" i="35" s="1"/>
  <c r="E31" i="35" s="1"/>
  <c r="I118" i="35"/>
  <c r="I105" i="35"/>
  <c r="I54" i="35" s="1"/>
  <c r="I30" i="35" s="1"/>
  <c r="D85" i="51"/>
  <c r="F85" i="51"/>
  <c r="D70" i="51"/>
  <c r="D42" i="51" s="1"/>
  <c r="D27" i="51" s="1"/>
  <c r="AA104" i="26" s="1"/>
  <c r="L104" i="26" s="1"/>
  <c r="M104" i="26" s="1"/>
  <c r="M108" i="35"/>
  <c r="M57" i="35" s="1"/>
  <c r="M33" i="35" s="1"/>
  <c r="M119" i="35"/>
  <c r="E76" i="51"/>
  <c r="E48" i="51" s="1"/>
  <c r="E33" i="51" s="1"/>
  <c r="AA119" i="26" s="1"/>
  <c r="L119" i="26" s="1"/>
  <c r="M119" i="26" s="1"/>
  <c r="H103" i="57"/>
  <c r="H52" i="57" s="1"/>
  <c r="H28" i="57" s="1"/>
  <c r="E101" i="57"/>
  <c r="E50" i="57" s="1"/>
  <c r="E26" i="57" s="1"/>
  <c r="L105" i="35"/>
  <c r="L54" i="35" s="1"/>
  <c r="L30" i="35" s="1"/>
  <c r="E88" i="51"/>
  <c r="J122" i="35"/>
  <c r="J80" i="35" s="1"/>
  <c r="J66" i="35" s="1"/>
  <c r="J42" i="35" s="1"/>
  <c r="H67" i="36" s="1"/>
  <c r="I102" i="35"/>
  <c r="I51" i="35" s="1"/>
  <c r="I27" i="35" s="1"/>
  <c r="D106" i="57"/>
  <c r="D55" i="57" s="1"/>
  <c r="D31" i="57" s="1"/>
  <c r="D69" i="51"/>
  <c r="D41" i="51" s="1"/>
  <c r="D26" i="51" s="1"/>
  <c r="AA103" i="26" s="1"/>
  <c r="L103" i="26" s="1"/>
  <c r="M103" i="26" s="1"/>
  <c r="H102" i="57"/>
  <c r="H51" i="57" s="1"/>
  <c r="H27" i="57" s="1"/>
  <c r="H120" i="57"/>
  <c r="M120" i="35"/>
  <c r="J105" i="35"/>
  <c r="J54" i="35" s="1"/>
  <c r="J30" i="35" s="1"/>
  <c r="G73" i="51"/>
  <c r="G45" i="51" s="1"/>
  <c r="G30" i="51" s="1"/>
  <c r="AA134" i="26" s="1"/>
  <c r="L134" i="26" s="1"/>
  <c r="M134" i="26" s="1"/>
  <c r="J116" i="35"/>
  <c r="K102" i="35"/>
  <c r="K51" i="35" s="1"/>
  <c r="K27" i="35" s="1"/>
  <c r="G121" i="57"/>
  <c r="F90" i="51"/>
  <c r="F101" i="35"/>
  <c r="F50" i="35" s="1"/>
  <c r="F26" i="35" s="1"/>
  <c r="F102" i="35"/>
  <c r="F51" i="35" s="1"/>
  <c r="F27" i="35" s="1"/>
  <c r="J108" i="35"/>
  <c r="J57" i="35" s="1"/>
  <c r="J33" i="35" s="1"/>
  <c r="D90" i="51"/>
  <c r="F118" i="57"/>
  <c r="E120" i="57"/>
  <c r="M122" i="35"/>
  <c r="M80" i="35" s="1"/>
  <c r="M66" i="35" s="1"/>
  <c r="M42" i="35" s="1"/>
  <c r="H94" i="36" s="1"/>
  <c r="G75" i="51"/>
  <c r="G47" i="51" s="1"/>
  <c r="G32" i="51" s="1"/>
  <c r="AA136" i="26" s="1"/>
  <c r="L136" i="26" s="1"/>
  <c r="M136" i="26" s="1"/>
  <c r="G120" i="35"/>
  <c r="H122" i="35"/>
  <c r="G119" i="35"/>
  <c r="G77" i="35" s="1"/>
  <c r="G63" i="35" s="1"/>
  <c r="G39" i="35" s="1"/>
  <c r="I82" i="36" s="1"/>
  <c r="D120" i="57"/>
  <c r="D78" i="57" s="1"/>
  <c r="D64" i="57" s="1"/>
  <c r="D40" i="57" s="1"/>
  <c r="AA56" i="26" s="1"/>
  <c r="L56" i="26" s="1"/>
  <c r="M56" i="26" s="1"/>
  <c r="I116" i="35"/>
  <c r="I74" i="35" s="1"/>
  <c r="I60" i="35" s="1"/>
  <c r="I36" i="35" s="1"/>
  <c r="H52" i="36" s="1"/>
  <c r="E102" i="57"/>
  <c r="E51" i="57" s="1"/>
  <c r="E27" i="57" s="1"/>
  <c r="L116" i="35"/>
  <c r="D121" i="35"/>
  <c r="K115" i="35"/>
  <c r="D115" i="57"/>
  <c r="E115" i="57"/>
  <c r="E73" i="57" s="1"/>
  <c r="E59" i="57" s="1"/>
  <c r="E35" i="57" s="1"/>
  <c r="AA60" i="26" s="1"/>
  <c r="L60" i="26" s="1"/>
  <c r="M60" i="26" s="1"/>
  <c r="J101" i="35"/>
  <c r="J50" i="35" s="1"/>
  <c r="J26" i="35" s="1"/>
  <c r="D102" i="35"/>
  <c r="D51" i="35" s="1"/>
  <c r="D27" i="35" s="1"/>
  <c r="H73" i="51"/>
  <c r="H45" i="51" s="1"/>
  <c r="H30" i="51" s="1"/>
  <c r="AA143" i="26" s="1"/>
  <c r="L143" i="26" s="1"/>
  <c r="M143" i="26" s="1"/>
  <c r="H117" i="35"/>
  <c r="I117" i="35"/>
  <c r="G86" i="51"/>
  <c r="E105" i="35"/>
  <c r="E54" i="35" s="1"/>
  <c r="E30" i="35" s="1"/>
  <c r="F122" i="35"/>
  <c r="H105" i="57"/>
  <c r="H54" i="57" s="1"/>
  <c r="H30" i="57" s="1"/>
  <c r="G118" i="35"/>
  <c r="D105" i="35"/>
  <c r="D54" i="35" s="1"/>
  <c r="D30" i="35" s="1"/>
  <c r="H103" i="35"/>
  <c r="H52" i="35" s="1"/>
  <c r="H28" i="35" s="1"/>
  <c r="H87" i="51"/>
  <c r="M106" i="35"/>
  <c r="M55" i="35" s="1"/>
  <c r="M31" i="35" s="1"/>
  <c r="G102" i="57"/>
  <c r="G51" i="57" s="1"/>
  <c r="G27" i="57" s="1"/>
  <c r="K101" i="35"/>
  <c r="K50" i="35" s="1"/>
  <c r="K26" i="35" s="1"/>
  <c r="D115" i="35"/>
  <c r="D73" i="35" s="1"/>
  <c r="D59" i="35" s="1"/>
  <c r="D35" i="35" s="1"/>
  <c r="I51" i="36" s="1"/>
  <c r="K122" i="35"/>
  <c r="E108" i="35"/>
  <c r="E57" i="35" s="1"/>
  <c r="E33" i="35" s="1"/>
  <c r="E72" i="51"/>
  <c r="E44" i="51" s="1"/>
  <c r="E29" i="51" s="1"/>
  <c r="AA115" i="26" s="1"/>
  <c r="L115" i="26" s="1"/>
  <c r="M115" i="26" s="1"/>
  <c r="D86" i="51"/>
  <c r="H104" i="35"/>
  <c r="H53" i="35" s="1"/>
  <c r="H29" i="35" s="1"/>
  <c r="D73" i="51"/>
  <c r="D45" i="51" s="1"/>
  <c r="D30" i="51" s="1"/>
  <c r="AA107" i="26" s="1"/>
  <c r="L107" i="26" s="1"/>
  <c r="M107" i="26" s="1"/>
  <c r="H118" i="35"/>
  <c r="H76" i="35" s="1"/>
  <c r="H62" i="35" s="1"/>
  <c r="H38" i="35" s="1"/>
  <c r="I90" i="36" s="1"/>
  <c r="J90" i="36" s="1"/>
  <c r="K90" i="36" s="1"/>
  <c r="E102" i="35"/>
  <c r="E51" i="35" s="1"/>
  <c r="E27" i="35" s="1"/>
  <c r="F72" i="51"/>
  <c r="F44" i="51" s="1"/>
  <c r="F29" i="51" s="1"/>
  <c r="AA124" i="26" s="1"/>
  <c r="L124" i="26" s="1"/>
  <c r="M124" i="26" s="1"/>
  <c r="J118" i="35"/>
  <c r="K116" i="35"/>
  <c r="K74" i="35" s="1"/>
  <c r="K60" i="35" s="1"/>
  <c r="K36" i="35" s="1"/>
  <c r="H70" i="36" s="1"/>
  <c r="M121" i="35"/>
  <c r="E105" i="57"/>
  <c r="E54" i="57" s="1"/>
  <c r="E30" i="57" s="1"/>
  <c r="G115" i="35"/>
  <c r="G73" i="35" s="1"/>
  <c r="G59" i="35" s="1"/>
  <c r="G35" i="35" s="1"/>
  <c r="I78" i="36" s="1"/>
  <c r="G117" i="35"/>
  <c r="G108" i="57"/>
  <c r="G57" i="57" s="1"/>
  <c r="G33" i="57" s="1"/>
  <c r="D120" i="35"/>
  <c r="H107" i="35"/>
  <c r="H56" i="35" s="1"/>
  <c r="H32" i="35" s="1"/>
  <c r="K119" i="35"/>
  <c r="H83" i="51"/>
  <c r="F103" i="57"/>
  <c r="F52" i="57" s="1"/>
  <c r="F28" i="57" s="1"/>
  <c r="H122" i="57"/>
  <c r="H72" i="51"/>
  <c r="H44" i="51" s="1"/>
  <c r="H29" i="51" s="1"/>
  <c r="AA142" i="26" s="1"/>
  <c r="L142" i="26" s="1"/>
  <c r="M142" i="26" s="1"/>
  <c r="E104" i="57"/>
  <c r="E53" i="57" s="1"/>
  <c r="E29" i="57" s="1"/>
  <c r="D105" i="57"/>
  <c r="D54" i="57" s="1"/>
  <c r="D30" i="57" s="1"/>
  <c r="H70" i="51"/>
  <c r="H42" i="51" s="1"/>
  <c r="H27" i="51" s="1"/>
  <c r="AA140" i="26" s="1"/>
  <c r="L140" i="26" s="1"/>
  <c r="M140" i="26" s="1"/>
  <c r="L120" i="35"/>
  <c r="G87" i="51"/>
  <c r="E85" i="51"/>
  <c r="J120" i="35"/>
  <c r="G71" i="51"/>
  <c r="G43" i="51" s="1"/>
  <c r="G28" i="51" s="1"/>
  <c r="AA132" i="26" s="1"/>
  <c r="L132" i="26" s="1"/>
  <c r="M132" i="26" s="1"/>
  <c r="K105" i="35"/>
  <c r="K54" i="35" s="1"/>
  <c r="K30" i="35" s="1"/>
  <c r="G103" i="57"/>
  <c r="G52" i="57" s="1"/>
  <c r="G28" i="57" s="1"/>
  <c r="E74" i="51"/>
  <c r="E46" i="51" s="1"/>
  <c r="E31" i="51" s="1"/>
  <c r="AA117" i="26" s="1"/>
  <c r="L117" i="26" s="1"/>
  <c r="M117" i="26" s="1"/>
  <c r="G74" i="51"/>
  <c r="G46" i="51" s="1"/>
  <c r="G31" i="51" s="1"/>
  <c r="AA135" i="26" s="1"/>
  <c r="L135" i="26" s="1"/>
  <c r="M135" i="26" s="1"/>
  <c r="E106" i="57"/>
  <c r="E55" i="57" s="1"/>
  <c r="E31" i="57" s="1"/>
  <c r="L121" i="35"/>
  <c r="H86" i="51"/>
  <c r="E101" i="35"/>
  <c r="E50" i="35" s="1"/>
  <c r="E26" i="35" s="1"/>
  <c r="G118" i="57"/>
  <c r="G76" i="57" s="1"/>
  <c r="G62" i="57" s="1"/>
  <c r="G38" i="57" s="1"/>
  <c r="AA81" i="26" s="1"/>
  <c r="L81" i="26" s="1"/>
  <c r="M81" i="26" s="1"/>
  <c r="G108" i="35"/>
  <c r="G57" i="35" s="1"/>
  <c r="G33" i="35" s="1"/>
  <c r="F115" i="57"/>
  <c r="D121" i="57"/>
  <c r="D89" i="51"/>
  <c r="H115" i="57"/>
  <c r="F121" i="35"/>
  <c r="E75" i="51"/>
  <c r="E47" i="51" s="1"/>
  <c r="E32" i="51" s="1"/>
  <c r="AA118" i="26" s="1"/>
  <c r="L118" i="26" s="1"/>
  <c r="M118" i="26" s="1"/>
  <c r="H117" i="57"/>
  <c r="H75" i="57" s="1"/>
  <c r="H61" i="57" s="1"/>
  <c r="H37" i="57" s="1"/>
  <c r="AA89" i="26" s="1"/>
  <c r="L89" i="26" s="1"/>
  <c r="M89" i="26" s="1"/>
  <c r="H102" i="35"/>
  <c r="H51" i="35" s="1"/>
  <c r="H27" i="35" s="1"/>
  <c r="E103" i="57"/>
  <c r="E52" i="57" s="1"/>
  <c r="E28" i="57" s="1"/>
  <c r="G69" i="51"/>
  <c r="G41" i="51" s="1"/>
  <c r="G26" i="51" s="1"/>
  <c r="AA130" i="26" s="1"/>
  <c r="L130" i="26" s="1"/>
  <c r="M130" i="26" s="1"/>
  <c r="D71" i="51"/>
  <c r="D43" i="51" s="1"/>
  <c r="D28" i="51" s="1"/>
  <c r="AA105" i="26" s="1"/>
  <c r="L105" i="26" s="1"/>
  <c r="M105" i="26" s="1"/>
  <c r="K121" i="35"/>
  <c r="H107" i="57"/>
  <c r="H56" i="57" s="1"/>
  <c r="H32" i="57" s="1"/>
  <c r="H119" i="57"/>
  <c r="F103" i="35"/>
  <c r="F52" i="35" s="1"/>
  <c r="F28" i="35" s="1"/>
  <c r="D76" i="51"/>
  <c r="D48" i="51" s="1"/>
  <c r="D33" i="51" s="1"/>
  <c r="AA110" i="26" s="1"/>
  <c r="L110" i="26" s="1"/>
  <c r="M110" i="26" s="1"/>
  <c r="H90" i="51"/>
  <c r="F105" i="57"/>
  <c r="F54" i="57" s="1"/>
  <c r="F30" i="57" s="1"/>
  <c r="E104" i="35"/>
  <c r="E53" i="35" s="1"/>
  <c r="E29" i="35" s="1"/>
  <c r="D72" i="51"/>
  <c r="D44" i="51" s="1"/>
  <c r="D29" i="51" s="1"/>
  <c r="AA106" i="26" s="1"/>
  <c r="L106" i="26" s="1"/>
  <c r="M106" i="26" s="1"/>
  <c r="G107" i="35"/>
  <c r="G56" i="35" s="1"/>
  <c r="G32" i="35" s="1"/>
  <c r="D102" i="57"/>
  <c r="D51" i="57" s="1"/>
  <c r="D27" i="57" s="1"/>
  <c r="D103" i="57"/>
  <c r="D52" i="57" s="1"/>
  <c r="D28" i="57" s="1"/>
  <c r="D88" i="51"/>
  <c r="D101" i="57"/>
  <c r="D50" i="57" s="1"/>
  <c r="D26" i="57" s="1"/>
  <c r="G107" i="57"/>
  <c r="G56" i="57" s="1"/>
  <c r="G32" i="57" s="1"/>
  <c r="D104" i="57"/>
  <c r="D53" i="57" s="1"/>
  <c r="D29" i="57" s="1"/>
  <c r="F119" i="57"/>
  <c r="G76" i="51"/>
  <c r="G48" i="51" s="1"/>
  <c r="G33" i="51" s="1"/>
  <c r="AA137" i="26" s="1"/>
  <c r="L137" i="26" s="1"/>
  <c r="M137" i="26" s="1"/>
  <c r="F102" i="57"/>
  <c r="F51" i="57" s="1"/>
  <c r="F27" i="57" s="1"/>
  <c r="G83" i="51"/>
  <c r="D74" i="51"/>
  <c r="D46" i="51" s="1"/>
  <c r="D31" i="51" s="1"/>
  <c r="AA108" i="26" s="1"/>
  <c r="L108" i="26" s="1"/>
  <c r="M108" i="26" s="1"/>
  <c r="L101" i="35"/>
  <c r="L50" i="35" s="1"/>
  <c r="L26" i="35" s="1"/>
  <c r="F73" i="51"/>
  <c r="F45" i="51" s="1"/>
  <c r="F30" i="51" s="1"/>
  <c r="AA125" i="26" s="1"/>
  <c r="L125" i="26" s="1"/>
  <c r="M125" i="26" s="1"/>
  <c r="E118" i="35"/>
  <c r="E76" i="35" s="1"/>
  <c r="E62" i="35" s="1"/>
  <c r="E38" i="35" s="1"/>
  <c r="I63" i="36" s="1"/>
  <c r="E122" i="57"/>
  <c r="I121" i="35"/>
  <c r="M107" i="35"/>
  <c r="M56" i="35" s="1"/>
  <c r="M32" i="35" s="1"/>
  <c r="L119" i="35"/>
  <c r="L77" i="35" s="1"/>
  <c r="L63" i="35" s="1"/>
  <c r="L39" i="35" s="1"/>
  <c r="H82" i="36" s="1"/>
  <c r="K117" i="35"/>
  <c r="D107" i="57"/>
  <c r="D56" i="57" s="1"/>
  <c r="D32" i="57" s="1"/>
  <c r="I103" i="35"/>
  <c r="I52" i="35" s="1"/>
  <c r="I28" i="35" s="1"/>
  <c r="H101" i="35"/>
  <c r="H50" i="35" s="1"/>
  <c r="H26" i="35" s="1"/>
  <c r="D108" i="57"/>
  <c r="D57" i="57" s="1"/>
  <c r="D33" i="57" s="1"/>
  <c r="F84" i="51"/>
  <c r="F117" i="57"/>
  <c r="F75" i="57" s="1"/>
  <c r="F61" i="57" s="1"/>
  <c r="F37" i="57" s="1"/>
  <c r="AA71" i="26" s="1"/>
  <c r="L71" i="26" s="1"/>
  <c r="M71" i="26" s="1"/>
  <c r="D118" i="57"/>
  <c r="D76" i="57" s="1"/>
  <c r="D62" i="57" s="1"/>
  <c r="D38" i="57" s="1"/>
  <c r="AA54" i="26" s="1"/>
  <c r="L54" i="26" s="1"/>
  <c r="M54" i="26" s="1"/>
  <c r="L104" i="35"/>
  <c r="L53" i="35" s="1"/>
  <c r="L29" i="35" s="1"/>
  <c r="H84" i="51"/>
  <c r="E107" i="57"/>
  <c r="E56" i="57" s="1"/>
  <c r="E32" i="57" s="1"/>
  <c r="H104" i="57"/>
  <c r="H53" i="57" s="1"/>
  <c r="H29" i="57" s="1"/>
  <c r="I115" i="35"/>
  <c r="D108" i="35"/>
  <c r="D57" i="35" s="1"/>
  <c r="D33" i="35" s="1"/>
  <c r="I119" i="35"/>
  <c r="I77" i="35" s="1"/>
  <c r="I63" i="35" s="1"/>
  <c r="I39" i="35" s="1"/>
  <c r="H55" i="36" s="1"/>
  <c r="E122" i="35"/>
  <c r="E80" i="35" s="1"/>
  <c r="E66" i="35" s="1"/>
  <c r="E42" i="35" s="1"/>
  <c r="I67" i="36" s="1"/>
  <c r="J119" i="35"/>
  <c r="J77" i="35" s="1"/>
  <c r="J63" i="35" s="1"/>
  <c r="J39" i="35" s="1"/>
  <c r="H64" i="36" s="1"/>
  <c r="D87" i="51"/>
  <c r="G115" i="57"/>
  <c r="D116" i="35"/>
  <c r="D74" i="35" s="1"/>
  <c r="D60" i="35" s="1"/>
  <c r="D36" i="35" s="1"/>
  <c r="I52" i="36" s="1"/>
  <c r="F122" i="57"/>
  <c r="F80" i="57" s="1"/>
  <c r="F66" i="57" s="1"/>
  <c r="F42" i="57" s="1"/>
  <c r="AA76" i="26" s="1"/>
  <c r="L76" i="26" s="1"/>
  <c r="M76" i="26" s="1"/>
  <c r="G104" i="35"/>
  <c r="G53" i="35" s="1"/>
  <c r="G29" i="35" s="1"/>
  <c r="L102" i="35"/>
  <c r="L51" i="35" s="1"/>
  <c r="L27" i="35" s="1"/>
  <c r="D107" i="35"/>
  <c r="D56" i="35" s="1"/>
  <c r="D32" i="35" s="1"/>
  <c r="E118" i="57"/>
  <c r="F83" i="51"/>
  <c r="G105" i="57"/>
  <c r="G54" i="57" s="1"/>
  <c r="G30" i="57" s="1"/>
  <c r="F86" i="51"/>
  <c r="K106" i="35"/>
  <c r="K55" i="35" s="1"/>
  <c r="K31" i="35" s="1"/>
  <c r="E116" i="35"/>
  <c r="K118" i="35"/>
  <c r="K108" i="35"/>
  <c r="K57" i="35" s="1"/>
  <c r="K33" i="35" s="1"/>
  <c r="H89" i="51"/>
  <c r="H88" i="51"/>
  <c r="G106" i="57"/>
  <c r="G55" i="57" s="1"/>
  <c r="G31" i="57" s="1"/>
  <c r="E73" i="51"/>
  <c r="E45" i="51" s="1"/>
  <c r="E30" i="51" s="1"/>
  <c r="AA116" i="26" s="1"/>
  <c r="L116" i="26" s="1"/>
  <c r="M116" i="26" s="1"/>
  <c r="J121" i="35"/>
  <c r="D83" i="51"/>
  <c r="H118" i="57"/>
  <c r="H76" i="57" s="1"/>
  <c r="H62" i="57" s="1"/>
  <c r="H38" i="57" s="1"/>
  <c r="AA90" i="26" s="1"/>
  <c r="L90" i="26" s="1"/>
  <c r="M90" i="26" s="1"/>
  <c r="H69" i="51"/>
  <c r="H41" i="51" s="1"/>
  <c r="H26" i="51" s="1"/>
  <c r="AA139" i="26" s="1"/>
  <c r="L139" i="26" s="1"/>
  <c r="M139" i="26" s="1"/>
  <c r="G103" i="35"/>
  <c r="G52" i="35" s="1"/>
  <c r="G28" i="35" s="1"/>
  <c r="D103" i="35"/>
  <c r="D52" i="35" s="1"/>
  <c r="D28" i="35" s="1"/>
  <c r="K107" i="35"/>
  <c r="K56" i="35" s="1"/>
  <c r="K32" i="35" s="1"/>
  <c r="H116" i="57"/>
  <c r="H74" i="57" s="1"/>
  <c r="H60" i="57" s="1"/>
  <c r="H36" i="57" s="1"/>
  <c r="AA88" i="26" s="1"/>
  <c r="L88" i="26" s="1"/>
  <c r="M88" i="26" s="1"/>
  <c r="E108" i="57"/>
  <c r="E57" i="57" s="1"/>
  <c r="E33" i="57" s="1"/>
  <c r="H119" i="35"/>
  <c r="F87" i="51"/>
  <c r="G119" i="57"/>
  <c r="G77" i="57" s="1"/>
  <c r="G63" i="57" s="1"/>
  <c r="G39" i="57" s="1"/>
  <c r="AA82" i="26" s="1"/>
  <c r="L82" i="26" s="1"/>
  <c r="M82" i="26" s="1"/>
  <c r="G84" i="51"/>
  <c r="F71" i="51"/>
  <c r="F43" i="51" s="1"/>
  <c r="F28" i="51" s="1"/>
  <c r="AA123" i="26" s="1"/>
  <c r="L123" i="26" s="1"/>
  <c r="M123" i="26" s="1"/>
  <c r="G89" i="51"/>
  <c r="E117" i="57"/>
  <c r="E75" i="57" s="1"/>
  <c r="E61" i="57" s="1"/>
  <c r="E37" i="57" s="1"/>
  <c r="AA62" i="26" s="1"/>
  <c r="L62" i="26" s="1"/>
  <c r="M62" i="26" s="1"/>
  <c r="L115" i="35"/>
  <c r="F121" i="57"/>
  <c r="G122" i="57"/>
  <c r="E116" i="57"/>
  <c r="E74" i="57" s="1"/>
  <c r="E60" i="57" s="1"/>
  <c r="E36" i="57" s="1"/>
  <c r="AA61" i="26" s="1"/>
  <c r="L61" i="26" s="1"/>
  <c r="M61" i="26" s="1"/>
  <c r="F104" i="35"/>
  <c r="F53" i="35" s="1"/>
  <c r="F29" i="35" s="1"/>
  <c r="L117" i="35"/>
  <c r="E103" i="35"/>
  <c r="E52" i="35" s="1"/>
  <c r="E28" i="35" s="1"/>
  <c r="E70" i="51"/>
  <c r="E42" i="51" s="1"/>
  <c r="E27" i="51" s="1"/>
  <c r="AA113" i="26" s="1"/>
  <c r="L113" i="26" s="1"/>
  <c r="M113" i="26" s="1"/>
  <c r="F108" i="35"/>
  <c r="F57" i="35" s="1"/>
  <c r="F33" i="35" s="1"/>
  <c r="F70" i="51"/>
  <c r="F42" i="51" s="1"/>
  <c r="F27" i="51" s="1"/>
  <c r="AA122" i="26" s="1"/>
  <c r="L122" i="26" s="1"/>
  <c r="M122" i="26" s="1"/>
  <c r="D84" i="51"/>
  <c r="E117" i="35"/>
  <c r="E75" i="35" s="1"/>
  <c r="E61" i="35" s="1"/>
  <c r="E37" i="35" s="1"/>
  <c r="I62" i="36" s="1"/>
  <c r="I106" i="35"/>
  <c r="I55" i="35" s="1"/>
  <c r="I31" i="35" s="1"/>
  <c r="F104" i="57"/>
  <c r="F53" i="57" s="1"/>
  <c r="F29" i="57" s="1"/>
  <c r="E86" i="51"/>
  <c r="G122" i="35"/>
  <c r="G80" i="35" s="1"/>
  <c r="G66" i="35" s="1"/>
  <c r="G42" i="35" s="1"/>
  <c r="I85" i="36" s="1"/>
  <c r="H74" i="51"/>
  <c r="H46" i="51" s="1"/>
  <c r="H31" i="51" s="1"/>
  <c r="AA144" i="26" s="1"/>
  <c r="L144" i="26" s="1"/>
  <c r="M144" i="26" s="1"/>
  <c r="L118" i="35"/>
  <c r="L76" i="35" s="1"/>
  <c r="L62" i="35" s="1"/>
  <c r="L38" i="35" s="1"/>
  <c r="H81" i="36" s="1"/>
  <c r="J115" i="35"/>
  <c r="J104" i="35"/>
  <c r="J53" i="35" s="1"/>
  <c r="J29" i="35" s="1"/>
  <c r="F117" i="35"/>
  <c r="F106" i="57"/>
  <c r="F55" i="57" s="1"/>
  <c r="F31" i="57" s="1"/>
  <c r="G117" i="57"/>
  <c r="G75" i="57" s="1"/>
  <c r="G61" i="57" s="1"/>
  <c r="G37" i="57" s="1"/>
  <c r="AA80" i="26" s="1"/>
  <c r="L80" i="26" s="1"/>
  <c r="M80" i="26" s="1"/>
  <c r="E119" i="57"/>
  <c r="E77" i="57" s="1"/>
  <c r="E63" i="57" s="1"/>
  <c r="E39" i="57" s="1"/>
  <c r="AA64" i="26" s="1"/>
  <c r="L64" i="26" s="1"/>
  <c r="M64" i="26" s="1"/>
  <c r="E115" i="35"/>
  <c r="E73" i="35" s="1"/>
  <c r="E59" i="35" s="1"/>
  <c r="E35" i="35" s="1"/>
  <c r="I60" i="36" s="1"/>
  <c r="F116" i="57"/>
  <c r="F74" i="57" s="1"/>
  <c r="F60" i="57" s="1"/>
  <c r="F36" i="57" s="1"/>
  <c r="AA70" i="26" s="1"/>
  <c r="L70" i="26" s="1"/>
  <c r="M70" i="26" s="1"/>
  <c r="J107" i="35"/>
  <c r="J56" i="35" s="1"/>
  <c r="J32" i="35" s="1"/>
  <c r="G116" i="35"/>
  <c r="G74" i="35" s="1"/>
  <c r="G60" i="35" s="1"/>
  <c r="G36" i="35" s="1"/>
  <c r="I79" i="36" s="1"/>
  <c r="F120" i="57"/>
  <c r="F107" i="57"/>
  <c r="F56" i="57" s="1"/>
  <c r="F32" i="57" s="1"/>
  <c r="F105" i="35"/>
  <c r="F54" i="35" s="1"/>
  <c r="F30" i="35" s="1"/>
  <c r="F115" i="35"/>
  <c r="F73" i="35" s="1"/>
  <c r="F59" i="35" s="1"/>
  <c r="F35" i="35" s="1"/>
  <c r="I69" i="36" s="1"/>
  <c r="E71" i="51"/>
  <c r="E43" i="51" s="1"/>
  <c r="E28" i="51" s="1"/>
  <c r="AA114" i="26" s="1"/>
  <c r="L114" i="26" s="1"/>
  <c r="M114" i="26" s="1"/>
  <c r="F101" i="57"/>
  <c r="F50" i="57" s="1"/>
  <c r="F26" i="57" s="1"/>
  <c r="L108" i="35"/>
  <c r="L57" i="35" s="1"/>
  <c r="L33" i="35" s="1"/>
  <c r="F76" i="51"/>
  <c r="F48" i="51" s="1"/>
  <c r="F33" i="51" s="1"/>
  <c r="AA128" i="26" s="1"/>
  <c r="L128" i="26" s="1"/>
  <c r="M128" i="26" s="1"/>
  <c r="E121" i="35"/>
  <c r="E79" i="35" s="1"/>
  <c r="E65" i="35" s="1"/>
  <c r="E41" i="35" s="1"/>
  <c r="I66" i="36" s="1"/>
  <c r="F116" i="35"/>
  <c r="F74" i="35" s="1"/>
  <c r="F60" i="35" s="1"/>
  <c r="F36" i="35" s="1"/>
  <c r="I70" i="36" s="1"/>
  <c r="J70" i="36" s="1"/>
  <c r="K70" i="36" s="1"/>
  <c r="I108" i="35"/>
  <c r="I57" i="35" s="1"/>
  <c r="I33" i="35" s="1"/>
  <c r="J106" i="35"/>
  <c r="J55" i="35" s="1"/>
  <c r="J31" i="35" s="1"/>
  <c r="H108" i="57"/>
  <c r="H57" i="57" s="1"/>
  <c r="H33" i="57" s="1"/>
  <c r="F107" i="35"/>
  <c r="F56" i="35" s="1"/>
  <c r="F32" i="35" s="1"/>
  <c r="G72" i="51"/>
  <c r="G44" i="51" s="1"/>
  <c r="G29" i="51" s="1"/>
  <c r="AA133" i="26" s="1"/>
  <c r="L133" i="26" s="1"/>
  <c r="M133" i="26" s="1"/>
  <c r="D118" i="35"/>
  <c r="H101" i="57"/>
  <c r="H50" i="57" s="1"/>
  <c r="H26" i="57" s="1"/>
  <c r="H106" i="35"/>
  <c r="H55" i="35" s="1"/>
  <c r="H31" i="35" s="1"/>
  <c r="J117" i="35"/>
  <c r="E121" i="57"/>
  <c r="E79" i="57" s="1"/>
  <c r="E65" i="57" s="1"/>
  <c r="E41" i="57" s="1"/>
  <c r="AA66" i="26" s="1"/>
  <c r="L66" i="26" s="1"/>
  <c r="M66" i="26" s="1"/>
  <c r="L106" i="35"/>
  <c r="L55" i="35" s="1"/>
  <c r="L31" i="35" s="1"/>
  <c r="F120" i="35"/>
  <c r="D119" i="57"/>
  <c r="D77" i="57" s="1"/>
  <c r="D63" i="57" s="1"/>
  <c r="D39" i="57" s="1"/>
  <c r="AA55" i="26" s="1"/>
  <c r="L55" i="26" s="1"/>
  <c r="M55" i="26" s="1"/>
  <c r="F106" i="35"/>
  <c r="F55" i="35" s="1"/>
  <c r="F31" i="35" s="1"/>
  <c r="G88" i="51"/>
  <c r="G104" i="57"/>
  <c r="G53" i="57" s="1"/>
  <c r="G29" i="57" s="1"/>
  <c r="H105" i="35"/>
  <c r="H54" i="35" s="1"/>
  <c r="H30" i="35" s="1"/>
  <c r="J102" i="35"/>
  <c r="J51" i="35" s="1"/>
  <c r="J27" i="35" s="1"/>
  <c r="H75" i="51"/>
  <c r="H47" i="51" s="1"/>
  <c r="H32" i="51" s="1"/>
  <c r="AA145" i="26" s="1"/>
  <c r="L145" i="26" s="1"/>
  <c r="M145" i="26" s="1"/>
  <c r="I120" i="35"/>
  <c r="I78" i="35" s="1"/>
  <c r="I64" i="35" s="1"/>
  <c r="I40" i="35" s="1"/>
  <c r="H56" i="36" s="1"/>
  <c r="D117" i="57"/>
  <c r="D104" i="35"/>
  <c r="D53" i="35" s="1"/>
  <c r="D29" i="35" s="1"/>
  <c r="H108" i="35"/>
  <c r="H57" i="35" s="1"/>
  <c r="H33" i="35" s="1"/>
  <c r="G101" i="57"/>
  <c r="G50" i="57" s="1"/>
  <c r="G26" i="57" s="1"/>
  <c r="F74" i="51"/>
  <c r="F46" i="51" s="1"/>
  <c r="F31" i="51" s="1"/>
  <c r="AA126" i="26" s="1"/>
  <c r="L126" i="26" s="1"/>
  <c r="M126" i="26" s="1"/>
  <c r="M105" i="35"/>
  <c r="M54" i="35" s="1"/>
  <c r="M30" i="35" s="1"/>
  <c r="G121" i="35"/>
  <c r="G79" i="35" s="1"/>
  <c r="G65" i="35" s="1"/>
  <c r="G41" i="35" s="1"/>
  <c r="I84" i="36" s="1"/>
  <c r="E119" i="35"/>
  <c r="E77" i="35" s="1"/>
  <c r="E63" i="35" s="1"/>
  <c r="E39" i="35" s="1"/>
  <c r="I64" i="36" s="1"/>
  <c r="I122" i="35"/>
  <c r="I80" i="35" s="1"/>
  <c r="I66" i="35" s="1"/>
  <c r="I42" i="35" s="1"/>
  <c r="H58" i="36" s="1"/>
  <c r="H116" i="35"/>
  <c r="H74" i="35" s="1"/>
  <c r="H60" i="35" s="1"/>
  <c r="H36" i="35" s="1"/>
  <c r="I88" i="36" s="1"/>
  <c r="J88" i="36" s="1"/>
  <c r="K88" i="36" s="1"/>
  <c r="H120" i="35"/>
  <c r="H85" i="51"/>
  <c r="D116" i="57"/>
  <c r="D74" i="57" s="1"/>
  <c r="D60" i="57" s="1"/>
  <c r="D36" i="57" s="1"/>
  <c r="AA52" i="26" s="1"/>
  <c r="L52" i="26" s="1"/>
  <c r="M52" i="26" s="1"/>
  <c r="F88" i="51"/>
  <c r="H121" i="57"/>
  <c r="H79" i="57" s="1"/>
  <c r="H65" i="57" s="1"/>
  <c r="H41" i="57" s="1"/>
  <c r="AA93" i="26" s="1"/>
  <c r="L93" i="26" s="1"/>
  <c r="M93" i="26" s="1"/>
  <c r="K120" i="35"/>
  <c r="K78" i="35" s="1"/>
  <c r="K64" i="35" s="1"/>
  <c r="K40" i="35" s="1"/>
  <c r="H74" i="36" s="1"/>
  <c r="H76" i="51"/>
  <c r="H48" i="51" s="1"/>
  <c r="H33" i="51" s="1"/>
  <c r="AA146" i="26" s="1"/>
  <c r="L146" i="26" s="1"/>
  <c r="M146" i="26" s="1"/>
  <c r="I104" i="35"/>
  <c r="I53" i="35" s="1"/>
  <c r="I29" i="35" s="1"/>
  <c r="E89" i="51"/>
  <c r="L122" i="35"/>
  <c r="F69" i="51"/>
  <c r="F41" i="51" s="1"/>
  <c r="F26" i="51" s="1"/>
  <c r="AA121" i="26" s="1"/>
  <c r="L121" i="26" s="1"/>
  <c r="M121" i="26" s="1"/>
  <c r="H115" i="35"/>
  <c r="H73" i="35" s="1"/>
  <c r="H59" i="35" s="1"/>
  <c r="H35" i="35" s="1"/>
  <c r="I87" i="36" s="1"/>
  <c r="J87" i="36" s="1"/>
  <c r="K87" i="36" s="1"/>
  <c r="K104" i="35"/>
  <c r="K53" i="35" s="1"/>
  <c r="K29" i="35" s="1"/>
  <c r="G120" i="57"/>
  <c r="G78" i="57" s="1"/>
  <c r="G64" i="57" s="1"/>
  <c r="G40" i="57" s="1"/>
  <c r="AA83" i="26" s="1"/>
  <c r="L83" i="26" s="1"/>
  <c r="M83" i="26" s="1"/>
  <c r="H121" i="35"/>
  <c r="H79" i="35" s="1"/>
  <c r="H65" i="35" s="1"/>
  <c r="H41" i="35" s="1"/>
  <c r="I93" i="36" s="1"/>
  <c r="L107" i="35"/>
  <c r="L56" i="35" s="1"/>
  <c r="L32" i="35" s="1"/>
  <c r="H71" i="51"/>
  <c r="H43" i="51" s="1"/>
  <c r="H28" i="51" s="1"/>
  <c r="AA141" i="26" s="1"/>
  <c r="L141" i="26" s="1"/>
  <c r="M141" i="26" s="1"/>
  <c r="D106" i="35"/>
  <c r="D55" i="35" s="1"/>
  <c r="D31" i="35" s="1"/>
  <c r="G116" i="57"/>
  <c r="G74" i="57" s="1"/>
  <c r="G60" i="57" s="1"/>
  <c r="G36" i="57" s="1"/>
  <c r="AA79" i="26" s="1"/>
  <c r="L79" i="26" s="1"/>
  <c r="M79" i="26" s="1"/>
  <c r="D119" i="35"/>
  <c r="D77" i="35" s="1"/>
  <c r="D63" i="35" s="1"/>
  <c r="D39" i="35" s="1"/>
  <c r="I55" i="36" s="1"/>
  <c r="G102" i="35"/>
  <c r="G51" i="35" s="1"/>
  <c r="G27" i="35" s="1"/>
  <c r="K103" i="35"/>
  <c r="K52" i="35" s="1"/>
  <c r="K28" i="35" s="1"/>
  <c r="E87" i="51"/>
  <c r="E120" i="35"/>
  <c r="E78" i="35" s="1"/>
  <c r="E64" i="35" s="1"/>
  <c r="E40" i="35" s="1"/>
  <c r="I65" i="36" s="1"/>
  <c r="I101" i="35"/>
  <c r="I50" i="35" s="1"/>
  <c r="I26" i="35" s="1"/>
  <c r="E83" i="51"/>
  <c r="G106" i="35"/>
  <c r="G55" i="35" s="1"/>
  <c r="G31" i="35" s="1"/>
  <c r="G90" i="51"/>
  <c r="D117" i="35"/>
  <c r="D75" i="35" s="1"/>
  <c r="D61" i="35" s="1"/>
  <c r="D37" i="35" s="1"/>
  <c r="I53" i="36" s="1"/>
  <c r="J103" i="35"/>
  <c r="J52" i="35" s="1"/>
  <c r="J28" i="35" s="1"/>
  <c r="G70" i="51"/>
  <c r="G42" i="51" s="1"/>
  <c r="G27" i="51" s="1"/>
  <c r="AA131" i="26" s="1"/>
  <c r="L131" i="26" s="1"/>
  <c r="M131" i="26" s="1"/>
  <c r="F75" i="51"/>
  <c r="F47" i="51" s="1"/>
  <c r="F32" i="51" s="1"/>
  <c r="AA127" i="26" s="1"/>
  <c r="L127" i="26" s="1"/>
  <c r="M127" i="26" s="1"/>
  <c r="M78" i="35" l="1"/>
  <c r="M64" i="35" s="1"/>
  <c r="M40" i="35" s="1"/>
  <c r="H92" i="36" s="1"/>
  <c r="D75" i="57"/>
  <c r="D61" i="57" s="1"/>
  <c r="D37" i="57" s="1"/>
  <c r="AA53" i="26" s="1"/>
  <c r="L53" i="26" s="1"/>
  <c r="M53" i="26" s="1"/>
  <c r="J73" i="35"/>
  <c r="J59" i="35" s="1"/>
  <c r="J35" i="35" s="1"/>
  <c r="H60" i="36" s="1"/>
  <c r="J60" i="36" s="1"/>
  <c r="K60" i="36" s="1"/>
  <c r="G80" i="57"/>
  <c r="G66" i="57" s="1"/>
  <c r="G42" i="57" s="1"/>
  <c r="AA85" i="26" s="1"/>
  <c r="L85" i="26" s="1"/>
  <c r="M85" i="26" s="1"/>
  <c r="K76" i="35"/>
  <c r="K62" i="35" s="1"/>
  <c r="K38" i="35" s="1"/>
  <c r="H72" i="36" s="1"/>
  <c r="J55" i="36"/>
  <c r="K55" i="36" s="1"/>
  <c r="H77" i="57"/>
  <c r="H63" i="57" s="1"/>
  <c r="H39" i="57" s="1"/>
  <c r="AA91" i="26" s="1"/>
  <c r="L91" i="26" s="1"/>
  <c r="M91" i="26" s="1"/>
  <c r="G75" i="35"/>
  <c r="G61" i="35" s="1"/>
  <c r="G37" i="35" s="1"/>
  <c r="I80" i="36" s="1"/>
  <c r="F80" i="35"/>
  <c r="F66" i="35" s="1"/>
  <c r="F42" i="35" s="1"/>
  <c r="I76" i="36" s="1"/>
  <c r="J82" i="36"/>
  <c r="K82" i="36" s="1"/>
  <c r="D76" i="35"/>
  <c r="D62" i="35" s="1"/>
  <c r="D38" i="35" s="1"/>
  <c r="I54" i="36" s="1"/>
  <c r="J54" i="36" s="1"/>
  <c r="K54" i="36" s="1"/>
  <c r="F78" i="35"/>
  <c r="F64" i="35" s="1"/>
  <c r="F40" i="35" s="1"/>
  <c r="I74" i="36" s="1"/>
  <c r="J74" i="36" s="1"/>
  <c r="K74" i="36" s="1"/>
  <c r="F79" i="57"/>
  <c r="F65" i="57" s="1"/>
  <c r="F41" i="57" s="1"/>
  <c r="AA75" i="26" s="1"/>
  <c r="L75" i="26" s="1"/>
  <c r="M75" i="26" s="1"/>
  <c r="H77" i="35"/>
  <c r="H63" i="35" s="1"/>
  <c r="H39" i="35" s="1"/>
  <c r="I91" i="36" s="1"/>
  <c r="E74" i="35"/>
  <c r="E60" i="35" s="1"/>
  <c r="E36" i="35" s="1"/>
  <c r="I61" i="36" s="1"/>
  <c r="I79" i="35"/>
  <c r="I65" i="35" s="1"/>
  <c r="I41" i="35" s="1"/>
  <c r="H57" i="36" s="1"/>
  <c r="F79" i="35"/>
  <c r="F65" i="35" s="1"/>
  <c r="F41" i="35" s="1"/>
  <c r="I75" i="36" s="1"/>
  <c r="J78" i="35"/>
  <c r="J64" i="35" s="1"/>
  <c r="J40" i="35" s="1"/>
  <c r="H65" i="36" s="1"/>
  <c r="J65" i="36" s="1"/>
  <c r="K65" i="36" s="1"/>
  <c r="H80" i="57"/>
  <c r="H66" i="57" s="1"/>
  <c r="H42" i="57" s="1"/>
  <c r="AA94" i="26" s="1"/>
  <c r="L94" i="26" s="1"/>
  <c r="M94" i="26" s="1"/>
  <c r="D73" i="57"/>
  <c r="D59" i="57" s="1"/>
  <c r="D35" i="57" s="1"/>
  <c r="AA51" i="26" s="1"/>
  <c r="L51" i="26" s="1"/>
  <c r="M51" i="26" s="1"/>
  <c r="H80" i="35"/>
  <c r="H66" i="35" s="1"/>
  <c r="H42" i="35" s="1"/>
  <c r="I94" i="36" s="1"/>
  <c r="F76" i="35"/>
  <c r="F62" i="35" s="1"/>
  <c r="F38" i="35" s="1"/>
  <c r="I72" i="36" s="1"/>
  <c r="L73" i="35"/>
  <c r="L59" i="35" s="1"/>
  <c r="L35" i="35" s="1"/>
  <c r="H78" i="36" s="1"/>
  <c r="J78" i="36" s="1"/>
  <c r="K78" i="36" s="1"/>
  <c r="J79" i="35"/>
  <c r="J65" i="35" s="1"/>
  <c r="J41" i="35" s="1"/>
  <c r="H66" i="36" s="1"/>
  <c r="J66" i="36" s="1"/>
  <c r="K66" i="36" s="1"/>
  <c r="I73" i="35"/>
  <c r="I59" i="35" s="1"/>
  <c r="I35" i="35" s="1"/>
  <c r="H51" i="36" s="1"/>
  <c r="J51" i="36" s="1"/>
  <c r="K51" i="36" s="1"/>
  <c r="E80" i="57"/>
  <c r="E66" i="57" s="1"/>
  <c r="E42" i="57" s="1"/>
  <c r="AA67" i="26" s="1"/>
  <c r="L67" i="26" s="1"/>
  <c r="M67" i="26" s="1"/>
  <c r="F77" i="57"/>
  <c r="F63" i="57" s="1"/>
  <c r="F39" i="57" s="1"/>
  <c r="AA73" i="26" s="1"/>
  <c r="L73" i="26" s="1"/>
  <c r="M73" i="26" s="1"/>
  <c r="K79" i="35"/>
  <c r="K65" i="35" s="1"/>
  <c r="K41" i="35" s="1"/>
  <c r="H75" i="36" s="1"/>
  <c r="H73" i="57"/>
  <c r="H59" i="57" s="1"/>
  <c r="H35" i="57" s="1"/>
  <c r="AA87" i="26" s="1"/>
  <c r="L87" i="26" s="1"/>
  <c r="M87" i="26" s="1"/>
  <c r="L79" i="35"/>
  <c r="L65" i="35" s="1"/>
  <c r="L41" i="35" s="1"/>
  <c r="H84" i="36" s="1"/>
  <c r="J84" i="36" s="1"/>
  <c r="K84" i="36" s="1"/>
  <c r="K73" i="35"/>
  <c r="K59" i="35" s="1"/>
  <c r="K35" i="35" s="1"/>
  <c r="H69" i="36" s="1"/>
  <c r="J69" i="36" s="1"/>
  <c r="K69" i="36" s="1"/>
  <c r="G78" i="35"/>
  <c r="G64" i="35" s="1"/>
  <c r="G40" i="35" s="1"/>
  <c r="I83" i="36" s="1"/>
  <c r="H78" i="57"/>
  <c r="H64" i="57" s="1"/>
  <c r="H40" i="57" s="1"/>
  <c r="AA92" i="26" s="1"/>
  <c r="L92" i="26" s="1"/>
  <c r="M92" i="26" s="1"/>
  <c r="M79" i="35"/>
  <c r="M65" i="35" s="1"/>
  <c r="M41" i="35" s="1"/>
  <c r="H93" i="36" s="1"/>
  <c r="J93" i="36" s="1"/>
  <c r="K93" i="36" s="1"/>
  <c r="I75" i="35"/>
  <c r="I61" i="35" s="1"/>
  <c r="I37" i="35" s="1"/>
  <c r="H53" i="36" s="1"/>
  <c r="J53" i="36" s="1"/>
  <c r="K53" i="36" s="1"/>
  <c r="D79" i="35"/>
  <c r="D65" i="35" s="1"/>
  <c r="D41" i="35" s="1"/>
  <c r="I57" i="36" s="1"/>
  <c r="I76" i="35"/>
  <c r="I62" i="35" s="1"/>
  <c r="I38" i="35" s="1"/>
  <c r="H54" i="36" s="1"/>
  <c r="J67" i="36"/>
  <c r="K67" i="36" s="1"/>
  <c r="J75" i="35"/>
  <c r="J61" i="35" s="1"/>
  <c r="J37" i="35" s="1"/>
  <c r="H62" i="36" s="1"/>
  <c r="J62" i="36" s="1"/>
  <c r="K62" i="36" s="1"/>
  <c r="G73" i="57"/>
  <c r="G59" i="57" s="1"/>
  <c r="G35" i="57" s="1"/>
  <c r="AA78" i="26" s="1"/>
  <c r="L78" i="26" s="1"/>
  <c r="M78" i="26" s="1"/>
  <c r="D79" i="57"/>
  <c r="D65" i="57" s="1"/>
  <c r="D41" i="57" s="1"/>
  <c r="AA57" i="26" s="1"/>
  <c r="L57" i="26" s="1"/>
  <c r="M57" i="26" s="1"/>
  <c r="L78" i="35"/>
  <c r="L64" i="35" s="1"/>
  <c r="L40" i="35" s="1"/>
  <c r="H83" i="36" s="1"/>
  <c r="K77" i="35"/>
  <c r="K63" i="35" s="1"/>
  <c r="K39" i="35" s="1"/>
  <c r="H73" i="36" s="1"/>
  <c r="H75" i="35"/>
  <c r="H61" i="35" s="1"/>
  <c r="H37" i="35" s="1"/>
  <c r="I89" i="36" s="1"/>
  <c r="J89" i="36" s="1"/>
  <c r="K89" i="36" s="1"/>
  <c r="L74" i="35"/>
  <c r="L60" i="35" s="1"/>
  <c r="L36" i="35" s="1"/>
  <c r="H79" i="36" s="1"/>
  <c r="J94" i="36"/>
  <c r="K94" i="36" s="1"/>
  <c r="G79" i="57"/>
  <c r="G65" i="57" s="1"/>
  <c r="G41" i="57" s="1"/>
  <c r="AA84" i="26" s="1"/>
  <c r="L84" i="26" s="1"/>
  <c r="M84" i="26" s="1"/>
  <c r="F77" i="35"/>
  <c r="F63" i="35" s="1"/>
  <c r="F39" i="35" s="1"/>
  <c r="I73" i="36" s="1"/>
  <c r="J73" i="36" s="1"/>
  <c r="K73" i="36" s="1"/>
  <c r="L80" i="35"/>
  <c r="L66" i="35" s="1"/>
  <c r="L42" i="35" s="1"/>
  <c r="H85" i="36" s="1"/>
  <c r="J85" i="36" s="1"/>
  <c r="K85" i="36" s="1"/>
  <c r="L75" i="35"/>
  <c r="L61" i="35" s="1"/>
  <c r="L37" i="35" s="1"/>
  <c r="H80" i="36" s="1"/>
  <c r="J80" i="36" s="1"/>
  <c r="K80" i="36" s="1"/>
  <c r="F73" i="57"/>
  <c r="F59" i="57" s="1"/>
  <c r="F35" i="57" s="1"/>
  <c r="AA69" i="26" s="1"/>
  <c r="L69" i="26" s="1"/>
  <c r="M69" i="26" s="1"/>
  <c r="J76" i="35"/>
  <c r="J62" i="35" s="1"/>
  <c r="J38" i="35" s="1"/>
  <c r="H63" i="36" s="1"/>
  <c r="J63" i="36" s="1"/>
  <c r="K63" i="36" s="1"/>
  <c r="E78" i="57"/>
  <c r="E64" i="57" s="1"/>
  <c r="E40" i="57" s="1"/>
  <c r="AA65" i="26" s="1"/>
  <c r="L65" i="26" s="1"/>
  <c r="M65" i="26" s="1"/>
  <c r="M77" i="35"/>
  <c r="M63" i="35" s="1"/>
  <c r="M39" i="35" s="1"/>
  <c r="H91" i="36" s="1"/>
  <c r="J91" i="36" s="1"/>
  <c r="K91" i="36" s="1"/>
  <c r="D80" i="35"/>
  <c r="D66" i="35" s="1"/>
  <c r="D42" i="35" s="1"/>
  <c r="I58" i="36" s="1"/>
  <c r="J58" i="36" s="1"/>
  <c r="K58" i="36" s="1"/>
  <c r="D80" i="57"/>
  <c r="D66" i="57" s="1"/>
  <c r="D42" i="57" s="1"/>
  <c r="AA58" i="26" s="1"/>
  <c r="L58" i="26" s="1"/>
  <c r="M58" i="26" s="1"/>
  <c r="J79" i="36"/>
  <c r="K79" i="36" s="1"/>
  <c r="H78" i="35"/>
  <c r="H64" i="35" s="1"/>
  <c r="H40" i="35" s="1"/>
  <c r="I92" i="36" s="1"/>
  <c r="J92" i="36" s="1"/>
  <c r="K92" i="36" s="1"/>
  <c r="F78" i="57"/>
  <c r="F64" i="57" s="1"/>
  <c r="F40" i="57" s="1"/>
  <c r="AA74" i="26" s="1"/>
  <c r="L74" i="26" s="1"/>
  <c r="M74" i="26" s="1"/>
  <c r="F75" i="35"/>
  <c r="F61" i="35" s="1"/>
  <c r="F37" i="35" s="1"/>
  <c r="I71" i="36" s="1"/>
  <c r="E76" i="57"/>
  <c r="E62" i="57" s="1"/>
  <c r="E38" i="57" s="1"/>
  <c r="AA63" i="26" s="1"/>
  <c r="L63" i="26" s="1"/>
  <c r="M63" i="26" s="1"/>
  <c r="J64" i="36"/>
  <c r="K64" i="36" s="1"/>
  <c r="K75" i="35"/>
  <c r="K61" i="35" s="1"/>
  <c r="K37" i="35" s="1"/>
  <c r="H71" i="36" s="1"/>
  <c r="D78" i="35"/>
  <c r="D64" i="35" s="1"/>
  <c r="D40" i="35" s="1"/>
  <c r="I56" i="36" s="1"/>
  <c r="J56" i="36" s="1"/>
  <c r="K56" i="36" s="1"/>
  <c r="K80" i="35"/>
  <c r="K66" i="35" s="1"/>
  <c r="K42" i="35" s="1"/>
  <c r="H76" i="36" s="1"/>
  <c r="J76" i="36" s="1"/>
  <c r="K76" i="36" s="1"/>
  <c r="G76" i="35"/>
  <c r="G62" i="35" s="1"/>
  <c r="G38" i="35" s="1"/>
  <c r="I81" i="36" s="1"/>
  <c r="J81" i="36" s="1"/>
  <c r="K81" i="36" s="1"/>
  <c r="J52" i="36"/>
  <c r="K52" i="36" s="1"/>
  <c r="F76" i="57"/>
  <c r="F62" i="57" s="1"/>
  <c r="F38" i="57" s="1"/>
  <c r="AA72" i="26" s="1"/>
  <c r="L72" i="26" s="1"/>
  <c r="M72" i="26" s="1"/>
  <c r="J74" i="35"/>
  <c r="J60" i="35" s="1"/>
  <c r="J36" i="35" s="1"/>
  <c r="H61" i="36" s="1"/>
  <c r="J61" i="36" s="1"/>
  <c r="K61" i="36" s="1"/>
  <c r="J75" i="36" l="1"/>
  <c r="K75" i="36" s="1"/>
  <c r="J71" i="36"/>
  <c r="K71" i="36" s="1"/>
  <c r="J57" i="36"/>
  <c r="K57" i="36" s="1"/>
  <c r="J72" i="36"/>
  <c r="K72" i="36" s="1"/>
  <c r="J83" i="36"/>
  <c r="K83" i="36" s="1"/>
</calcChain>
</file>

<file path=xl/sharedStrings.xml><?xml version="1.0" encoding="utf-8"?>
<sst xmlns="http://schemas.openxmlformats.org/spreadsheetml/2006/main" count="1696" uniqueCount="541">
  <si>
    <t>m</t>
  </si>
  <si>
    <t>m²</t>
  </si>
  <si>
    <t>kN/m²</t>
  </si>
  <si>
    <t>kg/m²</t>
  </si>
  <si>
    <t>-</t>
  </si>
  <si>
    <t>°</t>
  </si>
  <si>
    <t xml:space="preserve"> -</t>
  </si>
  <si>
    <t>English</t>
  </si>
  <si>
    <t>m/s</t>
  </si>
  <si>
    <t>km/h</t>
  </si>
  <si>
    <t>Exp. B</t>
  </si>
  <si>
    <r>
      <t>z</t>
    </r>
    <r>
      <rPr>
        <b/>
        <vertAlign val="subscript"/>
        <sz val="10"/>
        <rFont val="Arial"/>
        <family val="2"/>
      </rPr>
      <t>g</t>
    </r>
    <r>
      <rPr>
        <b/>
        <sz val="10"/>
        <rFont val="Arial"/>
        <family val="2"/>
      </rPr>
      <t xml:space="preserve"> [m]</t>
    </r>
  </si>
  <si>
    <r>
      <t>z</t>
    </r>
    <r>
      <rPr>
        <b/>
        <vertAlign val="subscript"/>
        <sz val="10"/>
        <rFont val="Arial"/>
        <family val="2"/>
      </rPr>
      <t>min</t>
    </r>
    <r>
      <rPr>
        <b/>
        <sz val="10"/>
        <rFont val="Arial"/>
        <family val="2"/>
      </rPr>
      <t xml:space="preserve"> [m]</t>
    </r>
  </si>
  <si>
    <r>
      <rPr>
        <b/>
        <sz val="10"/>
        <rFont val="Symbol"/>
        <family val="1"/>
        <charset val="2"/>
      </rPr>
      <t>a</t>
    </r>
    <r>
      <rPr>
        <b/>
        <sz val="10"/>
        <rFont val="Arial"/>
        <family val="2"/>
      </rPr>
      <t xml:space="preserve"> [-]</t>
    </r>
  </si>
  <si>
    <r>
      <t>k</t>
    </r>
    <r>
      <rPr>
        <b/>
        <vertAlign val="subscript"/>
        <sz val="10"/>
        <rFont val="Arial"/>
        <family val="2"/>
      </rPr>
      <t>z</t>
    </r>
    <r>
      <rPr>
        <b/>
        <sz val="10"/>
        <rFont val="Arial"/>
        <family val="2"/>
      </rPr>
      <t xml:space="preserve"> [-]</t>
    </r>
  </si>
  <si>
    <r>
      <t>q</t>
    </r>
    <r>
      <rPr>
        <b/>
        <vertAlign val="subscript"/>
        <sz val="10"/>
        <rFont val="Arial"/>
        <family val="2"/>
      </rPr>
      <t>h</t>
    </r>
    <r>
      <rPr>
        <b/>
        <sz val="10"/>
        <rFont val="Arial"/>
        <family val="2"/>
      </rPr>
      <t xml:space="preserve"> [N/m²]</t>
    </r>
  </si>
  <si>
    <t>Exp. C</t>
  </si>
  <si>
    <t>Exp. D</t>
  </si>
  <si>
    <t>ASCE/SEI 7-10</t>
  </si>
  <si>
    <t>Nein / No</t>
  </si>
  <si>
    <t>Ja / Yes</t>
  </si>
  <si>
    <t>USA</t>
  </si>
  <si>
    <t>I</t>
  </si>
  <si>
    <t>II</t>
  </si>
  <si>
    <t>III</t>
  </si>
  <si>
    <t>IV</t>
  </si>
  <si>
    <t>USA II</t>
  </si>
  <si>
    <t>ASCE/SEI 7-05</t>
  </si>
  <si>
    <t>ASCE/SEI 7-05: Section 6</t>
  </si>
  <si>
    <t>ASCE/SEI 7-05: Annex C6</t>
  </si>
  <si>
    <t>Case 1</t>
  </si>
  <si>
    <t>Case 2</t>
  </si>
  <si>
    <t>ASCE/SEI 7-10: Section 26 and 27</t>
  </si>
  <si>
    <t>ASCE/SEI 7-10: Annex C26 and C27</t>
  </si>
  <si>
    <t>Components and Cladding</t>
  </si>
  <si>
    <t>Main Structure</t>
  </si>
  <si>
    <t>An i</t>
  </si>
  <si>
    <t>i = a</t>
  </si>
  <si>
    <t>i = b</t>
  </si>
  <si>
    <t>i = c</t>
  </si>
  <si>
    <t>i = d</t>
  </si>
  <si>
    <t>kp i</t>
  </si>
  <si>
    <t>hp/h = 0.1</t>
  </si>
  <si>
    <t>hp/h = 0.2</t>
  </si>
  <si>
    <t>hp/h = 0.0</t>
  </si>
  <si>
    <t>hp/h:</t>
  </si>
  <si>
    <t>hp/h = ?</t>
  </si>
  <si>
    <r>
      <t>L</t>
    </r>
    <r>
      <rPr>
        <b/>
        <vertAlign val="subscript"/>
        <sz val="12"/>
        <rFont val="Arial"/>
        <family val="2"/>
      </rPr>
      <t>6</t>
    </r>
  </si>
  <si>
    <t>P1 - hp/h = 0.1</t>
  </si>
  <si>
    <t>P2 - hp/h = 0.1</t>
  </si>
  <si>
    <t>P3 - hp/h = 0.1</t>
  </si>
  <si>
    <t>P4 - hp/h = 0.1</t>
  </si>
  <si>
    <t>P5 - hp/h = 0.1</t>
  </si>
  <si>
    <t>P1 - hp/h = 0.2</t>
  </si>
  <si>
    <t>P2 - hp/h = 0.2</t>
  </si>
  <si>
    <t>P3 - hp/h = 0.2</t>
  </si>
  <si>
    <t>P4 - hp/h = 0.2</t>
  </si>
  <si>
    <t>P5 - hp/h = 0.2</t>
  </si>
  <si>
    <r>
      <t>A</t>
    </r>
    <r>
      <rPr>
        <vertAlign val="subscript"/>
        <sz val="10"/>
        <rFont val="Arial"/>
        <family val="2"/>
      </rPr>
      <t>n</t>
    </r>
    <r>
      <rPr>
        <sz val="10"/>
        <rFont val="Arial"/>
        <family val="2"/>
      </rPr>
      <t xml:space="preserve"> [-]</t>
    </r>
  </si>
  <si>
    <r>
      <t>A</t>
    </r>
    <r>
      <rPr>
        <b/>
        <sz val="10"/>
        <rFont val="Arial"/>
        <family val="2"/>
      </rPr>
      <t xml:space="preserve"> =</t>
    </r>
  </si>
  <si>
    <r>
      <t>kp</t>
    </r>
    <r>
      <rPr>
        <sz val="10"/>
        <rFont val="Arial"/>
        <family val="2"/>
      </rPr>
      <t xml:space="preserve"> [-]</t>
    </r>
  </si>
  <si>
    <t>A i</t>
  </si>
  <si>
    <t>Exponent</t>
  </si>
  <si>
    <r>
      <rPr>
        <sz val="10"/>
        <rFont val="Symbol"/>
        <family val="1"/>
        <charset val="2"/>
      </rPr>
      <t>g</t>
    </r>
    <r>
      <rPr>
        <sz val="10"/>
        <rFont val="Arial"/>
        <family val="2"/>
      </rPr>
      <t xml:space="preserve"> [-]</t>
    </r>
  </si>
  <si>
    <t>i = e</t>
  </si>
  <si>
    <t>cpMS i</t>
  </si>
  <si>
    <r>
      <t>mS</t>
    </r>
    <r>
      <rPr>
        <vertAlign val="subscript"/>
        <sz val="10"/>
        <rFont val="Arial"/>
        <family val="2"/>
      </rPr>
      <t>n</t>
    </r>
    <r>
      <rPr>
        <sz val="10"/>
        <rFont val="Arial"/>
        <family val="2"/>
      </rPr>
      <t xml:space="preserve"> [-]</t>
    </r>
  </si>
  <si>
    <r>
      <t>mL</t>
    </r>
    <r>
      <rPr>
        <vertAlign val="subscript"/>
        <sz val="10"/>
        <rFont val="Arial"/>
        <family val="2"/>
      </rPr>
      <t>n</t>
    </r>
    <r>
      <rPr>
        <sz val="10"/>
        <rFont val="Arial"/>
        <family val="2"/>
      </rPr>
      <t xml:space="preserve"> [-]</t>
    </r>
  </si>
  <si>
    <r>
      <t>cpMS</t>
    </r>
    <r>
      <rPr>
        <vertAlign val="subscript"/>
        <sz val="10"/>
        <rFont val="Arial"/>
        <family val="2"/>
      </rPr>
      <t>n</t>
    </r>
    <r>
      <rPr>
        <sz val="10"/>
        <rFont val="Arial"/>
        <family val="2"/>
      </rPr>
      <t xml:space="preserve"> [-]</t>
    </r>
  </si>
  <si>
    <r>
      <t>cpML</t>
    </r>
    <r>
      <rPr>
        <vertAlign val="subscript"/>
        <sz val="10"/>
        <rFont val="Arial"/>
        <family val="2"/>
      </rPr>
      <t>n</t>
    </r>
    <r>
      <rPr>
        <sz val="10"/>
        <rFont val="Arial"/>
        <family val="2"/>
      </rPr>
      <t xml:space="preserve"> [-]</t>
    </r>
  </si>
  <si>
    <t>mS i</t>
  </si>
  <si>
    <r>
      <t>cpDS</t>
    </r>
    <r>
      <rPr>
        <vertAlign val="subscript"/>
        <sz val="10"/>
        <rFont val="Arial"/>
        <family val="2"/>
      </rPr>
      <t>n</t>
    </r>
    <r>
      <rPr>
        <sz val="10"/>
        <rFont val="Arial"/>
        <family val="2"/>
      </rPr>
      <t xml:space="preserve"> [-]</t>
    </r>
  </si>
  <si>
    <r>
      <t>cpDL</t>
    </r>
    <r>
      <rPr>
        <vertAlign val="subscript"/>
        <sz val="10"/>
        <rFont val="Arial"/>
        <family val="2"/>
      </rPr>
      <t>n</t>
    </r>
    <r>
      <rPr>
        <sz val="10"/>
        <rFont val="Arial"/>
        <family val="2"/>
      </rPr>
      <t xml:space="preserve"> [-]</t>
    </r>
  </si>
  <si>
    <t>cpML i</t>
  </si>
  <si>
    <t>mL i</t>
  </si>
  <si>
    <r>
      <t>L</t>
    </r>
    <r>
      <rPr>
        <b/>
        <vertAlign val="subscript"/>
        <sz val="12"/>
        <rFont val="Arial"/>
        <family val="2"/>
      </rPr>
      <t>5</t>
    </r>
  </si>
  <si>
    <r>
      <t>L</t>
    </r>
    <r>
      <rPr>
        <b/>
        <vertAlign val="subscript"/>
        <sz val="12"/>
        <rFont val="Arial"/>
        <family val="2"/>
      </rPr>
      <t>2</t>
    </r>
  </si>
  <si>
    <r>
      <t>L</t>
    </r>
    <r>
      <rPr>
        <b/>
        <vertAlign val="subscript"/>
        <sz val="12"/>
        <rFont val="Arial"/>
        <family val="2"/>
      </rPr>
      <t>4</t>
    </r>
  </si>
  <si>
    <r>
      <t>L</t>
    </r>
    <r>
      <rPr>
        <b/>
        <vertAlign val="subscript"/>
        <sz val="12"/>
        <rFont val="Arial"/>
        <family val="2"/>
      </rPr>
      <t>1</t>
    </r>
  </si>
  <si>
    <r>
      <t>L</t>
    </r>
    <r>
      <rPr>
        <b/>
        <vertAlign val="subscript"/>
        <sz val="12"/>
        <rFont val="Arial"/>
        <family val="2"/>
      </rPr>
      <t>3</t>
    </r>
  </si>
  <si>
    <t>Ecolibrium Solar, Inc.</t>
  </si>
  <si>
    <t>cpMLn [-]</t>
  </si>
  <si>
    <t>mLn [-]</t>
  </si>
  <si>
    <t>xa</t>
  </si>
  <si>
    <t>xb</t>
  </si>
  <si>
    <t>ya</t>
  </si>
  <si>
    <t>yb</t>
  </si>
  <si>
    <t>If you paste inputs from old Ecocalcs, use "paste values" to keep spreadsheet functional</t>
  </si>
  <si>
    <t>Notes</t>
  </si>
  <si>
    <t>Project Specific</t>
  </si>
  <si>
    <t>Salesperson</t>
  </si>
  <si>
    <t>Account Name</t>
  </si>
  <si>
    <t>Installer Name</t>
  </si>
  <si>
    <t>For use on permitting applications and paperwork.</t>
  </si>
  <si>
    <t>Project Address</t>
  </si>
  <si>
    <t>DO NOT INCLUDE CITY/STATE</t>
  </si>
  <si>
    <t>Project Zip</t>
  </si>
  <si>
    <t>Roof Type</t>
  </si>
  <si>
    <t>EPDM</t>
  </si>
  <si>
    <t>NO</t>
  </si>
  <si>
    <t>Module Info</t>
  </si>
  <si>
    <t>Module Manufacturer</t>
  </si>
  <si>
    <t>Module Model</t>
  </si>
  <si>
    <t>Module Power (w)</t>
  </si>
  <si>
    <t>(metric)</t>
  </si>
  <si>
    <t>Module Length (in)</t>
  </si>
  <si>
    <t>Module Width (in)</t>
  </si>
  <si>
    <t>Module Weight (lbs.)</t>
  </si>
  <si>
    <t>Module Quantity</t>
  </si>
  <si>
    <t>Code Related</t>
  </si>
  <si>
    <t>Roof Height (ft.)</t>
  </si>
  <si>
    <t>Wind Speed (mph)</t>
  </si>
  <si>
    <t>Maximum wind speed of a 3 second gust the region has recorded.  From ASCE 7-05.  Based on the address of the jobsite.</t>
  </si>
  <si>
    <t>Occupancy Category</t>
  </si>
  <si>
    <t>Category II for typical buildings. Category III represents substantial hazard for human life, spaces where more than 300 people congregate, Ex. schools, jails, etc.  Category IV essential facilities, hospitals, emergency response, power plants, national defense.  From ASCE 7-05, Table 1-1</t>
  </si>
  <si>
    <t>Wind Exposure</t>
  </si>
  <si>
    <t>B</t>
  </si>
  <si>
    <t xml:space="preserve">Exposure B for urban, suburban, or wooded terrain extending all directions from the building for at least 2,600ft. Exposure C for open terrain with scattered obstructions, Ex. Airports, fields, large bodies of water.  Exception: If building is less than 30ft, distance reduced to 1,500ft. From ASCE 7-05 6.5.6 &amp; C6.5.6 </t>
  </si>
  <si>
    <t>Snow Load (psf)</t>
  </si>
  <si>
    <t>Amount of snow expressed in psf which the region may experience.  From ASCE 7-05.  Based on the address of the jobsite.</t>
  </si>
  <si>
    <t>Soil Site Class</t>
  </si>
  <si>
    <t>D</t>
  </si>
  <si>
    <t xml:space="preserve">Inquire about Site Class if Ss is between 0.3 and 0.75, otherwise select D. Select D if Site Class is D or less. (A=Hard Rock, B=Rock, C=Very Dense Soil and Soft Rock, D=Stiff Soil, E=Soft Clay Soil). If Site Class is F, inquire with Ecolibrium Solar. Site Class per ASCE 7-10 Chapter 20. </t>
  </si>
  <si>
    <t>Engineering Options</t>
  </si>
  <si>
    <t>ASCE7 Version</t>
  </si>
  <si>
    <t>Specify which building code ASCE to use: 2005 or 2010. When using ASCE7-10, be sure to enter the wind speed corresponding to the occupancy category (which is the same as risk category).</t>
  </si>
  <si>
    <t>Standard</t>
  </si>
  <si>
    <t>Module Orientation</t>
  </si>
  <si>
    <t>Landscape</t>
  </si>
  <si>
    <t>Roof slope (deg)</t>
  </si>
  <si>
    <t>Slope Calculator</t>
  </si>
  <si>
    <t>Seismic Methodology</t>
  </si>
  <si>
    <t>Unattached</t>
  </si>
  <si>
    <t>USE UNATTACHED UNLESS ROOF SLOPE GREATER THAN 3°</t>
  </si>
  <si>
    <t>Rise (p, in)</t>
  </si>
  <si>
    <t>Slip Sheet</t>
  </si>
  <si>
    <t>YES</t>
  </si>
  <si>
    <t>Most roofing-membrane manufacturers require a sacrificial "Slip Sheet" be used under each Ecofoot base</t>
  </si>
  <si>
    <t>Run (a, in)</t>
  </si>
  <si>
    <t>Parapet Height (inches)</t>
  </si>
  <si>
    <t>Greatest height of the parapet wall above the roof surface. Enter "0" for roofs with no parapet. Parapets higher than 5.5 inches (1/2 the height of the installed system) will require more ballast.</t>
  </si>
  <si>
    <t>Slope (θ)</t>
  </si>
  <si>
    <t>For slope given as a percent, use the percent value as the Rise (p), and use 100 as the Run (a)</t>
  </si>
  <si>
    <t>← Input length in mm</t>
  </si>
  <si>
    <t>← Input width in mm</t>
  </si>
  <si>
    <t>← Input weight in Kg</t>
  </si>
  <si>
    <t>C</t>
  </si>
  <si>
    <t>TPO</t>
  </si>
  <si>
    <t>Portrait</t>
  </si>
  <si>
    <t>PVC</t>
  </si>
  <si>
    <t>Granule Coated</t>
  </si>
  <si>
    <t>Gravel</t>
  </si>
  <si>
    <t>Other</t>
  </si>
  <si>
    <t>Cost</t>
  </si>
  <si>
    <t>Blue</t>
  </si>
  <si>
    <t>Deflector</t>
  </si>
  <si>
    <r>
      <t xml:space="preserve">Choose wether or not wind deflectors will be used. </t>
    </r>
    <r>
      <rPr>
        <b/>
        <sz val="8"/>
        <rFont val="Arial"/>
        <family val="2"/>
      </rPr>
      <t>Selecting "NO" is only valid in landscape.</t>
    </r>
  </si>
  <si>
    <t>Landscape orientation is approximately a 10 degree tilt while Portrait has a 5 degree tilt.  Portrait will result more kW per roof area. The ballast requirements are similar regardless of orientation, but PSF is higher for portrait due to a more densely packed roof.</t>
  </si>
  <si>
    <t>Project Name</t>
  </si>
  <si>
    <t>Building Width (E/W, ft.)</t>
  </si>
  <si>
    <t>Building Length (N/S, ft.)</t>
  </si>
  <si>
    <t>Ballast Block Weight (lbs.)</t>
  </si>
  <si>
    <r>
      <t>Seismic Data: (S</t>
    </r>
    <r>
      <rPr>
        <vertAlign val="subscript"/>
        <sz val="14"/>
        <rFont val="Calibri"/>
        <family val="2"/>
        <scheme val="minor"/>
      </rPr>
      <t>s</t>
    </r>
    <r>
      <rPr>
        <sz val="14"/>
        <rFont val="Calibri"/>
        <family val="2"/>
        <scheme val="minor"/>
      </rPr>
      <t>)</t>
    </r>
  </si>
  <si>
    <t>For non-rectangular buildings give longest north-south (N/S) axis of the building</t>
  </si>
  <si>
    <t>For non-rectangular buildings give longest east-west (E/W) axis of the building</t>
  </si>
  <si>
    <t>UNATTACHED SEISMIC: Roof slope must be ≤ 3°
ATTACHED SEISMIC: Roof slope must be ≤ 7°           IBC minimum roof slope is 1/4 rise over 12 inches</t>
  </si>
  <si>
    <t>Elevation Above Sea Level (ft.)</t>
  </si>
  <si>
    <r>
      <rPr>
        <sz val="8"/>
        <rFont val="Arial"/>
        <family val="2"/>
      </rPr>
      <t>Local elevation of the building above sea level can be found by endering the project address at</t>
    </r>
    <r>
      <rPr>
        <sz val="8"/>
        <color theme="10"/>
        <rFont val="Arial"/>
        <family val="2"/>
      </rPr>
      <t xml:space="preserve"> </t>
    </r>
    <r>
      <rPr>
        <u/>
        <sz val="8"/>
        <color theme="10"/>
        <rFont val="Arial"/>
        <family val="2"/>
      </rPr>
      <t>http://www.whatismyelevation.com</t>
    </r>
  </si>
  <si>
    <t>Module's weight:</t>
  </si>
  <si>
    <t>kg</t>
  </si>
  <si>
    <t>Friction Coefficient Calculator</t>
  </si>
  <si>
    <t>ROOF SURFACE</t>
  </si>
  <si>
    <t>SLIP SHEET?</t>
  </si>
  <si>
    <t>tpo</t>
  </si>
  <si>
    <t>Yes</t>
  </si>
  <si>
    <t>Values from Testing Engineers, Inc. study dated 2016-05-27 (valid in L.A. County)</t>
  </si>
  <si>
    <t>No</t>
  </si>
  <si>
    <t>epdm</t>
  </si>
  <si>
    <t>Red</t>
  </si>
  <si>
    <t>Estimated/calculated/misc sourced values</t>
  </si>
  <si>
    <t>gravel</t>
  </si>
  <si>
    <t>other</t>
  </si>
  <si>
    <t>E</t>
  </si>
  <si>
    <t>Attached</t>
  </si>
  <si>
    <t>Date</t>
  </si>
  <si>
    <t>Version</t>
  </si>
  <si>
    <t>Change</t>
  </si>
  <si>
    <t>0_0</t>
  </si>
  <si>
    <t>first version of IFI Calculator</t>
  </si>
  <si>
    <t>0_1</t>
  </si>
  <si>
    <t>Added '1-Eng Inputs', 'ZIPS', and 'Seismic Data' tabs from Ecocalcs 4_1, modified them for Ecofoot3, and integrated them into input tabs from IFI Calculator.</t>
  </si>
  <si>
    <t>WORKSHEET</t>
  </si>
  <si>
    <t>CUSTOMER</t>
  </si>
  <si>
    <t>MULTIPLIER</t>
  </si>
  <si>
    <t>PROJECT</t>
  </si>
  <si>
    <t>QUOTE</t>
  </si>
  <si>
    <t>Internal Profitability</t>
  </si>
  <si>
    <t>Shipping</t>
  </si>
  <si>
    <t>PART NAME</t>
  </si>
  <si>
    <t>PART NUMBER</t>
  </si>
  <si>
    <t>MSRP</t>
  </si>
  <si>
    <t>PRICE</t>
  </si>
  <si>
    <t>QTY</t>
  </si>
  <si>
    <t>SUBTOTAL</t>
  </si>
  <si>
    <t>Unit COGS</t>
  </si>
  <si>
    <t>Net COGS</t>
  </si>
  <si>
    <t>GP</t>
  </si>
  <si>
    <t>pallet spaces</t>
  </si>
  <si>
    <t>Engineering Services</t>
  </si>
  <si>
    <t>N/A</t>
  </si>
  <si>
    <t>ES02+SLSHA</t>
  </si>
  <si>
    <t>Mechanical Attachment</t>
  </si>
  <si>
    <t>ES02+ATKTA</t>
  </si>
  <si>
    <t>Discount</t>
  </si>
  <si>
    <t>Cost/watt</t>
  </si>
  <si>
    <t>Total</t>
  </si>
  <si>
    <t>System Size(kW)</t>
  </si>
  <si>
    <t>GPM</t>
  </si>
  <si>
    <t>Price Per Watt</t>
  </si>
  <si>
    <t>Commission</t>
  </si>
  <si>
    <t>Internal Array Weight (psf)</t>
  </si>
  <si>
    <t>%of REV</t>
  </si>
  <si>
    <t>From Zip</t>
  </si>
  <si>
    <t>To Zip</t>
  </si>
  <si>
    <t>Adders</t>
  </si>
  <si>
    <t xml:space="preserve">Add slip sheets </t>
  </si>
  <si>
    <t>Part Name</t>
  </si>
  <si>
    <t>Part Number</t>
  </si>
  <si>
    <t>Uplift Attachment Calculator</t>
  </si>
  <si>
    <t>Qty. Per Kit</t>
  </si>
  <si>
    <t>Total Qty.</t>
  </si>
  <si>
    <t>Total Cost</t>
  </si>
  <si>
    <t>U-Anchor 2400</t>
  </si>
  <si>
    <t>ECO-002_6??</t>
  </si>
  <si>
    <t>B22 Galvanized Strut 10'</t>
  </si>
  <si>
    <t>ECO-002_501</t>
  </si>
  <si>
    <t>Splice Clevis with 2 Holes</t>
  </si>
  <si>
    <t>ECO-002_508</t>
  </si>
  <si>
    <t>N228 Galvanized Strut Nut 3/8"-16</t>
  </si>
  <si>
    <t>ECO-002_511</t>
  </si>
  <si>
    <t xml:space="preserve">UniRac L-foot and Hardware </t>
  </si>
  <si>
    <t>ECO-002_510</t>
  </si>
  <si>
    <t>3/8" x 1" SS Carriage Bolt</t>
  </si>
  <si>
    <t>ECO-002_513</t>
  </si>
  <si>
    <t>ECO-002_512</t>
  </si>
  <si>
    <t>EcoX Power Accessory Bracket</t>
  </si>
  <si>
    <t>Add Ballast Tray</t>
  </si>
  <si>
    <t>3/8" x 1" SS serrated flange bolt</t>
  </si>
  <si>
    <t>Wind Deflector Bracket</t>
  </si>
  <si>
    <t>ES61022-CP</t>
  </si>
  <si>
    <t>total weight (lb)</t>
  </si>
  <si>
    <t>piece weight (lb)</t>
  </si>
  <si>
    <t>fractional spaces</t>
  </si>
  <si>
    <t>244 W State St</t>
  </si>
  <si>
    <t>QUOTE NO.</t>
  </si>
  <si>
    <t>Quote number= Salesperson initials followed by date then quote # for that day. EX: If this is my second quote on 8/23/13 then the quote # is "BW08231302".</t>
  </si>
  <si>
    <t>Athens, OH 45701</t>
  </si>
  <si>
    <t>DATE</t>
  </si>
  <si>
    <t>P: 740-249-1877</t>
  </si>
  <si>
    <t>EXPIRATION DATE</t>
  </si>
  <si>
    <t>sales@ecolibriumsolar.com</t>
  </si>
  <si>
    <t>CUSTOMER ID</t>
  </si>
  <si>
    <t>SALESPERSON</t>
  </si>
  <si>
    <t>SHIPPING TERMS</t>
  </si>
  <si>
    <t>PAYMENT TERMS</t>
  </si>
  <si>
    <t>FOB 44707</t>
  </si>
  <si>
    <t>30% Down, Balance at Shipment</t>
  </si>
  <si>
    <t>UNIT PRICE</t>
  </si>
  <si>
    <t>LINE TOTAL</t>
  </si>
  <si>
    <t>TERMS AND CONDITIONS</t>
  </si>
  <si>
    <t>TOTAL</t>
  </si>
  <si>
    <t>1. Based upon information provided and is subject to change</t>
  </si>
  <si>
    <t xml:space="preserve">2. Does not include ballast, shipping or taxes </t>
  </si>
  <si>
    <t>3. Ecofoot2+ PE certificate excludes structural analysis of building</t>
  </si>
  <si>
    <t>Min Wind Setback (in.)</t>
  </si>
  <si>
    <t>4. Submit signed quote and your P.O. to salesperson listed above to place order</t>
  </si>
  <si>
    <t>Heaviest Array (PSF)</t>
  </si>
  <si>
    <t>THANK YOU FOR YOUR BUSINESS!</t>
  </si>
  <si>
    <t>Project Variables</t>
  </si>
  <si>
    <t>North Row Module Quantity</t>
  </si>
  <si>
    <t>Basic wind speed (3 second gust speed at 33 ft. above ground in Exposure C)</t>
  </si>
  <si>
    <t>mph</t>
  </si>
  <si>
    <t>Occupancy Category (I,II,III,IV)</t>
  </si>
  <si>
    <t>Exposure Category (B, C, D)</t>
  </si>
  <si>
    <t>Mean Roof Height</t>
  </si>
  <si>
    <t>ft.</t>
  </si>
  <si>
    <t>Module Weight</t>
  </si>
  <si>
    <t>lbs.</t>
  </si>
  <si>
    <t>Module Length</t>
  </si>
  <si>
    <t>in</t>
  </si>
  <si>
    <t>Module Width</t>
  </si>
  <si>
    <t>Ground Snow Load (fig 7-1 and table 7-1)</t>
  </si>
  <si>
    <t>psf</t>
  </si>
  <si>
    <t>Minimum Roof Setback</t>
  </si>
  <si>
    <t>in.</t>
  </si>
  <si>
    <t>Roofing Type</t>
  </si>
  <si>
    <t>Friction Coefficient</t>
  </si>
  <si>
    <t>Engineering Results</t>
  </si>
  <si>
    <t>Ballast Block Weight</t>
  </si>
  <si>
    <t xml:space="preserve">1. GENERAL PROVISIONS.  All sales of the products and services of Ecolibrium Solar, Inc.+ (“Supplier”) to purchaser (“Customer”) are subject to these general terms and conditions of sale (this “Agreement”). Supplier and Customer are referred to herein individually as a “Party” or jointly as the “Parties”.
2. ORDER PLACEMENT. The following are required in order for Supplier to proceed with order:
•        A sales quotation containing this Agreement signed by Customer
•        A purchase order submitted by Customer showing the items, quantities and prices shown in the sales quotation.  Alternatively, Customer may submit the     signed sales quotation along with a cover letter or cover email stating that Customer intends that said signed sales quotation shall also serve as Customer's purchase order
•        Upfront payment by Customer as specified in the sales quotation
3. Prices and Terms of Payment:  The Purchase Price shall be the amount shown in the sales quotation and market as “Total.”  30% of the Purchase Price is due upon execution of the sales quotation and Supplier shall invoice Customer for said 30% promptly upon receipt from Customer of the signed sales Quotation and purchase order.  The remaining portion of the Purchase Price shall be invoiced by Supplier to Customer and shall be payable prior to shipment from Supplier’s shipping point.  Finance charges equal to 1.5% per month (18% per annum) shall be assessed on late payments.  
4. DELIVERY TERMS AND LIMITATIONS; RETURNS. All deliveries shall be FOB shipping point. All risk of loss for damage to the Product ordered, in whole or in part, shall be borne entirely by Customer once the Product is delivered to a common carrier for delivery to Customer. Adhering to the following guidelines protects Customer’s interests when seeking resolution to any shipping issue.
•        If there is a problem with the delivered goods such as damage (visible or concealed), or a shortage/excess from the P.O., contact Supplier immediately and file a claim with the carrier.
•        Shortages- Shortages must be reported within 48 hours of delivery.
•        Visible damage – If the packaging, containers, boxes, or bundles show visible signs of damage upon delivery, Customer must note this on both copies of the freight bill before signing the receipt of goods document. If Customer chooses to accept the shipment and not send it back to Supplier, Customer will be responsible to file all claims directly with the Freight Company.
•        Concealed damage- Concealed damage must be reported to the carrier within 36 hours of delivery. Beyond this time frame, Customer will have no recourse with the carrier for a Concealed Damage freight claim.
•        Return shipping policy and procedure – Customer MUST obtain a Return Material Authorization (RMA) # prior to returning items to Supplier. Items returned without a RMA # will be refused by Supplier. Customer to contact Supplier to obtain a RMA #. Returns must be shipped with freight prepaid and insured and must arrive at Supplier within 30 days of delivery. A 15% restocking fee is assessed on all return orders.
5. WARRANTY AND LIMITATION OF LIABILITY. The warranty terms are set forth in the accompanying document titled "Ecolibrium Solar Corporation Limited Product Warranty.” In no event shall Supplier be liable to Customer or any other person for reprocurement costs, lost profits, business interruption, loss of use, or incidental, special, indirect, or consequential damages of any nature even if Supplier has been advised of the possibility thereof. These include damages related to, arising out of, or in connection with the sale, delivery, installation, use, loss of use, repair, possession, transportation, disposal or performance of the Products, including all additions to and replacements of the Products. In no event shall Supplier’s liability arising in connection with any Product(s) sold or to be sold hereunder (whether such liability arises from a claim under contract, warranty, tort, or otherwise) exceed the actual amount paid by Customer to Supplier for the product(s) involved in such claim
6. MISCELLANEOUS TERMS.  
6.1 This Agreement may not be modified, amended or altered in any manner without the mutual written consent of both Parties. This Agreement and any other documents referred to in this Agreement constitute the entire agreement between the Parties regarding the subject matter contained herein and shall supersede all previous oral or written agreement(s) between the Parties.  To the extent any other document, including a purchase order, is inconsistent with the terms of this Agreement, the terms of this Agreement shall prevail unless expressly acknowledged in the Confirmation. 
6.2 GOVERNING LAW.  This Agreement and all documents executed and delivered in connection herewith shall be construed and enforced in accordance with the laws of the State of Ohio, except with respect to conflicts of laws principles. 
6.3 ASSIGNMENT. Customer may not assign this Agreement in whole or in part, or subcontract its obligations hereunder, without the prior written consent of the Seller. All terms, agreements, covenants and rights contained herein shall inure to the benefit of, and be binding on any permitted assignee.
6.4 EXCUSABLE DELAYS. If the performance of any obligation, except payment of moneys due, is prevented, delayed, restricted, or interfered with in any way by reason of any Act of God, act of terrorism (whether actual or threatened), fire, flood, explosion, failure of machinery, strikes, lockouts, or labor trouble, supply of fuel, power, materials, containers or transportation, or any other act or condition whatsoever beyond the reasonable control of the affected party, the party so affected, upon giving prompt notice to the party to whom the performance is due, shall be excused from such performance to the extent of such interference. Each party shall use reasonable efforts to remove or resolve such interference with performance as promptly as reasonably possible.
6.5 SEVERABILITY. In the event that any portion of this Agreement should, for any reason, be held by a court of competent jurisdiction to be illegal, invalid, unenforceable, or contrary to public policy, then the remainder of this Agreement shall remain in full force and effect
Please confirm your acceptance of this quote by signing this document.
Print Name:_________________________________  Signature:___________________________________   Date:_______________
Billing Contact Name:_______________________________   Phone #:____________________   Email Address:_________________________      
Ship To Address:________________________________________  Receiving Name:_______________________ Phone #:_____________________                                                                                                                                                                  </t>
  </si>
  <si>
    <t>MCE Spectral Response Acceleration at Short Periods (SS)</t>
  </si>
  <si>
    <t>ES10132</t>
  </si>
  <si>
    <t>0_2</t>
  </si>
  <si>
    <t>Corrected system geometry inputs, Added '2-Quote Inputs' and '3-Quote' tabs from Ecocalcs 4_1 and modified them for Ecofoot3, Added 'Ballast Distribution' and '3x3 mass hand' tabs</t>
  </si>
  <si>
    <t>MAX WITHOUT WIND DEFLECTOR</t>
  </si>
  <si>
    <t>MAX WITH WIND DEFLECTOR</t>
  </si>
  <si>
    <t>Substructure's weight / module's area:</t>
  </si>
  <si>
    <t>Substructure's weight:</t>
  </si>
  <si>
    <t>Ballast design</t>
  </si>
  <si>
    <t>0_3</t>
  </si>
  <si>
    <t>Project:</t>
  </si>
  <si>
    <t>Postal code:</t>
  </si>
  <si>
    <t>Person in charge:</t>
  </si>
  <si>
    <t>Date:</t>
  </si>
  <si>
    <t>Project data</t>
  </si>
  <si>
    <t>The yellow cells have to be filled out depending on the project.</t>
  </si>
  <si>
    <t>Solar ballasted roof mount system EcoFoot 3</t>
  </si>
  <si>
    <t>The turquoise cells are calculated.</t>
  </si>
  <si>
    <t>Building dimensions</t>
  </si>
  <si>
    <t>Language:</t>
  </si>
  <si>
    <t>Site:</t>
  </si>
  <si>
    <t>Country:</t>
  </si>
  <si>
    <t>Standard:</t>
  </si>
  <si>
    <t>Building dimensions:</t>
  </si>
  <si>
    <t>Roof height:</t>
  </si>
  <si>
    <t>Parapet height:</t>
  </si>
  <si>
    <t>Offset distance from roof edges:</t>
  </si>
  <si>
    <t>Building width:</t>
  </si>
  <si>
    <t>Building length:</t>
  </si>
  <si>
    <t>Roof area:</t>
  </si>
  <si>
    <t>Roof pitch angle:</t>
  </si>
  <si>
    <t>m above ground (In case of more than one height, the highest must be chosen!)</t>
  </si>
  <si>
    <t>m (The minimum array offset distance is 1.2m.)</t>
  </si>
  <si>
    <t>° (valid only up to 7° roof angle)</t>
  </si>
  <si>
    <t>Available wind loading standards:</t>
  </si>
  <si>
    <t>Country</t>
  </si>
  <si>
    <t>Wind loading code</t>
  </si>
  <si>
    <t>Roof zoning:</t>
  </si>
  <si>
    <t>Array offset distance from roof edges;                                 Do not place PV modules in this zone!</t>
  </si>
  <si>
    <t>Roof position 1</t>
  </si>
  <si>
    <t>Roof position 2</t>
  </si>
  <si>
    <t>Roof position 3</t>
  </si>
  <si>
    <t>Roof position 4</t>
  </si>
  <si>
    <t>Roof position 5</t>
  </si>
  <si>
    <t>Length</t>
  </si>
  <si>
    <t>array offset distance</t>
  </si>
  <si>
    <t>For east winds with wind directions from 0° to 180°.</t>
  </si>
  <si>
    <t>from roof edges</t>
  </si>
  <si>
    <t>Width</t>
  </si>
  <si>
    <t>For west winds with wind directions from 180° to 360°.</t>
  </si>
  <si>
    <t>ASCE 7-05</t>
  </si>
  <si>
    <t>Design Base:</t>
  </si>
  <si>
    <t>Project data:</t>
  </si>
  <si>
    <t>Last update:</t>
  </si>
  <si>
    <t>Load factors for wind and dead load:</t>
  </si>
  <si>
    <t>Load factor for
uplift [-]:</t>
  </si>
  <si>
    <t>Load factor for
sliding [-]:</t>
  </si>
  <si>
    <t>Load factor for
dead load I [-]:</t>
  </si>
  <si>
    <t>Load factor for
dead load II [-]:</t>
  </si>
  <si>
    <t>according to ASCE7-05</t>
  </si>
  <si>
    <t>Determination of wind zone, Exposure category and of additional values according to</t>
  </si>
  <si>
    <t>ASCE/SEI 7-05: Section 6 and ASCE/SEI 7-05: Annex C6</t>
  </si>
  <si>
    <t>Importance factor</t>
  </si>
  <si>
    <t>Building and structure classification categories according to ASCE/SEI 7-05, table 1-1</t>
  </si>
  <si>
    <t>Non Hurricane Prone Regions and Hurricane Prone Regions with v = 85 - 100 mph and Alaska</t>
  </si>
  <si>
    <t>Hurricane Prone Regions with v &gt; 100 mph</t>
  </si>
  <si>
    <t>Exposure category</t>
  </si>
  <si>
    <t>Designation:</t>
  </si>
  <si>
    <t>Urban/ suburban areas, wooded areas, or other terrain with numerous closely spaced obstructions having the size of single-family dwellings or larger.</t>
  </si>
  <si>
    <t>Open terrain with scattered obstructions having heights generally less than 30ft (9.1 m). This category includes flat open country and grasslands.</t>
  </si>
  <si>
    <t>Flat, unobstructed areas and water surfaces. This category includes smooth mud flats, salt flats, and unbroken ice.</t>
  </si>
  <si>
    <t>Definition of exposure categories according to section 6.5.6.3</t>
  </si>
  <si>
    <t>For low rise buildings in the US, the maximum height is 18.3 m (60 ft).</t>
  </si>
  <si>
    <t>According to figures 6-1, 6-1A, B and C</t>
  </si>
  <si>
    <t>According to ASCE/SEI 7-10, table 6-3, Case 1 shall be applied for a) all components and cladding; b) main wind force resisting system in low-rise buildings.  Case 2 shall be applied for a) all main wind force resisting systems in buildings except those in low-rise buildings; b) all main wind force resisting systems in other structures.</t>
  </si>
  <si>
    <t xml:space="preserve">The importance factor accounts for the degree of hazard to human life and damage to property and depends on the nature of occupancy of buildings and other structures, see section 6.5.5. </t>
  </si>
  <si>
    <t xml:space="preserve">This factor shall only be applied when used in conjunction with load combinations specified in sections 2.3 and 2.4. </t>
  </si>
  <si>
    <t>The topographic factor as defined in section 6.5.7 shall be applied when buildings and other site conditions and locations of structures constitute abrupt changes in the general topography (wind speed-up effects at isolated hills, ridges, escarpments).</t>
  </si>
  <si>
    <t>m ASL</t>
  </si>
  <si>
    <t>Exposure category:</t>
  </si>
  <si>
    <t>Local elevation above sea level:</t>
  </si>
  <si>
    <t>Roof + parapet height:</t>
  </si>
  <si>
    <t>Basic wind speed:</t>
  </si>
  <si>
    <t>Type of structure:</t>
  </si>
  <si>
    <t>Importance factor:</t>
  </si>
  <si>
    <t>Wind directionality factor:</t>
  </si>
  <si>
    <t>Topographic factor:</t>
  </si>
  <si>
    <t>Peak velocity pressure</t>
  </si>
  <si>
    <t>corresponds to</t>
  </si>
  <si>
    <t>respectively</t>
  </si>
  <si>
    <t>According to figures 26.5-1A, B and C for the risk categories I, II, III including an importance and a load factor of 1.6</t>
  </si>
  <si>
    <t>The exposure coefficient kz in Exposure B varies with the type of structure.</t>
  </si>
  <si>
    <t>The topographic factor as defined in section 26.8 shall be applied when buildings and other site conditions and locations of structures constitute abrupt changes in the general topography (wind speed-up effects at isolated hills, ridges, escarpments).</t>
  </si>
  <si>
    <t>Definition of exposure categories according to section 26.7</t>
  </si>
  <si>
    <t>according to ASCE7-10</t>
  </si>
  <si>
    <t>ASCE 7-10</t>
  </si>
  <si>
    <t>Determination of wind zone, exposure category and of additional values according to</t>
  </si>
  <si>
    <t>ASCE/SEI 7-10: Section 26 and 27 and ASCE/SEI 7-10: Annex C26 and C27</t>
  </si>
  <si>
    <t>with 10deg tilt angle</t>
  </si>
  <si>
    <t>Required parameters of the photovoltaic roofing system</t>
  </si>
  <si>
    <t>Characteristics of the PV system</t>
  </si>
  <si>
    <t>Module's weight / module's area:</t>
  </si>
  <si>
    <t>Dead weight / module's area:</t>
  </si>
  <si>
    <t>Module angled at:</t>
  </si>
  <si>
    <t>Module's width:</t>
  </si>
  <si>
    <t>Module's length:</t>
  </si>
  <si>
    <t>Module's area:</t>
  </si>
  <si>
    <t>° to the roof surface</t>
  </si>
  <si>
    <t>Deflector angled at:</t>
  </si>
  <si>
    <t>Deflector's width:</t>
  </si>
  <si>
    <t>Deflector's length:</t>
  </si>
  <si>
    <t>Deflector's area:</t>
  </si>
  <si>
    <t>Wind profile at the site</t>
  </si>
  <si>
    <t>Peak velocity pressure:</t>
  </si>
  <si>
    <t>Roof properties</t>
  </si>
  <si>
    <t>Coefficient of static friction</t>
  </si>
  <si>
    <t>Roof slope:</t>
  </si>
  <si>
    <t>On inclined roofs the downhill-slope force of the PV-system has to be compensated for by additional ballast. On duopitch roofs the downhill-slope force can be compensated for on both roof sides if the roof slope is lower than 5° and if the installed system is statically connected over the high or low point of the roof. Furthermore, the system has to be sufficiently rigid in such a way that no local displacement of the system due to the downhill-slope force can occur and that all system properties (overall weight, static friction coefficient ≥0,5, array size, distribution within an array, module area, etc.) are identical on both inclined roof sides. Is the downhill-slope force negligible due to the above mentioned reasons?</t>
  </si>
  <si>
    <t>Loaded area of the PV array</t>
  </si>
  <si>
    <t>With the loaded area the structural interconnection of the system is taken into account.</t>
  </si>
  <si>
    <t>Load case 'Uplift'</t>
  </si>
  <si>
    <t>Load case 'Sliding'</t>
  </si>
  <si>
    <t>Number of modules which share loads:</t>
  </si>
  <si>
    <t>Applied number of modules which share loads:</t>
  </si>
  <si>
    <t>according to
ASCE/SEI 7-10</t>
  </si>
  <si>
    <t>Ballast design for wind loads</t>
  </si>
  <si>
    <t>Design ballast in kg/module</t>
  </si>
  <si>
    <t>Landscape without wind deflector</t>
  </si>
  <si>
    <t>Landscape with wind deflector</t>
  </si>
  <si>
    <t>Array zone</t>
  </si>
  <si>
    <t>Roof zone</t>
  </si>
  <si>
    <t>Design ballast for uplift</t>
  </si>
  <si>
    <t>Design ballast for sliding</t>
  </si>
  <si>
    <t>Authoritative for the required ballast is if a module or its substructure are situated partly in the aforementioned roof zones or array zones.</t>
  </si>
  <si>
    <t>Uplift</t>
  </si>
  <si>
    <t>Sliding</t>
  </si>
  <si>
    <t>Pitch angle correction</t>
  </si>
  <si>
    <t>Load case</t>
  </si>
  <si>
    <t>Roof pitch angle</t>
  </si>
  <si>
    <t>Correction coefficient</t>
  </si>
  <si>
    <t>Peak velocity pressure [kN/m²]</t>
  </si>
  <si>
    <t>Load factor for            uplift [-]</t>
  </si>
  <si>
    <t>Load factor for                     sliding [-]</t>
  </si>
  <si>
    <t>Load factor for dead load I [-]</t>
  </si>
  <si>
    <t>Load factor for dead load II [-]</t>
  </si>
  <si>
    <t>setback a</t>
  </si>
  <si>
    <t>West edge</t>
  </si>
  <si>
    <t>North edge</t>
  </si>
  <si>
    <t>East edge</t>
  </si>
  <si>
    <t>South edge</t>
  </si>
  <si>
    <t>only if array interrupted</t>
  </si>
  <si>
    <t>Definition:</t>
  </si>
  <si>
    <t>Wind direction north corresponds to wind blowing on the north façade of the flat-roofed building.</t>
  </si>
  <si>
    <t>Inner row</t>
  </si>
  <si>
    <t>South row (only if array interrupted)
Interior modules</t>
  </si>
  <si>
    <t>South row (only if array interrupted)
1st-4th module</t>
  </si>
  <si>
    <t>North row (only if array interrupted)
Interior modules</t>
  </si>
  <si>
    <t>North row (only if array interrupted)
1st-4th module</t>
  </si>
  <si>
    <t>Pressure coefficients</t>
  </si>
  <si>
    <t>Interpolated pressure coefficients</t>
  </si>
  <si>
    <t>North row</t>
  </si>
  <si>
    <t>1st-4th module</t>
  </si>
  <si>
    <t>Interior modules</t>
  </si>
  <si>
    <t>Inner rows, 2nd to 6th row from north</t>
  </si>
  <si>
    <t>Inner rows, from 7th row from north</t>
  </si>
  <si>
    <t>South row</t>
  </si>
  <si>
    <t>Final choice of pressure coefficients</t>
  </si>
  <si>
    <t>Normalised loaded area An</t>
  </si>
  <si>
    <t>Pressure coefficients module cpM</t>
  </si>
  <si>
    <t>Mass m</t>
  </si>
  <si>
    <t>Parapet correction kp</t>
  </si>
  <si>
    <t>Parapet factor</t>
  </si>
  <si>
    <t>Parapet factors</t>
  </si>
  <si>
    <t>References</t>
  </si>
  <si>
    <t>Pressure coefficients deflector cpD</t>
  </si>
  <si>
    <t>with 5deg tilt angle</t>
  </si>
  <si>
    <t>1st-10th module</t>
  </si>
  <si>
    <t>Inner rows, 2nd to 4th row from north</t>
  </si>
  <si>
    <t>Inner rows, from 5th row from north</t>
  </si>
  <si>
    <t>Portrait with wind deflector</t>
  </si>
  <si>
    <t>South row (only if array interrupted)
1st-10th module</t>
  </si>
  <si>
    <t>North row (only if array interrupted)
1st-10th module</t>
  </si>
  <si>
    <t>9-Module
Load-Sharing Area</t>
  </si>
  <si>
    <t>12-Module
Load-Sharing Area</t>
  </si>
  <si>
    <t>15-Module
Load-Sharing Area</t>
  </si>
  <si>
    <t>16-Module
Load-Sharing Area</t>
  </si>
  <si>
    <t>25-Module
Load-Sharing Area</t>
  </si>
  <si>
    <t>20-Module
Load-Sharing Area</t>
  </si>
  <si>
    <t>9-Module Load-Sharing Area</t>
  </si>
  <si>
    <t>12-Module Load-Sharing Area</t>
  </si>
  <si>
    <t>15-Module Load-Sharing Area</t>
  </si>
  <si>
    <t>16-Module Load-Sharing Area</t>
  </si>
  <si>
    <t>20-Module Load-Sharing Area</t>
  </si>
  <si>
    <t>25-Module Load-Sharing Area</t>
  </si>
  <si>
    <t>Added calculation for substructure weight, Corrected English to Metric conversion factor in Module’s width and Module’s length cells in 'wind load calc_10d' and 'wind load calc_5d', Improved '3-Quote' asthetics, Removed 'Sample Layout' tab and German language option, Added 'Land Matrix' tab, modified 'wind load calc_10d' to simultaniously give values for 9,12,15,16,20,25, and n module uplift load-sharing both with &amp; without deflectors.</t>
  </si>
  <si>
    <t>0_4</t>
  </si>
  <si>
    <t>Corrected Importance Factor bug</t>
  </si>
  <si>
    <t>ECOFOOT3 10° BASE ASSEMBLY</t>
  </si>
  <si>
    <t>ECOFOOT3 10° BASE SUPPORT</t>
  </si>
  <si>
    <t>ECOFOOT3 BASE TUBE ASSEMBLY</t>
  </si>
  <si>
    <t>ECOFOOT3 BALLAST PAN</t>
  </si>
  <si>
    <t>ECOFOOT3 PANEL CLAMP ASSEMBLY</t>
  </si>
  <si>
    <t>ECOFOOT3 BASE CLAMP ASSEMBLY</t>
  </si>
  <si>
    <t>ECOFOOT3 CABLE TRAY SUPPORT KIT</t>
  </si>
  <si>
    <t>WIRE MANAGEMENT CLIP 90 degrees</t>
  </si>
  <si>
    <t>ECOFOOT3 WIRE HANGER</t>
  </si>
  <si>
    <t>ES11236</t>
  </si>
  <si>
    <t>ES11054</t>
  </si>
  <si>
    <t>ES11300</t>
  </si>
  <si>
    <t>ES11232</t>
  </si>
  <si>
    <t>ES11080</t>
  </si>
  <si>
    <t>ES11045</t>
  </si>
  <si>
    <t>ES11089</t>
  </si>
  <si>
    <t>ES11092</t>
  </si>
  <si>
    <t>ES11093</t>
  </si>
  <si>
    <t>Ship Assembled Bases</t>
  </si>
  <si>
    <t>0_5</t>
  </si>
  <si>
    <t>Corrected '2-Quote Inputs' available SKUs</t>
  </si>
  <si>
    <t>User Input</t>
  </si>
  <si>
    <t>(Converted to lbs)</t>
  </si>
  <si>
    <t>Load Sharing Areas</t>
  </si>
  <si>
    <t>FOR USE IN SOFTWARE:</t>
  </si>
  <si>
    <t>|</t>
  </si>
  <si>
    <t>V</t>
  </si>
  <si>
    <t>Data for use in software:</t>
  </si>
  <si>
    <t>COLUMN TO BE HIDDEN:</t>
  </si>
  <si>
    <t>0_5_1</t>
  </si>
  <si>
    <t>Added 0/1 binary flag for landscape/portrait and with/without deflectors (at request of software developer) Also, added a column in the 10d and 5d tabs to read "User Input Load Sharing Areas", and converted the output into lbs for easier manipulation in the software.</t>
  </si>
  <si>
    <t>0_5_2</t>
  </si>
  <si>
    <t>changed Binary flags, moved around landscape data for easier software interaction.</t>
  </si>
  <si>
    <t>0_5_2 REDUX</t>
  </si>
  <si>
    <t>deleted tabs that are unnecessary to ballast calculation</t>
  </si>
  <si>
    <t>Ted Bleecker</t>
  </si>
  <si>
    <t>Gexpro Atlanta</t>
  </si>
  <si>
    <t>Hannah Solar</t>
  </si>
  <si>
    <t>807 E Main</t>
  </si>
  <si>
    <t>807 E Main St</t>
  </si>
  <si>
    <t>SolarWorld</t>
  </si>
  <si>
    <t>SW345XL</t>
  </si>
  <si>
    <t>9</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</si>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</sst>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6" formatCode="&quot;$&quot;#,##0_);[Red]\(&quot;$&quot;#,##0\)"/>
    <numFmt numFmtId="44" formatCode="_(&quot;$&quot;* #,##0.00_);_(&quot;$&quot;* \(#,##0.00\);_(&quot;$&quot;* &quot;-&quot;??_);_(@_)"/>
    <numFmt numFmtId="43" formatCode="_(* #,##0.00_);_(* \(#,##0.00\);_(* &quot;-&quot;??_);_(@_)"/>
    <numFmt numFmtId="164" formatCode="0.0"/>
    <numFmt numFmtId="165" formatCode="0.000"/>
    <numFmt numFmtId="166" formatCode="_([$€]* #,##0.00_);_([$€]* \(#,##0.00\);_([$€]* &quot;-&quot;??_);_(@_)"/>
    <numFmt numFmtId="167" formatCode="dd/mm/yy;@"/>
    <numFmt numFmtId="168" formatCode="0.00000"/>
    <numFmt numFmtId="169" formatCode="m/d/yyyy\ h:mm:ss;@"/>
    <numFmt numFmtId="170" formatCode="00000"/>
    <numFmt numFmtId="171" formatCode="&quot;$&quot;#,##0.00"/>
    <numFmt numFmtId="172" formatCode="&quot;$&quot;#,##0.00\ ;&quot;$&quot;\(#,##0.00\)"/>
    <numFmt numFmtId="173" formatCode="&quot;$&quot;#,##0"/>
    <numFmt numFmtId="174" formatCode="#,##0.000"/>
    <numFmt numFmtId="175" formatCode="&quot;$&quot;#,##0.0000"/>
    <numFmt numFmtId="176" formatCode="&quot;$&quot;#,##0.00;&quot;$&quot;\(#,##0.00\)"/>
    <numFmt numFmtId="177" formatCode="&quot;$&quot;#,##0.000_);[Red]\(&quot;$&quot;#,##0.000\)"/>
    <numFmt numFmtId="178" formatCode="0.0%"/>
    <numFmt numFmtId="179" formatCode="mmmm\ d\,\ yyyy;@"/>
    <numFmt numFmtId="180" formatCode="m/d/yy;@"/>
    <numFmt numFmtId="181" formatCode="#,##0;\(#,##0\)"/>
  </numFmts>
  <fonts count="78" x14ac:knownFonts="1">
    <font>
      <sz val="11"/>
      <color theme="1"/>
      <name val="Calibri"/>
      <family val="2"/>
      <scheme val="minor"/>
    </font>
    <font>
      <sz val="11"/>
      <color theme="1"/>
      <name val="Calibri"/>
      <family val="2"/>
      <scheme val="minor"/>
    </font>
    <font>
      <sz val="10"/>
      <name val="Arial"/>
      <family val="2"/>
    </font>
    <font>
      <sz val="14"/>
      <name val="Arial"/>
      <family val="2"/>
    </font>
    <font>
      <i/>
      <sz val="10"/>
      <name val="Arial"/>
      <family val="2"/>
    </font>
    <font>
      <b/>
      <sz val="12"/>
      <name val="Arial"/>
      <family val="2"/>
    </font>
    <font>
      <b/>
      <sz val="10"/>
      <name val="Arial"/>
      <family val="2"/>
    </font>
    <font>
      <sz val="10"/>
      <name val="Arial"/>
      <family val="2"/>
    </font>
    <font>
      <sz val="8"/>
      <name val="Arial"/>
      <family val="2"/>
    </font>
    <font>
      <sz val="9"/>
      <name val="Arial"/>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2"/>
      <name val="Arial"/>
      <family val="2"/>
    </font>
    <font>
      <b/>
      <sz val="10"/>
      <color rgb="FF0070C0"/>
      <name val="Arial"/>
      <family val="2"/>
    </font>
    <font>
      <b/>
      <u/>
      <sz val="10"/>
      <name val="Arial"/>
      <family val="2"/>
    </font>
    <font>
      <b/>
      <sz val="16"/>
      <name val="Arial"/>
      <family val="2"/>
    </font>
    <font>
      <b/>
      <sz val="14"/>
      <name val="Arial"/>
      <family val="2"/>
    </font>
    <font>
      <vertAlign val="subscript"/>
      <sz val="10"/>
      <name val="Arial"/>
      <family val="2"/>
    </font>
    <font>
      <i/>
      <sz val="10"/>
      <color rgb="FF7030A0"/>
      <name val="Arial"/>
      <family val="2"/>
    </font>
    <font>
      <sz val="10"/>
      <color theme="1"/>
      <name val="Arial"/>
      <family val="2"/>
    </font>
    <font>
      <b/>
      <sz val="10"/>
      <color rgb="FFFF0000"/>
      <name val="Arial"/>
      <family val="2"/>
    </font>
    <font>
      <b/>
      <i/>
      <sz val="10"/>
      <color indexed="10"/>
      <name val="Arial"/>
      <family val="2"/>
    </font>
    <font>
      <b/>
      <vertAlign val="subscript"/>
      <sz val="10"/>
      <name val="Arial"/>
      <family val="2"/>
    </font>
    <font>
      <b/>
      <sz val="10"/>
      <name val="Symbol"/>
      <family val="1"/>
      <charset val="2"/>
    </font>
    <font>
      <sz val="11"/>
      <name val="Arial"/>
      <family val="2"/>
    </font>
    <font>
      <sz val="10"/>
      <color rgb="FFFF0000"/>
      <name val="Arial"/>
      <family val="2"/>
    </font>
    <font>
      <b/>
      <vertAlign val="subscript"/>
      <sz val="12"/>
      <name val="Arial"/>
      <family val="2"/>
    </font>
    <font>
      <b/>
      <sz val="11"/>
      <name val="Arial"/>
      <family val="2"/>
    </font>
    <font>
      <sz val="8"/>
      <color theme="1"/>
      <name val="Arial"/>
      <family val="2"/>
    </font>
    <font>
      <sz val="10"/>
      <name val="Symbol"/>
      <family val="1"/>
      <charset val="2"/>
    </font>
    <font>
      <sz val="11"/>
      <name val="Calibri"/>
      <family val="2"/>
      <scheme val="minor"/>
    </font>
    <font>
      <sz val="12"/>
      <color theme="1"/>
      <name val="Calibri"/>
      <family val="2"/>
      <scheme val="minor"/>
    </font>
    <font>
      <sz val="14"/>
      <name val="Calibri"/>
      <family val="2"/>
      <scheme val="minor"/>
    </font>
    <font>
      <sz val="8"/>
      <name val="Calibri"/>
      <family val="2"/>
      <scheme val="minor"/>
    </font>
    <font>
      <sz val="18"/>
      <name val="Arial"/>
      <family val="2"/>
    </font>
    <font>
      <sz val="12"/>
      <name val="Calibri"/>
      <family val="2"/>
      <scheme val="minor"/>
    </font>
    <font>
      <sz val="10"/>
      <name val="Calibri"/>
      <family val="2"/>
      <scheme val="minor"/>
    </font>
    <font>
      <b/>
      <sz val="8"/>
      <name val="Arial"/>
      <family val="2"/>
    </font>
    <font>
      <b/>
      <sz val="9"/>
      <name val="Arial Black"/>
      <family val="2"/>
    </font>
    <font>
      <b/>
      <sz val="14"/>
      <name val="Calibri"/>
      <family val="2"/>
      <scheme val="minor"/>
    </font>
    <font>
      <vertAlign val="subscript"/>
      <sz val="14"/>
      <name val="Calibri"/>
      <family val="2"/>
      <scheme val="minor"/>
    </font>
    <font>
      <u/>
      <sz val="11"/>
      <color theme="10"/>
      <name val="Calibri"/>
      <family val="2"/>
      <scheme val="minor"/>
    </font>
    <font>
      <u/>
      <sz val="8"/>
      <color theme="10"/>
      <name val="Arial"/>
      <family val="2"/>
    </font>
    <font>
      <sz val="8"/>
      <color theme="10"/>
      <name val="Arial"/>
      <family val="2"/>
    </font>
    <font>
      <sz val="10"/>
      <color rgb="FF0070C0"/>
      <name val="Arial"/>
      <family val="2"/>
    </font>
    <font>
      <sz val="10"/>
      <color rgb="FF000000"/>
      <name val="Arial"/>
      <family val="2"/>
    </font>
    <font>
      <b/>
      <i/>
      <sz val="10"/>
      <name val="Arial"/>
      <family val="2"/>
    </font>
    <font>
      <b/>
      <sz val="20"/>
      <color theme="0"/>
      <name val="Arial"/>
      <family val="2"/>
    </font>
    <font>
      <b/>
      <sz val="14"/>
      <color theme="0"/>
      <name val="Arial"/>
      <family val="2"/>
    </font>
    <font>
      <b/>
      <sz val="12"/>
      <color theme="0"/>
      <name val="Arial"/>
      <family val="2"/>
    </font>
    <font>
      <sz val="7"/>
      <color rgb="FF000000"/>
      <name val="Arial"/>
      <family val="2"/>
    </font>
    <font>
      <i/>
      <sz val="9"/>
      <color rgb="FF000000"/>
      <name val="Arial"/>
      <family val="2"/>
    </font>
    <font>
      <sz val="38"/>
      <color rgb="FF3C3B38"/>
      <name val="Arial"/>
      <family val="2"/>
    </font>
    <font>
      <b/>
      <sz val="11"/>
      <color rgb="FF000000"/>
      <name val="Arial"/>
      <family val="2"/>
    </font>
    <font>
      <sz val="8"/>
      <color rgb="FF000000"/>
      <name val="Arial"/>
      <family val="2"/>
    </font>
    <font>
      <sz val="10"/>
      <color rgb="FFF79646"/>
      <name val="Arial"/>
      <family val="2"/>
    </font>
    <font>
      <b/>
      <sz val="8"/>
      <color rgb="FF000000"/>
      <name val="Arial"/>
      <family val="2"/>
    </font>
    <font>
      <b/>
      <sz val="10"/>
      <color rgb="FF000000"/>
      <name val="Arial"/>
      <family val="2"/>
    </font>
    <font>
      <b/>
      <sz val="14"/>
      <color rgb="FFFFFFFF"/>
      <name val="Arial"/>
      <family val="2"/>
    </font>
    <font>
      <b/>
      <sz val="12"/>
      <color rgb="FF000000"/>
      <name val="Arial"/>
      <family val="2"/>
    </font>
    <font>
      <i/>
      <sz val="10"/>
      <color rgb="FF000000"/>
      <name val="Arial"/>
      <family val="2"/>
    </font>
    <font>
      <i/>
      <sz val="10"/>
      <color theme="1" tint="0.34998626667073579"/>
      <name val="Arial"/>
      <family val="2"/>
    </font>
    <font>
      <b/>
      <i/>
      <sz val="10"/>
      <color theme="1" tint="0.34998626667073579"/>
      <name val="Arial"/>
      <family val="2"/>
    </font>
  </fonts>
  <fills count="50">
    <fill>
      <patternFill patternType="none"/>
    </fill>
    <fill>
      <patternFill patternType="gray125"/>
    </fill>
    <fill>
      <patternFill patternType="solid">
        <fgColor theme="0"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3"/>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28"/>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FFFF99"/>
        <bgColor indexed="64"/>
      </patternFill>
    </fill>
    <fill>
      <patternFill patternType="solid">
        <fgColor rgb="FFFFCC00"/>
        <bgColor indexed="64"/>
      </patternFill>
    </fill>
    <fill>
      <patternFill patternType="solid">
        <fgColor rgb="FFFFC000"/>
        <bgColor indexed="64"/>
      </patternFill>
    </fill>
    <fill>
      <patternFill patternType="solid">
        <fgColor rgb="FF9933FF"/>
        <bgColor indexed="64"/>
      </patternFill>
    </fill>
    <fill>
      <patternFill patternType="solid">
        <fgColor rgb="FFCC99FF"/>
        <bgColor indexed="64"/>
      </patternFill>
    </fill>
    <fill>
      <patternFill patternType="solid">
        <fgColor rgb="FF64B656"/>
        <bgColor indexed="64"/>
      </patternFill>
    </fill>
    <fill>
      <patternFill patternType="solid">
        <fgColor theme="0"/>
        <bgColor indexed="64"/>
      </patternFill>
    </fill>
    <fill>
      <patternFill patternType="solid">
        <fgColor rgb="FF1C9A06"/>
        <bgColor indexed="64"/>
      </patternFill>
    </fill>
    <fill>
      <patternFill patternType="solid">
        <fgColor rgb="FFEE6901"/>
        <bgColor indexed="64"/>
      </patternFill>
    </fill>
    <fill>
      <patternFill patternType="solid">
        <fgColor rgb="FFFE9D54"/>
        <bgColor indexed="64"/>
      </patternFill>
    </fill>
    <fill>
      <patternFill patternType="solid">
        <fgColor rgb="FFFEBC8A"/>
        <bgColor indexed="64"/>
      </patternFill>
    </fill>
    <fill>
      <patternFill patternType="solid">
        <fgColor rgb="FF87C67C"/>
        <bgColor indexed="64"/>
      </patternFill>
    </fill>
    <fill>
      <patternFill patternType="solid">
        <fgColor rgb="FF55A648"/>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
      <patternFill patternType="solid">
        <fgColor rgb="FFD9D9D9"/>
        <bgColor rgb="FF000000"/>
      </patternFill>
    </fill>
    <fill>
      <patternFill patternType="solid">
        <fgColor rgb="FF808080"/>
        <bgColor rgb="FF000000"/>
      </patternFill>
    </fill>
  </fills>
  <borders count="17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ck">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right/>
      <top style="thick">
        <color indexed="64"/>
      </top>
      <bottom/>
      <diagonal/>
    </border>
    <border>
      <left style="thick">
        <color auto="1"/>
      </left>
      <right/>
      <top style="thick">
        <color auto="1"/>
      </top>
      <bottom/>
      <diagonal/>
    </border>
    <border>
      <left style="medium">
        <color indexed="64"/>
      </left>
      <right/>
      <top style="thick">
        <color auto="1"/>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style="thick">
        <color indexed="64"/>
      </bottom>
      <diagonal/>
    </border>
    <border>
      <left/>
      <right/>
      <top/>
      <bottom style="medium">
        <color auto="1"/>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ck">
        <color auto="1"/>
      </right>
      <top/>
      <bottom style="medium">
        <color indexed="64"/>
      </bottom>
      <diagonal/>
    </border>
    <border>
      <left style="thin">
        <color indexed="64"/>
      </left>
      <right style="medium">
        <color indexed="64"/>
      </right>
      <top style="thin">
        <color indexed="64"/>
      </top>
      <bottom style="thick">
        <color auto="1"/>
      </bottom>
      <diagonal/>
    </border>
    <border>
      <left style="medium">
        <color indexed="64"/>
      </left>
      <right style="thin">
        <color indexed="64"/>
      </right>
      <top style="thin">
        <color indexed="64"/>
      </top>
      <bottom style="thick">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style="medium">
        <color auto="1"/>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ck">
        <color auto="1"/>
      </right>
      <top/>
      <bottom style="thin">
        <color indexed="64"/>
      </bottom>
      <diagonal/>
    </border>
    <border>
      <left/>
      <right style="thin">
        <color indexed="64"/>
      </right>
      <top style="thin">
        <color indexed="64"/>
      </top>
      <bottom/>
      <diagonal/>
    </border>
    <border>
      <left/>
      <right/>
      <top style="thin">
        <color indexed="64"/>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thin">
        <color indexed="64"/>
      </right>
      <top style="thick">
        <color indexed="64"/>
      </top>
      <bottom/>
      <diagonal/>
    </border>
    <border>
      <left style="thick">
        <color indexed="64"/>
      </left>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bottom style="thick">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indexed="64"/>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ck">
        <color indexed="64"/>
      </bottom>
      <diagonal/>
    </border>
    <border>
      <left style="thin">
        <color auto="1"/>
      </left>
      <right style="thin">
        <color auto="1"/>
      </right>
      <top style="thin">
        <color auto="1"/>
      </top>
      <bottom style="thick">
        <color indexed="64"/>
      </bottom>
      <diagonal/>
    </border>
    <border>
      <left style="thin">
        <color indexed="64"/>
      </left>
      <right/>
      <top style="thick">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diagonal/>
    </border>
    <border>
      <left style="thick">
        <color auto="1"/>
      </left>
      <right/>
      <top/>
      <bottom style="thick">
        <color auto="1"/>
      </bottom>
      <diagonal/>
    </border>
    <border>
      <left/>
      <right/>
      <top/>
      <bottom style="thick">
        <color auto="1"/>
      </bottom>
      <diagonal/>
    </border>
    <border>
      <left/>
      <right style="thin">
        <color indexed="64"/>
      </right>
      <top/>
      <bottom style="thick">
        <color auto="1"/>
      </bottom>
      <diagonal/>
    </border>
    <border>
      <left style="thin">
        <color indexed="64"/>
      </left>
      <right/>
      <top/>
      <bottom style="thick">
        <color auto="1"/>
      </bottom>
      <diagonal/>
    </border>
    <border>
      <left/>
      <right style="thick">
        <color indexed="64"/>
      </right>
      <top/>
      <bottom style="thick">
        <color auto="1"/>
      </bottom>
      <diagonal/>
    </border>
    <border>
      <left/>
      <right style="thick">
        <color auto="1"/>
      </right>
      <top style="thin">
        <color indexed="64"/>
      </top>
      <bottom style="medium">
        <color indexed="64"/>
      </bottom>
      <diagonal/>
    </border>
    <border>
      <left/>
      <right style="thick">
        <color auto="1"/>
      </right>
      <top style="thin">
        <color indexed="64"/>
      </top>
      <bottom style="thick">
        <color indexed="64"/>
      </bottom>
      <diagonal/>
    </border>
    <border>
      <left/>
      <right style="medium">
        <color indexed="64"/>
      </right>
      <top style="thick">
        <color indexed="64"/>
      </top>
      <bottom style="medium">
        <color indexed="64"/>
      </bottom>
      <diagonal/>
    </border>
    <border>
      <left style="medium">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style="thick">
        <color indexed="64"/>
      </top>
      <bottom/>
      <diagonal/>
    </border>
    <border>
      <left/>
      <right style="medium">
        <color auto="1"/>
      </right>
      <top style="thick">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medium">
        <color auto="1"/>
      </left>
      <right style="medium">
        <color indexed="64"/>
      </right>
      <top style="thick">
        <color indexed="64"/>
      </top>
      <bottom/>
      <diagonal/>
    </border>
    <border>
      <left style="medium">
        <color auto="1"/>
      </left>
      <right style="medium">
        <color indexed="64"/>
      </right>
      <top/>
      <bottom style="thick">
        <color indexed="64"/>
      </bottom>
      <diagonal/>
    </border>
    <border>
      <left style="medium">
        <color indexed="64"/>
      </left>
      <right style="thick">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thick">
        <color indexed="64"/>
      </right>
      <top style="thin">
        <color indexed="64"/>
      </top>
      <bottom style="thick">
        <color indexed="64"/>
      </bottom>
      <diagonal/>
    </border>
    <border>
      <left style="medium">
        <color indexed="64"/>
      </left>
      <right style="thick">
        <color indexed="64"/>
      </right>
      <top style="thin">
        <color indexed="64"/>
      </top>
      <bottom/>
      <diagonal/>
    </border>
    <border>
      <left/>
      <right style="medium">
        <color auto="1"/>
      </right>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medium">
        <color auto="1"/>
      </left>
      <right style="thick">
        <color auto="1"/>
      </right>
      <top/>
      <bottom style="thick">
        <color indexed="64"/>
      </bottom>
      <diagonal/>
    </border>
    <border>
      <left style="medium">
        <color auto="1"/>
      </left>
      <right style="thick">
        <color auto="1"/>
      </right>
      <top style="thick">
        <color indexed="64"/>
      </top>
      <bottom/>
      <diagonal/>
    </border>
    <border>
      <left style="thick">
        <color indexed="64"/>
      </left>
      <right style="thin">
        <color indexed="64"/>
      </right>
      <top style="medium">
        <color indexed="64"/>
      </top>
      <bottom/>
      <diagonal/>
    </border>
    <border>
      <left style="thick">
        <color indexed="64"/>
      </left>
      <right style="thin">
        <color indexed="64"/>
      </right>
      <top/>
      <bottom style="medium">
        <color indexed="64"/>
      </bottom>
      <diagonal/>
    </border>
    <border>
      <left style="thick">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thin">
        <color indexed="64"/>
      </top>
      <bottom/>
      <diagonal/>
    </border>
    <border>
      <left/>
      <right/>
      <top/>
      <bottom style="thick">
        <color auto="1"/>
      </bottom>
      <diagonal/>
    </border>
    <border>
      <left/>
      <right style="thin">
        <color indexed="64"/>
      </right>
      <top/>
      <bottom style="thick">
        <color auto="1"/>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auto="1"/>
      </right>
      <top style="thin">
        <color auto="1"/>
      </top>
      <bottom style="thick">
        <color indexed="64"/>
      </bottom>
      <diagonal/>
    </border>
  </borders>
  <cellStyleXfs count="88">
    <xf numFmtId="0" fontId="0" fillId="0" borderId="0"/>
    <xf numFmtId="0" fontId="2"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12" fillId="7"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4" fillId="6" borderId="34" applyNumberFormat="0" applyAlignment="0" applyProtection="0"/>
    <xf numFmtId="0" fontId="15" fillId="19" borderId="35"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16" fillId="0" borderId="0" applyNumberFormat="0" applyFill="0" applyBorder="0" applyAlignment="0" applyProtection="0"/>
    <xf numFmtId="0" fontId="17" fillId="20" borderId="0" applyNumberFormat="0" applyBorder="0" applyAlignment="0" applyProtection="0"/>
    <xf numFmtId="0" fontId="18" fillId="0" borderId="36" applyNumberFormat="0" applyFill="0" applyAlignment="0" applyProtection="0"/>
    <xf numFmtId="0" fontId="19" fillId="0" borderId="37" applyNumberFormat="0" applyFill="0" applyAlignment="0" applyProtection="0"/>
    <xf numFmtId="0" fontId="20" fillId="0" borderId="38" applyNumberFormat="0" applyFill="0" applyAlignment="0" applyProtection="0"/>
    <xf numFmtId="0" fontId="20" fillId="0" borderId="0" applyNumberFormat="0" applyFill="0" applyBorder="0" applyAlignment="0" applyProtection="0"/>
    <xf numFmtId="0" fontId="21" fillId="7" borderId="34" applyNumberFormat="0" applyAlignment="0" applyProtection="0"/>
    <xf numFmtId="43" fontId="7" fillId="0" borderId="0" applyFont="0" applyFill="0" applyBorder="0" applyAlignment="0" applyProtection="0"/>
    <xf numFmtId="0" fontId="22" fillId="0" borderId="39" applyNumberFormat="0" applyFill="0" applyAlignment="0" applyProtection="0"/>
    <xf numFmtId="0" fontId="7" fillId="8" borderId="40" applyNumberFormat="0" applyFont="0" applyAlignment="0" applyProtection="0"/>
    <xf numFmtId="0" fontId="23" fillId="6" borderId="41"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24" fillId="0" borderId="0" applyNumberFormat="0" applyFill="0" applyBorder="0" applyAlignment="0" applyProtection="0"/>
    <xf numFmtId="0" fontId="25" fillId="0" borderId="42" applyNumberFormat="0" applyFill="0" applyAlignment="0" applyProtection="0"/>
    <xf numFmtId="0" fontId="2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9"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0" fontId="2" fillId="8" borderId="40" applyNumberFormat="0" applyFont="0" applyAlignment="0" applyProtection="0"/>
    <xf numFmtId="0" fontId="2" fillId="8" borderId="40" applyNumberFormat="0" applyFont="0" applyAlignment="0" applyProtection="0"/>
    <xf numFmtId="0" fontId="2" fillId="8" borderId="40"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0" fontId="56" fillId="0" borderId="0" applyNumberFormat="0" applyFill="0" applyBorder="0" applyAlignment="0" applyProtection="0"/>
    <xf numFmtId="0" fontId="1" fillId="0" borderId="0"/>
  </cellStyleXfs>
  <cellXfs count="1847">
    <xf numFmtId="0" fontId="0" fillId="0" borderId="0" xfId="0"/>
    <xf numFmtId="0" fontId="2" fillId="0" borderId="0" xfId="1"/>
    <xf numFmtId="0" fontId="3" fillId="2" borderId="1" xfId="1" applyFont="1" applyFill="1" applyBorder="1"/>
    <xf numFmtId="0" fontId="4" fillId="2" borderId="2" xfId="1" applyFont="1" applyFill="1" applyBorder="1"/>
    <xf numFmtId="0" fontId="2" fillId="2" borderId="2" xfId="1" applyFill="1" applyBorder="1"/>
    <xf numFmtId="0" fontId="2" fillId="3" borderId="2" xfId="1" applyFill="1" applyBorder="1"/>
    <xf numFmtId="0" fontId="2" fillId="2" borderId="2" xfId="1" applyFill="1" applyBorder="1" applyAlignment="1">
      <alignment horizontal="left"/>
    </xf>
    <xf numFmtId="0" fontId="2" fillId="2" borderId="3" xfId="1" applyFill="1" applyBorder="1"/>
    <xf numFmtId="0" fontId="3" fillId="2" borderId="5" xfId="1" applyFont="1" applyFill="1" applyBorder="1"/>
    <xf numFmtId="0" fontId="4" fillId="2" borderId="0" xfId="1" applyFont="1" applyFill="1" applyBorder="1" applyAlignment="1">
      <alignment horizontal="left"/>
    </xf>
    <xf numFmtId="0" fontId="2" fillId="2" borderId="0" xfId="1" applyFill="1" applyBorder="1"/>
    <xf numFmtId="0" fontId="2" fillId="2" borderId="0" xfId="1" applyFill="1" applyBorder="1" applyAlignment="1">
      <alignment horizontal="left"/>
    </xf>
    <xf numFmtId="0" fontId="4" fillId="2" borderId="0" xfId="1" applyFont="1" applyFill="1" applyBorder="1"/>
    <xf numFmtId="0" fontId="2" fillId="2" borderId="6" xfId="1" applyFill="1" applyBorder="1"/>
    <xf numFmtId="0" fontId="6" fillId="0" borderId="0" xfId="1" applyFont="1" applyFill="1" applyBorder="1" applyAlignment="1">
      <alignment horizontal="left"/>
    </xf>
    <xf numFmtId="0" fontId="2" fillId="0" borderId="1" xfId="1" applyFill="1" applyBorder="1" applyAlignment="1">
      <alignment horizontal="right"/>
    </xf>
    <xf numFmtId="0" fontId="2" fillId="0" borderId="17" xfId="1" applyFill="1" applyBorder="1" applyAlignment="1">
      <alignment horizontal="right"/>
    </xf>
    <xf numFmtId="0" fontId="2" fillId="0" borderId="23" xfId="1" applyFill="1" applyBorder="1" applyAlignment="1">
      <alignment horizontal="right"/>
    </xf>
    <xf numFmtId="0" fontId="2" fillId="0" borderId="0" xfId="1" applyFill="1"/>
    <xf numFmtId="0" fontId="2" fillId="0" borderId="0" xfId="1" applyBorder="1"/>
    <xf numFmtId="0" fontId="2" fillId="0" borderId="0" xfId="1" applyFill="1" applyBorder="1" applyAlignment="1">
      <alignment horizontal="center"/>
    </xf>
    <xf numFmtId="0" fontId="2" fillId="0" borderId="0" xfId="1" applyFill="1" applyBorder="1" applyAlignment="1">
      <alignment horizontal="right"/>
    </xf>
    <xf numFmtId="0" fontId="2" fillId="0" borderId="0" xfId="1" applyFill="1" applyBorder="1" applyAlignment="1"/>
    <xf numFmtId="0" fontId="2" fillId="0" borderId="0" xfId="1" applyFill="1" applyBorder="1"/>
    <xf numFmtId="0" fontId="2" fillId="0" borderId="0" xfId="1" applyAlignment="1">
      <alignment horizontal="center"/>
    </xf>
    <xf numFmtId="0" fontId="2" fillId="0" borderId="0" xfId="1" applyFill="1" applyBorder="1" applyAlignment="1">
      <alignment vertical="center" wrapText="1"/>
    </xf>
    <xf numFmtId="164" fontId="2" fillId="4" borderId="0" xfId="1" applyNumberFormat="1" applyFill="1" applyBorder="1"/>
    <xf numFmtId="0" fontId="2" fillId="2" borderId="0" xfId="1" applyFill="1" applyBorder="1" applyAlignment="1">
      <alignment vertical="center" wrapText="1"/>
    </xf>
    <xf numFmtId="0" fontId="27" fillId="0" borderId="0" xfId="1" applyFont="1"/>
    <xf numFmtId="0" fontId="2" fillId="0" borderId="0" xfId="1" applyBorder="1" applyAlignment="1">
      <alignment horizontal="right"/>
    </xf>
    <xf numFmtId="0" fontId="2" fillId="0" borderId="45" xfId="1" applyFill="1" applyBorder="1" applyAlignment="1">
      <alignment horizontal="right"/>
    </xf>
    <xf numFmtId="0" fontId="2" fillId="4" borderId="46" xfId="1" applyFill="1" applyBorder="1" applyAlignment="1">
      <alignment horizontal="left"/>
    </xf>
    <xf numFmtId="0" fontId="2" fillId="4" borderId="47" xfId="1" applyFill="1" applyBorder="1" applyAlignment="1">
      <alignment horizontal="left"/>
    </xf>
    <xf numFmtId="0" fontId="2" fillId="0" borderId="33" xfId="1" applyFill="1" applyBorder="1" applyAlignment="1">
      <alignment horizontal="right"/>
    </xf>
    <xf numFmtId="14" fontId="2" fillId="4" borderId="48" xfId="1" applyNumberFormat="1" applyFill="1" applyBorder="1" applyAlignment="1">
      <alignment horizontal="left"/>
    </xf>
    <xf numFmtId="14" fontId="2" fillId="4" borderId="49" xfId="1" applyNumberFormat="1" applyFill="1" applyBorder="1" applyAlignment="1">
      <alignment horizontal="left"/>
    </xf>
    <xf numFmtId="0" fontId="2" fillId="0" borderId="50" xfId="1" applyFill="1" applyBorder="1" applyAlignment="1">
      <alignment horizontal="right"/>
    </xf>
    <xf numFmtId="2" fontId="2" fillId="0" borderId="0" xfId="1" applyNumberFormat="1" applyFill="1" applyBorder="1"/>
    <xf numFmtId="2" fontId="2" fillId="0" borderId="0" xfId="1" applyNumberFormat="1" applyFill="1"/>
    <xf numFmtId="0" fontId="5" fillId="0" borderId="0" xfId="1" applyFont="1" applyFill="1" applyBorder="1" applyAlignment="1">
      <alignment horizontal="left" vertical="center"/>
    </xf>
    <xf numFmtId="0" fontId="29" fillId="0" borderId="0" xfId="1" applyFont="1"/>
    <xf numFmtId="0" fontId="28" fillId="0" borderId="0" xfId="1" applyFont="1" applyFill="1" applyBorder="1" applyAlignment="1"/>
    <xf numFmtId="0" fontId="2" fillId="0" borderId="56" xfId="1" applyBorder="1" applyAlignment="1">
      <alignment horizontal="right" vertical="center"/>
    </xf>
    <xf numFmtId="0" fontId="2" fillId="0" borderId="0" xfId="1" applyBorder="1" applyAlignment="1">
      <alignment vertical="center"/>
    </xf>
    <xf numFmtId="0" fontId="2" fillId="0" borderId="0" xfId="1" applyBorder="1" applyAlignment="1">
      <alignment horizontal="right" vertical="center"/>
    </xf>
    <xf numFmtId="0" fontId="2" fillId="0" borderId="57" xfId="1" applyBorder="1" applyAlignment="1">
      <alignment vertical="center"/>
    </xf>
    <xf numFmtId="0" fontId="2" fillId="0" borderId="0" xfId="1" applyFill="1" applyBorder="1" applyAlignment="1">
      <alignment vertical="center"/>
    </xf>
    <xf numFmtId="0" fontId="10" fillId="0" borderId="0" xfId="1" applyFont="1" applyFill="1" applyBorder="1" applyAlignment="1"/>
    <xf numFmtId="0" fontId="2" fillId="0" borderId="4" xfId="1" applyBorder="1"/>
    <xf numFmtId="0" fontId="2" fillId="0" borderId="54" xfId="1" applyBorder="1" applyAlignment="1">
      <alignment horizontal="right" vertical="center"/>
    </xf>
    <xf numFmtId="0" fontId="2" fillId="0" borderId="2" xfId="1" applyBorder="1" applyAlignment="1">
      <alignment vertical="center"/>
    </xf>
    <xf numFmtId="0" fontId="2" fillId="0" borderId="55" xfId="1" applyBorder="1" applyAlignment="1">
      <alignment vertical="center"/>
    </xf>
    <xf numFmtId="0" fontId="6" fillId="0" borderId="0" xfId="1" applyFont="1" applyBorder="1" applyAlignment="1">
      <alignment vertical="center" wrapText="1"/>
    </xf>
    <xf numFmtId="0" fontId="2" fillId="0" borderId="65" xfId="1" applyFill="1" applyBorder="1" applyAlignment="1">
      <alignment vertical="center"/>
    </xf>
    <xf numFmtId="164" fontId="6" fillId="0" borderId="0" xfId="1" applyNumberFormat="1" applyFont="1" applyFill="1" applyBorder="1" applyAlignment="1">
      <alignment horizontal="center" vertical="center"/>
    </xf>
    <xf numFmtId="0" fontId="2" fillId="0" borderId="48" xfId="1" applyBorder="1" applyAlignment="1">
      <alignment horizontal="center" vertical="center"/>
    </xf>
    <xf numFmtId="0" fontId="31" fillId="0" borderId="0" xfId="1" applyFont="1" applyFill="1" applyBorder="1" applyAlignment="1">
      <alignment horizontal="left" vertical="center"/>
    </xf>
    <xf numFmtId="0" fontId="6" fillId="0" borderId="0" xfId="1" applyFont="1" applyBorder="1" applyAlignment="1">
      <alignment vertical="center"/>
    </xf>
    <xf numFmtId="0" fontId="2" fillId="0" borderId="7" xfId="1" applyBorder="1" applyAlignment="1">
      <alignment horizontal="center" vertical="center"/>
    </xf>
    <xf numFmtId="0" fontId="2" fillId="0" borderId="81" xfId="1" applyBorder="1" applyAlignment="1">
      <alignment horizontal="center"/>
    </xf>
    <xf numFmtId="164" fontId="2" fillId="0" borderId="46" xfId="1" applyNumberFormat="1" applyBorder="1"/>
    <xf numFmtId="0" fontId="2" fillId="0" borderId="47" xfId="1" applyBorder="1"/>
    <xf numFmtId="0" fontId="2" fillId="0" borderId="82" xfId="1" applyBorder="1"/>
    <xf numFmtId="0" fontId="33" fillId="0" borderId="0" xfId="1" applyFont="1"/>
    <xf numFmtId="0" fontId="2" fillId="0" borderId="50" xfId="1" applyBorder="1" applyAlignment="1">
      <alignment horizontal="center"/>
    </xf>
    <xf numFmtId="165" fontId="2" fillId="0" borderId="25" xfId="1" applyNumberFormat="1" applyBorder="1"/>
    <xf numFmtId="0" fontId="2" fillId="0" borderId="26" xfId="1" applyBorder="1"/>
    <xf numFmtId="165" fontId="2" fillId="0" borderId="9" xfId="1" applyNumberFormat="1" applyBorder="1"/>
    <xf numFmtId="0" fontId="2" fillId="0" borderId="10" xfId="1" applyBorder="1"/>
    <xf numFmtId="0" fontId="2" fillId="0" borderId="15" xfId="1" applyBorder="1" applyAlignment="1">
      <alignment horizontal="center" vertical="center" wrapText="1"/>
    </xf>
    <xf numFmtId="0" fontId="2" fillId="0" borderId="75" xfId="1" applyBorder="1" applyAlignment="1">
      <alignment horizontal="center" vertical="center" wrapText="1"/>
    </xf>
    <xf numFmtId="0" fontId="2" fillId="0" borderId="16" xfId="1" applyBorder="1" applyAlignment="1">
      <alignment horizontal="center" vertical="center" wrapText="1"/>
    </xf>
    <xf numFmtId="165" fontId="2" fillId="0" borderId="0" xfId="1" applyNumberFormat="1" applyBorder="1" applyAlignment="1">
      <alignment horizontal="center" vertical="center"/>
    </xf>
    <xf numFmtId="164" fontId="2" fillId="0" borderId="7" xfId="1" applyNumberFormat="1" applyBorder="1" applyAlignment="1">
      <alignment horizontal="center" vertical="center"/>
    </xf>
    <xf numFmtId="0" fontId="2" fillId="0" borderId="0" xfId="1" applyFill="1" applyBorder="1" applyAlignment="1">
      <alignment horizontal="center" vertical="center"/>
    </xf>
    <xf numFmtId="164" fontId="2" fillId="0" borderId="0" xfId="1" applyNumberFormat="1" applyFill="1" applyBorder="1" applyAlignment="1">
      <alignment horizontal="center" vertical="center"/>
    </xf>
    <xf numFmtId="0" fontId="2" fillId="0" borderId="7" xfId="1" applyFont="1" applyBorder="1" applyAlignment="1">
      <alignment horizontal="center" vertical="center"/>
    </xf>
    <xf numFmtId="165" fontId="2" fillId="0" borderId="7" xfId="1" applyNumberFormat="1" applyFont="1" applyBorder="1" applyAlignment="1">
      <alignment horizontal="center" vertical="center"/>
    </xf>
    <xf numFmtId="0" fontId="2" fillId="0" borderId="24" xfId="1" applyFont="1" applyBorder="1" applyAlignment="1">
      <alignment horizontal="center" vertical="center"/>
    </xf>
    <xf numFmtId="0" fontId="2" fillId="0" borderId="78" xfId="1" applyBorder="1" applyAlignment="1">
      <alignment horizontal="center" vertical="center"/>
    </xf>
    <xf numFmtId="0" fontId="2" fillId="0" borderId="46" xfId="1" applyBorder="1" applyAlignment="1">
      <alignment horizontal="center" vertical="center"/>
    </xf>
    <xf numFmtId="0" fontId="10" fillId="0" borderId="0" xfId="1" applyFont="1" applyAlignment="1">
      <alignment vertical="center"/>
    </xf>
    <xf numFmtId="0" fontId="2" fillId="0" borderId="1" xfId="1" applyBorder="1" applyAlignment="1">
      <alignment horizontal="right" vertical="center" wrapText="1"/>
    </xf>
    <xf numFmtId="0" fontId="2" fillId="0" borderId="92" xfId="1" applyFont="1" applyFill="1" applyBorder="1" applyAlignment="1">
      <alignment horizontal="right" vertical="center"/>
    </xf>
    <xf numFmtId="0" fontId="2" fillId="0" borderId="92" xfId="1" applyBorder="1" applyAlignment="1">
      <alignment horizontal="right" vertical="center" wrapText="1"/>
    </xf>
    <xf numFmtId="0" fontId="2" fillId="0" borderId="92" xfId="1" applyBorder="1" applyAlignment="1">
      <alignment horizontal="right" vertical="center"/>
    </xf>
    <xf numFmtId="2" fontId="2" fillId="21" borderId="0" xfId="1" applyNumberFormat="1" applyFont="1" applyFill="1" applyBorder="1" applyAlignment="1">
      <alignment horizontal="center" vertical="center"/>
    </xf>
    <xf numFmtId="0" fontId="2" fillId="0" borderId="29" xfId="1" applyFont="1" applyBorder="1" applyAlignment="1">
      <alignment vertical="center"/>
    </xf>
    <xf numFmtId="0" fontId="2" fillId="0" borderId="92" xfId="1" applyFont="1" applyBorder="1" applyAlignment="1">
      <alignment horizontal="right" vertical="center"/>
    </xf>
    <xf numFmtId="0" fontId="2" fillId="3" borderId="29" xfId="1" applyFont="1" applyFill="1" applyBorder="1" applyAlignment="1">
      <alignment horizontal="center" vertical="center" wrapText="1"/>
    </xf>
    <xf numFmtId="0" fontId="2" fillId="0" borderId="8" xfId="1" applyBorder="1" applyAlignment="1">
      <alignment horizontal="right" vertical="center"/>
    </xf>
    <xf numFmtId="2" fontId="2" fillId="5" borderId="9" xfId="1" applyNumberFormat="1" applyFont="1" applyFill="1" applyBorder="1" applyAlignment="1">
      <alignment horizontal="center" vertical="center"/>
    </xf>
    <xf numFmtId="0" fontId="2" fillId="0" borderId="93" xfId="1" applyFont="1" applyBorder="1" applyAlignment="1">
      <alignment vertical="center"/>
    </xf>
    <xf numFmtId="2" fontId="2" fillId="0" borderId="0" xfId="1" applyNumberFormat="1" applyFont="1" applyFill="1" applyBorder="1" applyAlignment="1">
      <alignment horizontal="center" vertical="center"/>
    </xf>
    <xf numFmtId="0" fontId="2" fillId="0" borderId="0" xfId="1" applyFont="1" applyBorder="1" applyAlignment="1">
      <alignment vertical="center"/>
    </xf>
    <xf numFmtId="0" fontId="36" fillId="0" borderId="0" xfId="1" applyFont="1" applyAlignment="1">
      <alignment vertical="center"/>
    </xf>
    <xf numFmtId="165" fontId="2" fillId="0" borderId="0" xfId="1" applyNumberFormat="1" applyFill="1" applyBorder="1" applyAlignment="1">
      <alignment vertical="center"/>
    </xf>
    <xf numFmtId="0" fontId="2" fillId="0" borderId="0" xfId="1" applyFill="1" applyAlignment="1">
      <alignment vertical="center"/>
    </xf>
    <xf numFmtId="165" fontId="2" fillId="0" borderId="0" xfId="1" applyNumberFormat="1" applyFill="1" applyAlignment="1">
      <alignment vertical="center"/>
    </xf>
    <xf numFmtId="0" fontId="6" fillId="0" borderId="15" xfId="1" applyFont="1" applyBorder="1" applyAlignment="1">
      <alignment horizontal="center" vertical="center" wrapText="1"/>
    </xf>
    <xf numFmtId="0" fontId="6" fillId="0" borderId="75" xfId="1" applyFont="1" applyBorder="1" applyAlignment="1">
      <alignment horizontal="center" vertical="center"/>
    </xf>
    <xf numFmtId="0" fontId="6" fillId="0" borderId="22" xfId="1" applyFont="1" applyBorder="1" applyAlignment="1">
      <alignment horizontal="center" vertical="center"/>
    </xf>
    <xf numFmtId="2" fontId="2" fillId="0" borderId="7" xfId="1" applyNumberFormat="1" applyBorder="1" applyAlignment="1">
      <alignment horizontal="center" vertical="center"/>
    </xf>
    <xf numFmtId="165" fontId="2" fillId="0" borderId="7" xfId="1" applyNumberFormat="1" applyBorder="1" applyAlignment="1">
      <alignment horizontal="center" vertical="center"/>
    </xf>
    <xf numFmtId="0" fontId="6" fillId="0" borderId="32" xfId="1" applyFont="1" applyBorder="1" applyAlignment="1">
      <alignment horizontal="center" vertical="center"/>
    </xf>
    <xf numFmtId="2" fontId="2" fillId="0" borderId="24" xfId="1" applyNumberFormat="1" applyBorder="1" applyAlignment="1">
      <alignment horizontal="center" vertical="center"/>
    </xf>
    <xf numFmtId="0" fontId="2" fillId="0" borderId="24" xfId="1" applyBorder="1" applyAlignment="1">
      <alignment horizontal="center" vertical="center"/>
    </xf>
    <xf numFmtId="164" fontId="2" fillId="0" borderId="24" xfId="1" applyNumberFormat="1" applyBorder="1" applyAlignment="1">
      <alignment horizontal="center" vertical="center"/>
    </xf>
    <xf numFmtId="165" fontId="2" fillId="0" borderId="24" xfId="1" applyNumberFormat="1" applyBorder="1" applyAlignment="1">
      <alignment horizontal="center" vertical="center"/>
    </xf>
    <xf numFmtId="0" fontId="6" fillId="0" borderId="0" xfId="1" applyFont="1" applyAlignment="1">
      <alignment horizontal="right" vertical="center"/>
    </xf>
    <xf numFmtId="2" fontId="2" fillId="0" borderId="0" xfId="1" applyNumberFormat="1" applyAlignment="1">
      <alignment vertical="center"/>
    </xf>
    <xf numFmtId="2" fontId="2" fillId="0" borderId="0" xfId="1" applyNumberFormat="1" applyFill="1" applyAlignment="1">
      <alignment vertical="center"/>
    </xf>
    <xf numFmtId="0" fontId="2" fillId="0" borderId="0" xfId="1" applyBorder="1" applyAlignment="1">
      <alignment horizontal="left" vertical="center"/>
    </xf>
    <xf numFmtId="0" fontId="2" fillId="0" borderId="0" xfId="1" applyFont="1" applyFill="1" applyBorder="1" applyAlignment="1">
      <alignment horizontal="left" vertical="center"/>
    </xf>
    <xf numFmtId="0" fontId="2" fillId="0" borderId="0" xfId="1" applyBorder="1" applyAlignment="1">
      <alignment horizontal="center" vertical="center"/>
    </xf>
    <xf numFmtId="0" fontId="2" fillId="0" borderId="0" xfId="1" applyFont="1" applyAlignment="1">
      <alignment vertical="center"/>
    </xf>
    <xf numFmtId="0" fontId="2" fillId="2" borderId="2" xfId="1" applyFill="1" applyBorder="1" applyAlignment="1">
      <alignment horizontal="left" vertical="center"/>
    </xf>
    <xf numFmtId="0" fontId="2" fillId="2" borderId="0" xfId="1" applyFill="1" applyBorder="1" applyAlignment="1">
      <alignment horizontal="left" vertical="center"/>
    </xf>
    <xf numFmtId="0" fontId="2" fillId="0" borderId="0" xfId="1" applyFont="1" applyFill="1" applyBorder="1" applyAlignment="1">
      <alignment vertical="center" wrapText="1"/>
    </xf>
    <xf numFmtId="0" fontId="2" fillId="0" borderId="0" xfId="1" applyFont="1" applyFill="1" applyBorder="1" applyAlignment="1">
      <alignment horizontal="center" vertical="center"/>
    </xf>
    <xf numFmtId="0" fontId="2" fillId="0" borderId="0" xfId="1" applyFont="1" applyFill="1" applyBorder="1" applyAlignment="1">
      <alignment horizontal="right" vertical="center"/>
    </xf>
    <xf numFmtId="0" fontId="2" fillId="0" borderId="0" xfId="59" applyFont="1" applyAlignment="1">
      <alignment vertical="center"/>
    </xf>
    <xf numFmtId="0" fontId="2" fillId="2" borderId="1" xfId="59" applyFont="1" applyFill="1" applyBorder="1" applyAlignment="1">
      <alignment vertical="center"/>
    </xf>
    <xf numFmtId="0" fontId="4" fillId="2" borderId="2" xfId="59" applyFont="1" applyFill="1" applyBorder="1" applyAlignment="1">
      <alignment vertical="center"/>
    </xf>
    <xf numFmtId="0" fontId="2" fillId="2" borderId="2" xfId="59" applyFont="1" applyFill="1" applyBorder="1" applyAlignment="1">
      <alignment vertical="center"/>
    </xf>
    <xf numFmtId="0" fontId="2" fillId="3" borderId="2" xfId="59" applyFont="1" applyFill="1" applyBorder="1" applyAlignment="1">
      <alignment vertical="center"/>
    </xf>
    <xf numFmtId="0" fontId="2" fillId="2" borderId="3" xfId="59" applyFont="1" applyFill="1" applyBorder="1" applyAlignment="1">
      <alignment vertical="center"/>
    </xf>
    <xf numFmtId="0" fontId="2" fillId="2" borderId="5" xfId="59" applyFont="1" applyFill="1" applyBorder="1" applyAlignment="1">
      <alignment vertical="center"/>
    </xf>
    <xf numFmtId="0" fontId="2" fillId="2" borderId="0" xfId="59" applyFont="1" applyFill="1" applyBorder="1" applyAlignment="1">
      <alignment vertical="center"/>
    </xf>
    <xf numFmtId="0" fontId="2" fillId="4" borderId="0" xfId="59" applyFont="1" applyFill="1" applyBorder="1" applyAlignment="1">
      <alignment vertical="center"/>
    </xf>
    <xf numFmtId="0" fontId="4" fillId="2" borderId="0" xfId="59" applyFont="1" applyFill="1" applyBorder="1" applyAlignment="1">
      <alignment vertical="center"/>
    </xf>
    <xf numFmtId="0" fontId="2" fillId="2" borderId="6" xfId="59" applyFont="1" applyFill="1" applyBorder="1" applyAlignment="1">
      <alignment vertical="center"/>
    </xf>
    <xf numFmtId="0" fontId="6" fillId="0" borderId="0" xfId="59" applyFont="1" applyFill="1" applyBorder="1" applyAlignment="1">
      <alignment horizontal="left" vertical="center"/>
    </xf>
    <xf numFmtId="0" fontId="2" fillId="0" borderId="1" xfId="1" applyFill="1" applyBorder="1" applyAlignment="1">
      <alignment horizontal="right" vertical="center"/>
    </xf>
    <xf numFmtId="0" fontId="2" fillId="0" borderId="45" xfId="1" applyFill="1" applyBorder="1" applyAlignment="1">
      <alignment horizontal="right" vertical="center"/>
    </xf>
    <xf numFmtId="0" fontId="2" fillId="21" borderId="14" xfId="1" applyFill="1" applyBorder="1" applyAlignment="1">
      <alignment horizontal="left"/>
    </xf>
    <xf numFmtId="0" fontId="2" fillId="0" borderId="17" xfId="1" applyFill="1" applyBorder="1" applyAlignment="1">
      <alignment horizontal="right" vertical="center"/>
    </xf>
    <xf numFmtId="0" fontId="2" fillId="0" borderId="33" xfId="1" applyFill="1" applyBorder="1" applyAlignment="1">
      <alignment horizontal="right" vertical="center"/>
    </xf>
    <xf numFmtId="0" fontId="2" fillId="4" borderId="20" xfId="59" applyFont="1" applyFill="1" applyBorder="1" applyAlignment="1">
      <alignment horizontal="left" vertical="center"/>
    </xf>
    <xf numFmtId="0" fontId="2" fillId="0" borderId="33" xfId="59" applyFont="1" applyFill="1" applyBorder="1" applyAlignment="1">
      <alignment horizontal="right" vertical="center"/>
    </xf>
    <xf numFmtId="0" fontId="2" fillId="0" borderId="23" xfId="1" applyFill="1" applyBorder="1" applyAlignment="1">
      <alignment horizontal="right" vertical="center"/>
    </xf>
    <xf numFmtId="0" fontId="2" fillId="0" borderId="50" xfId="59" applyFont="1" applyFill="1" applyBorder="1" applyAlignment="1">
      <alignment horizontal="right" vertical="center"/>
    </xf>
    <xf numFmtId="0" fontId="2" fillId="4" borderId="27" xfId="59" applyFont="1" applyFill="1" applyBorder="1" applyAlignment="1">
      <alignment horizontal="left" vertical="center"/>
    </xf>
    <xf numFmtId="0" fontId="6" fillId="0" borderId="0" xfId="59" applyFont="1" applyAlignment="1">
      <alignment vertical="center"/>
    </xf>
    <xf numFmtId="0" fontId="6" fillId="0" borderId="0" xfId="59" applyFont="1" applyFill="1" applyAlignment="1">
      <alignment vertical="center"/>
    </xf>
    <xf numFmtId="0" fontId="6"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59" applyFont="1" applyBorder="1" applyAlignment="1">
      <alignment vertical="center"/>
    </xf>
    <xf numFmtId="0" fontId="2" fillId="0" borderId="0" xfId="1" applyFont="1" applyBorder="1"/>
    <xf numFmtId="0" fontId="2" fillId="0" borderId="0" xfId="1" applyFont="1" applyAlignment="1">
      <alignment vertical="top" wrapText="1"/>
    </xf>
    <xf numFmtId="168" fontId="10" fillId="0" borderId="0" xfId="1" applyNumberFormat="1" applyFont="1" applyFill="1" applyBorder="1" applyAlignment="1"/>
    <xf numFmtId="0" fontId="34" fillId="0" borderId="0" xfId="0" applyFont="1" applyFill="1" applyBorder="1" applyAlignment="1">
      <alignment vertical="center" wrapText="1"/>
    </xf>
    <xf numFmtId="0" fontId="30" fillId="0" borderId="62" xfId="1" applyFont="1" applyBorder="1" applyAlignment="1">
      <alignment vertical="center"/>
    </xf>
    <xf numFmtId="0" fontId="2" fillId="0" borderId="2" xfId="1" applyFont="1" applyBorder="1" applyAlignment="1">
      <alignment vertical="center"/>
    </xf>
    <xf numFmtId="164" fontId="2" fillId="0" borderId="0" xfId="1" applyNumberFormat="1" applyFont="1" applyFill="1" applyBorder="1"/>
    <xf numFmtId="0" fontId="2" fillId="0" borderId="0" xfId="1" applyFont="1"/>
    <xf numFmtId="0" fontId="2" fillId="0" borderId="0" xfId="1" applyFont="1" applyFill="1" applyAlignment="1">
      <alignment vertical="center"/>
    </xf>
    <xf numFmtId="0" fontId="2" fillId="0" borderId="0" xfId="1" applyFont="1" applyFill="1" applyAlignment="1">
      <alignment horizontal="right"/>
    </xf>
    <xf numFmtId="0" fontId="2" fillId="0" borderId="0" xfId="1" applyFont="1" applyFill="1" applyBorder="1"/>
    <xf numFmtId="164" fontId="2" fillId="0" borderId="96" xfId="1" applyNumberFormat="1" applyFill="1" applyBorder="1" applyAlignment="1">
      <alignment horizontal="center" vertical="center"/>
    </xf>
    <xf numFmtId="164" fontId="2" fillId="0" borderId="84" xfId="1" applyNumberFormat="1" applyFill="1" applyBorder="1" applyAlignment="1">
      <alignment horizontal="center" vertical="center"/>
    </xf>
    <xf numFmtId="0" fontId="31" fillId="0" borderId="0" xfId="1" applyFont="1" applyFill="1" applyAlignment="1">
      <alignment horizontal="left" vertical="center"/>
    </xf>
    <xf numFmtId="164" fontId="2" fillId="0" borderId="27" xfId="1" applyNumberFormat="1" applyFill="1" applyBorder="1" applyAlignment="1">
      <alignment horizontal="center" vertical="center"/>
    </xf>
    <xf numFmtId="0" fontId="6" fillId="0" borderId="0" xfId="66" applyFont="1" applyFill="1" applyBorder="1" applyAlignment="1">
      <alignment horizontal="center" vertical="center" wrapText="1"/>
    </xf>
    <xf numFmtId="164" fontId="28" fillId="0" borderId="0" xfId="1" applyNumberFormat="1" applyFont="1" applyFill="1" applyBorder="1" applyAlignment="1">
      <alignment horizontal="left" vertical="center"/>
    </xf>
    <xf numFmtId="0" fontId="34" fillId="0" borderId="0" xfId="1" applyFont="1" applyFill="1" applyBorder="1" applyAlignment="1">
      <alignment horizontal="center"/>
    </xf>
    <xf numFmtId="0" fontId="2" fillId="0" borderId="21" xfId="1" applyFont="1" applyBorder="1" applyAlignment="1">
      <alignment horizontal="center" vertical="center"/>
    </xf>
    <xf numFmtId="0" fontId="2" fillId="0" borderId="11" xfId="1" applyFont="1" applyBorder="1" applyAlignment="1">
      <alignment horizontal="center" vertical="center"/>
    </xf>
    <xf numFmtId="0" fontId="2" fillId="0" borderId="22" xfId="1" applyBorder="1" applyAlignment="1">
      <alignment horizontal="center" vertical="center"/>
    </xf>
    <xf numFmtId="0" fontId="2" fillId="0" borderId="32" xfId="1" applyBorder="1" applyAlignment="1">
      <alignment horizontal="center" vertical="center"/>
    </xf>
    <xf numFmtId="0" fontId="2" fillId="0" borderId="46" xfId="1" applyFont="1" applyBorder="1" applyAlignment="1">
      <alignment horizontal="center" vertical="center"/>
    </xf>
    <xf numFmtId="0" fontId="2" fillId="0" borderId="31" xfId="1" applyBorder="1" applyAlignment="1">
      <alignment horizontal="center" vertical="center" wrapText="1"/>
    </xf>
    <xf numFmtId="164" fontId="2" fillId="0" borderId="92" xfId="1" applyNumberFormat="1" applyFont="1" applyBorder="1" applyAlignment="1">
      <alignment horizontal="center" vertical="center"/>
    </xf>
    <xf numFmtId="164" fontId="2" fillId="0" borderId="86" xfId="1" applyNumberFormat="1" applyFont="1" applyBorder="1" applyAlignment="1">
      <alignment horizontal="center" vertical="center"/>
    </xf>
    <xf numFmtId="164" fontId="2" fillId="0" borderId="64" xfId="1" applyNumberFormat="1" applyFont="1" applyBorder="1" applyAlignment="1">
      <alignment horizontal="center" vertical="center"/>
    </xf>
    <xf numFmtId="164" fontId="2" fillId="0" borderId="8" xfId="1" applyNumberFormat="1" applyFont="1" applyBorder="1" applyAlignment="1">
      <alignment horizontal="center" vertical="center"/>
    </xf>
    <xf numFmtId="0" fontId="2" fillId="0" borderId="0" xfId="1" applyAlignment="1">
      <alignment vertical="center"/>
    </xf>
    <xf numFmtId="0" fontId="30" fillId="0" borderId="19" xfId="1" applyFont="1" applyBorder="1" applyAlignment="1">
      <alignment vertical="center"/>
    </xf>
    <xf numFmtId="2" fontId="2" fillId="0" borderId="0" xfId="1" applyNumberFormat="1" applyBorder="1" applyAlignment="1">
      <alignment horizontal="center" vertical="center"/>
    </xf>
    <xf numFmtId="164" fontId="2" fillId="0" borderId="17" xfId="1" applyNumberFormat="1" applyFill="1" applyBorder="1" applyAlignment="1">
      <alignment horizontal="center" vertical="center"/>
    </xf>
    <xf numFmtId="0" fontId="2" fillId="0" borderId="95" xfId="0" applyFont="1" applyFill="1" applyBorder="1" applyAlignment="1">
      <alignment horizontal="center"/>
    </xf>
    <xf numFmtId="0" fontId="2" fillId="0" borderId="95" xfId="0" applyFont="1" applyBorder="1" applyAlignment="1">
      <alignment horizontal="center"/>
    </xf>
    <xf numFmtId="164" fontId="2" fillId="0" borderId="80" xfId="1" applyNumberFormat="1" applyFont="1" applyBorder="1" applyAlignment="1">
      <alignment horizontal="center" vertical="center"/>
    </xf>
    <xf numFmtId="164" fontId="2" fillId="0" borderId="82" xfId="1" applyNumberFormat="1" applyFont="1" applyBorder="1" applyAlignment="1">
      <alignment horizontal="center" vertical="center"/>
    </xf>
    <xf numFmtId="164" fontId="2" fillId="0" borderId="87" xfId="1" applyNumberFormat="1" applyFont="1" applyBorder="1" applyAlignment="1">
      <alignment horizontal="center" vertical="center"/>
    </xf>
    <xf numFmtId="2" fontId="2" fillId="0" borderId="0" xfId="59" applyNumberFormat="1" applyFont="1" applyAlignment="1">
      <alignment vertical="center"/>
    </xf>
    <xf numFmtId="2" fontId="2" fillId="0" borderId="9" xfId="59" applyNumberFormat="1" applyFont="1" applyBorder="1" applyAlignment="1">
      <alignment vertical="center"/>
    </xf>
    <xf numFmtId="2" fontId="2" fillId="0" borderId="30" xfId="0" applyNumberFormat="1" applyFont="1" applyFill="1" applyBorder="1" applyAlignment="1">
      <alignment horizontal="center" vertical="center"/>
    </xf>
    <xf numFmtId="2" fontId="2" fillId="0" borderId="11" xfId="0" applyNumberFormat="1" applyFont="1" applyFill="1" applyBorder="1" applyAlignment="1">
      <alignment horizontal="center" vertical="center"/>
    </xf>
    <xf numFmtId="2" fontId="2" fillId="0" borderId="14" xfId="0" applyNumberFormat="1" applyFont="1" applyFill="1" applyBorder="1" applyAlignment="1">
      <alignment horizontal="center" vertical="center"/>
    </xf>
    <xf numFmtId="0" fontId="2" fillId="0" borderId="0" xfId="1" applyFont="1" applyFill="1" applyAlignment="1">
      <alignment vertical="center" wrapText="1"/>
    </xf>
    <xf numFmtId="0" fontId="2" fillId="0" borderId="3" xfId="1" applyBorder="1" applyAlignment="1">
      <alignment horizontal="center" vertical="center" wrapText="1"/>
    </xf>
    <xf numFmtId="0" fontId="2" fillId="0" borderId="28" xfId="1" applyBorder="1" applyAlignment="1">
      <alignment horizontal="center" vertical="center" wrapText="1"/>
    </xf>
    <xf numFmtId="164" fontId="2" fillId="0" borderId="88" xfId="1" applyNumberFormat="1" applyFont="1" applyBorder="1" applyAlignment="1">
      <alignment horizontal="center" vertical="center"/>
    </xf>
    <xf numFmtId="164" fontId="2" fillId="0" borderId="91" xfId="1" applyNumberFormat="1" applyFont="1" applyBorder="1" applyAlignment="1">
      <alignment horizontal="center" vertical="center"/>
    </xf>
    <xf numFmtId="164" fontId="2" fillId="0" borderId="89" xfId="1" applyNumberFormat="1" applyFont="1" applyBorder="1" applyAlignment="1">
      <alignment horizontal="center" vertical="center"/>
    </xf>
    <xf numFmtId="164" fontId="2" fillId="0" borderId="90" xfId="1" applyNumberFormat="1" applyFill="1" applyBorder="1" applyAlignment="1">
      <alignment horizontal="center" vertical="center"/>
    </xf>
    <xf numFmtId="164" fontId="2" fillId="0" borderId="32" xfId="1" applyNumberFormat="1" applyFill="1" applyBorder="1" applyAlignment="1">
      <alignment horizontal="center" vertical="center"/>
    </xf>
    <xf numFmtId="0" fontId="2" fillId="3" borderId="7" xfId="1" applyFill="1" applyBorder="1" applyAlignment="1">
      <alignment horizontal="center" vertical="center"/>
    </xf>
    <xf numFmtId="0" fontId="10" fillId="0" borderId="0" xfId="1" applyFont="1" applyBorder="1" applyAlignment="1"/>
    <xf numFmtId="0" fontId="2" fillId="0" borderId="96" xfId="1" applyBorder="1" applyAlignment="1">
      <alignment horizontal="center" vertical="center"/>
    </xf>
    <xf numFmtId="0" fontId="2" fillId="0" borderId="83" xfId="1" applyFont="1" applyBorder="1" applyAlignment="1">
      <alignment horizontal="center" vertical="center"/>
    </xf>
    <xf numFmtId="165" fontId="2" fillId="0" borderId="83" xfId="1" applyNumberFormat="1" applyBorder="1" applyAlignment="1">
      <alignment horizontal="center" vertical="center"/>
    </xf>
    <xf numFmtId="0" fontId="2" fillId="0" borderId="99" xfId="1" applyBorder="1" applyAlignment="1">
      <alignment horizontal="center" vertical="center"/>
    </xf>
    <xf numFmtId="164" fontId="2" fillId="0" borderId="100" xfId="1" applyNumberFormat="1" applyFont="1" applyBorder="1" applyAlignment="1">
      <alignment horizontal="center" vertical="center"/>
    </xf>
    <xf numFmtId="164" fontId="2" fillId="0" borderId="67" xfId="1" applyNumberFormat="1" applyFont="1" applyBorder="1" applyAlignment="1">
      <alignment horizontal="center" vertical="center"/>
    </xf>
    <xf numFmtId="0" fontId="2" fillId="0" borderId="0" xfId="1" applyAlignment="1">
      <alignment horizontal="left" vertical="center"/>
    </xf>
    <xf numFmtId="0" fontId="2" fillId="0" borderId="0" xfId="59" applyFont="1" applyAlignment="1">
      <alignment horizontal="right" vertical="center"/>
    </xf>
    <xf numFmtId="0" fontId="2" fillId="0" borderId="98" xfId="1" applyFont="1" applyFill="1" applyBorder="1" applyAlignment="1">
      <alignment vertical="center"/>
    </xf>
    <xf numFmtId="0" fontId="2" fillId="0" borderId="98" xfId="1" applyFont="1" applyBorder="1" applyAlignment="1">
      <alignment vertical="center"/>
    </xf>
    <xf numFmtId="0" fontId="2" fillId="0" borderId="0" xfId="59" applyFont="1" applyFill="1" applyBorder="1" applyAlignment="1">
      <alignment vertical="center" wrapText="1"/>
    </xf>
    <xf numFmtId="0" fontId="2" fillId="0" borderId="0" xfId="59" applyFont="1" applyFill="1" applyBorder="1" applyAlignment="1">
      <alignment horizontal="right" vertical="center"/>
    </xf>
    <xf numFmtId="164" fontId="2" fillId="0" borderId="0" xfId="59" applyNumberFormat="1" applyFont="1" applyFill="1" applyBorder="1" applyAlignment="1">
      <alignment horizontal="center" vertical="center"/>
    </xf>
    <xf numFmtId="0" fontId="2" fillId="0" borderId="0" xfId="59" applyFont="1" applyFill="1" applyBorder="1" applyAlignment="1">
      <alignment vertical="center"/>
    </xf>
    <xf numFmtId="0" fontId="40" fillId="0" borderId="0" xfId="1" applyFont="1" applyFill="1" applyBorder="1" applyAlignment="1">
      <alignment horizontal="left" vertical="center"/>
    </xf>
    <xf numFmtId="0" fontId="3" fillId="2" borderId="1" xfId="1" applyFont="1" applyFill="1" applyBorder="1" applyAlignment="1">
      <alignment vertical="center"/>
    </xf>
    <xf numFmtId="0" fontId="4" fillId="2" borderId="2" xfId="1" applyFont="1" applyFill="1" applyBorder="1" applyAlignment="1">
      <alignment vertical="center"/>
    </xf>
    <xf numFmtId="0" fontId="2" fillId="2" borderId="2" xfId="1" applyFill="1" applyBorder="1" applyAlignment="1">
      <alignment vertical="center"/>
    </xf>
    <xf numFmtId="0" fontId="2" fillId="3" borderId="2" xfId="1" applyFill="1" applyBorder="1" applyAlignment="1">
      <alignment vertical="center"/>
    </xf>
    <xf numFmtId="0" fontId="2" fillId="2" borderId="3" xfId="1" applyFill="1" applyBorder="1" applyAlignment="1">
      <alignment vertical="center"/>
    </xf>
    <xf numFmtId="0" fontId="3" fillId="2" borderId="5" xfId="1" applyFont="1" applyFill="1" applyBorder="1" applyAlignment="1">
      <alignment vertical="center"/>
    </xf>
    <xf numFmtId="0" fontId="4" fillId="2" borderId="0" xfId="1" applyFont="1" applyFill="1" applyBorder="1" applyAlignment="1">
      <alignment horizontal="left" vertical="center"/>
    </xf>
    <xf numFmtId="0" fontId="2" fillId="2" borderId="0" xfId="1" applyFill="1" applyBorder="1" applyAlignment="1">
      <alignment vertical="center"/>
    </xf>
    <xf numFmtId="0" fontId="2" fillId="4" borderId="0" xfId="1" applyFill="1" applyBorder="1" applyAlignment="1">
      <alignment vertical="center"/>
    </xf>
    <xf numFmtId="0" fontId="4" fillId="2" borderId="0" xfId="1" applyFont="1" applyFill="1" applyBorder="1" applyAlignment="1">
      <alignment vertical="center"/>
    </xf>
    <xf numFmtId="0" fontId="2" fillId="2" borderId="6" xfId="1" applyFill="1" applyBorder="1" applyAlignment="1">
      <alignment vertical="center"/>
    </xf>
    <xf numFmtId="0" fontId="2" fillId="4" borderId="20" xfId="1" applyFill="1" applyBorder="1" applyAlignment="1">
      <alignment vertical="center"/>
    </xf>
    <xf numFmtId="0" fontId="2" fillId="4" borderId="27" xfId="1" applyFill="1" applyBorder="1" applyAlignment="1">
      <alignment vertical="center"/>
    </xf>
    <xf numFmtId="0" fontId="2" fillId="0" borderId="0" xfId="1" applyFont="1" applyFill="1" applyBorder="1" applyAlignment="1"/>
    <xf numFmtId="0" fontId="2" fillId="0" borderId="0" xfId="59" applyFont="1" applyAlignment="1">
      <alignment horizontal="center" vertical="center"/>
    </xf>
    <xf numFmtId="0" fontId="28" fillId="0" borderId="0" xfId="1" applyFont="1" applyBorder="1" applyAlignment="1"/>
    <xf numFmtId="0" fontId="2" fillId="0" borderId="5" xfId="1" applyFont="1" applyBorder="1" applyAlignment="1">
      <alignment horizontal="right" vertical="center"/>
    </xf>
    <xf numFmtId="2" fontId="2" fillId="0" borderId="0" xfId="1" applyNumberFormat="1" applyFill="1" applyBorder="1" applyAlignment="1">
      <alignment horizontal="center" vertical="center"/>
    </xf>
    <xf numFmtId="2" fontId="2" fillId="0" borderId="7" xfId="1" applyNumberFormat="1" applyFont="1" applyFill="1" applyBorder="1" applyAlignment="1">
      <alignment horizontal="center" vertical="center"/>
    </xf>
    <xf numFmtId="2" fontId="2" fillId="0" borderId="0" xfId="1" applyNumberFormat="1" applyFill="1" applyAlignment="1">
      <alignment horizontal="center" vertical="center"/>
    </xf>
    <xf numFmtId="0" fontId="6" fillId="0" borderId="0" xfId="1" applyFont="1" applyFill="1" applyAlignment="1">
      <alignment horizontal="center" vertical="center"/>
    </xf>
    <xf numFmtId="0" fontId="2" fillId="0" borderId="2" xfId="1" applyFont="1" applyFill="1" applyBorder="1" applyAlignment="1">
      <alignment horizontal="center" vertical="center"/>
    </xf>
    <xf numFmtId="164" fontId="2" fillId="0" borderId="103" xfId="1" applyNumberFormat="1" applyFill="1" applyBorder="1" applyAlignment="1">
      <alignment horizontal="center" vertical="center"/>
    </xf>
    <xf numFmtId="164" fontId="2" fillId="0" borderId="102" xfId="1" applyNumberFormat="1" applyFill="1" applyBorder="1" applyAlignment="1">
      <alignment horizontal="center" vertical="center"/>
    </xf>
    <xf numFmtId="0" fontId="2" fillId="0" borderId="80" xfId="0" applyFont="1" applyBorder="1" applyAlignment="1">
      <alignment horizontal="center"/>
    </xf>
    <xf numFmtId="0" fontId="6" fillId="0" borderId="0" xfId="1" applyFont="1" applyBorder="1" applyAlignment="1">
      <alignment horizontal="center" vertical="center"/>
    </xf>
    <xf numFmtId="0" fontId="35" fillId="0" borderId="0" xfId="1" applyFont="1" applyFill="1" applyBorder="1" applyAlignment="1">
      <alignment horizontal="left" vertical="center" wrapText="1"/>
    </xf>
    <xf numFmtId="0" fontId="2" fillId="0" borderId="29" xfId="1" applyBorder="1" applyAlignment="1">
      <alignment vertical="center"/>
    </xf>
    <xf numFmtId="0" fontId="27" fillId="0" borderId="0" xfId="1" applyFont="1" applyFill="1" applyBorder="1" applyAlignment="1">
      <alignment horizontal="left"/>
    </xf>
    <xf numFmtId="0" fontId="6" fillId="0" borderId="0" xfId="58" applyFont="1" applyFill="1" applyBorder="1" applyAlignment="1">
      <alignment horizontal="right"/>
    </xf>
    <xf numFmtId="0" fontId="2" fillId="0" borderId="30" xfId="58" applyFill="1" applyBorder="1" applyAlignment="1">
      <alignment horizontal="right"/>
    </xf>
    <xf numFmtId="0" fontId="2" fillId="0" borderId="11" xfId="58" applyFill="1" applyBorder="1" applyAlignment="1">
      <alignment horizontal="right"/>
    </xf>
    <xf numFmtId="0" fontId="2" fillId="5" borderId="14" xfId="1" applyFill="1" applyBorder="1" applyAlignment="1">
      <alignment horizontal="left"/>
    </xf>
    <xf numFmtId="0" fontId="2" fillId="0" borderId="22" xfId="58" applyFill="1" applyBorder="1" applyAlignment="1">
      <alignment horizontal="right"/>
    </xf>
    <xf numFmtId="0" fontId="2" fillId="0" borderId="7" xfId="58" applyFill="1" applyBorder="1" applyAlignment="1">
      <alignment horizontal="right"/>
    </xf>
    <xf numFmtId="0" fontId="2" fillId="0" borderId="23" xfId="58" applyFill="1" applyBorder="1" applyAlignment="1">
      <alignment horizontal="right"/>
    </xf>
    <xf numFmtId="0" fontId="2" fillId="0" borderId="24" xfId="58" applyFill="1" applyBorder="1" applyAlignment="1">
      <alignment horizontal="right"/>
    </xf>
    <xf numFmtId="0" fontId="2" fillId="0" borderId="77" xfId="1" applyBorder="1" applyAlignment="1">
      <alignment horizontal="right"/>
    </xf>
    <xf numFmtId="165" fontId="6" fillId="4" borderId="60" xfId="1" applyNumberFormat="1" applyFont="1" applyFill="1" applyBorder="1"/>
    <xf numFmtId="0" fontId="2" fillId="0" borderId="60" xfId="1" applyFont="1" applyBorder="1"/>
    <xf numFmtId="0" fontId="2" fillId="0" borderId="60" xfId="1" applyBorder="1"/>
    <xf numFmtId="164" fontId="2" fillId="4" borderId="60" xfId="1" applyNumberFormat="1" applyFont="1" applyFill="1" applyBorder="1"/>
    <xf numFmtId="0" fontId="2" fillId="0" borderId="60" xfId="1" applyFill="1" applyBorder="1"/>
    <xf numFmtId="0" fontId="2" fillId="0" borderId="85" xfId="1" applyFont="1" applyBorder="1"/>
    <xf numFmtId="0" fontId="5" fillId="0" borderId="0" xfId="1" applyFont="1" applyFill="1" applyBorder="1" applyAlignment="1">
      <alignment horizontal="right"/>
    </xf>
    <xf numFmtId="0" fontId="2" fillId="0" borderId="66" xfId="1" applyFont="1" applyBorder="1" applyAlignment="1">
      <alignment vertical="center"/>
    </xf>
    <xf numFmtId="0" fontId="5" fillId="0" borderId="0" xfId="1" applyFont="1" applyAlignment="1">
      <alignment horizontal="left"/>
    </xf>
    <xf numFmtId="0" fontId="6" fillId="0" borderId="7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30" xfId="1" applyFont="1" applyFill="1" applyBorder="1" applyAlignment="1">
      <alignment horizontal="center" vertical="center"/>
    </xf>
    <xf numFmtId="2" fontId="2" fillId="0" borderId="11" xfId="1" applyNumberFormat="1" applyFont="1" applyFill="1" applyBorder="1" applyAlignment="1">
      <alignment horizontal="center" vertical="center"/>
    </xf>
    <xf numFmtId="2" fontId="2" fillId="0" borderId="14" xfId="1" applyNumberFormat="1" applyFill="1" applyBorder="1" applyAlignment="1">
      <alignment horizontal="center" vertical="center"/>
    </xf>
    <xf numFmtId="0" fontId="6" fillId="0" borderId="22" xfId="1" applyFont="1" applyFill="1" applyBorder="1" applyAlignment="1">
      <alignment horizontal="center" vertical="center"/>
    </xf>
    <xf numFmtId="2" fontId="2" fillId="0" borderId="20" xfId="1" applyNumberFormat="1" applyFill="1" applyBorder="1" applyAlignment="1">
      <alignment horizontal="center" vertical="center"/>
    </xf>
    <xf numFmtId="0" fontId="6" fillId="0" borderId="32" xfId="1" applyFont="1" applyFill="1" applyBorder="1" applyAlignment="1">
      <alignment horizontal="center" vertical="center"/>
    </xf>
    <xf numFmtId="2" fontId="2" fillId="0" borderId="24" xfId="1" applyNumberFormat="1" applyFont="1" applyFill="1" applyBorder="1" applyAlignment="1">
      <alignment horizontal="center" vertical="center"/>
    </xf>
    <xf numFmtId="2" fontId="2" fillId="0" borderId="27" xfId="1" applyNumberFormat="1" applyFill="1" applyBorder="1" applyAlignment="1">
      <alignment horizontal="center" vertical="center"/>
    </xf>
    <xf numFmtId="0" fontId="2" fillId="0" borderId="56" xfId="1" applyFill="1" applyBorder="1" applyAlignment="1">
      <alignment horizontal="right" vertical="center"/>
    </xf>
    <xf numFmtId="0" fontId="2" fillId="0" borderId="66" xfId="0" applyFont="1" applyFill="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2" fillId="0" borderId="98" xfId="0" applyFont="1" applyBorder="1" applyAlignment="1">
      <alignment horizontal="center"/>
    </xf>
    <xf numFmtId="2" fontId="2" fillId="0" borderId="0" xfId="1" applyNumberFormat="1" applyFont="1" applyBorder="1" applyAlignment="1">
      <alignment vertical="center"/>
    </xf>
    <xf numFmtId="0" fontId="5" fillId="2" borderId="0" xfId="1" applyFont="1" applyFill="1" applyBorder="1" applyAlignment="1"/>
    <xf numFmtId="0" fontId="2" fillId="0" borderId="0" xfId="1" applyAlignment="1">
      <alignment horizontal="left"/>
    </xf>
    <xf numFmtId="0" fontId="2" fillId="0" borderId="1" xfId="1" applyFont="1" applyFill="1" applyBorder="1" applyAlignment="1">
      <alignment horizontal="right" vertical="center"/>
    </xf>
    <xf numFmtId="0" fontId="2" fillId="0" borderId="15" xfId="1" applyFont="1" applyBorder="1" applyAlignment="1">
      <alignment horizontal="center" vertical="center"/>
    </xf>
    <xf numFmtId="0" fontId="2" fillId="0" borderId="16" xfId="1" applyFont="1" applyBorder="1" applyAlignment="1">
      <alignment horizontal="center" vertical="center"/>
    </xf>
    <xf numFmtId="0" fontId="2" fillId="0" borderId="17" xfId="1" applyFont="1" applyFill="1" applyBorder="1" applyAlignment="1">
      <alignment horizontal="right" vertical="center"/>
    </xf>
    <xf numFmtId="0" fontId="2" fillId="0" borderId="22" xfId="1" applyFont="1" applyFill="1" applyBorder="1" applyAlignment="1">
      <alignment horizontal="center" vertical="center"/>
    </xf>
    <xf numFmtId="0" fontId="2" fillId="0" borderId="20" xfId="1" applyFont="1" applyFill="1" applyBorder="1" applyAlignment="1">
      <alignment horizontal="center" vertical="center"/>
    </xf>
    <xf numFmtId="0" fontId="2" fillId="0" borderId="23" xfId="1" applyFont="1" applyFill="1" applyBorder="1" applyAlignment="1">
      <alignment horizontal="right" vertical="center"/>
    </xf>
    <xf numFmtId="0" fontId="2" fillId="0" borderId="2" xfId="1" applyFont="1" applyFill="1" applyBorder="1" applyAlignment="1">
      <alignment horizontal="left" vertical="center"/>
    </xf>
    <xf numFmtId="0" fontId="8" fillId="0" borderId="2" xfId="1" applyFont="1" applyBorder="1" applyAlignment="1">
      <alignment horizontal="right" vertical="center"/>
    </xf>
    <xf numFmtId="0" fontId="8" fillId="0" borderId="2" xfId="1" applyFont="1" applyFill="1" applyBorder="1" applyAlignment="1">
      <alignment horizontal="left" vertical="center"/>
    </xf>
    <xf numFmtId="0" fontId="2" fillId="0" borderId="3" xfId="1" applyFont="1" applyBorder="1" applyAlignment="1">
      <alignment vertical="center"/>
    </xf>
    <xf numFmtId="0" fontId="2" fillId="0" borderId="5" xfId="1" applyFont="1" applyFill="1" applyBorder="1" applyAlignment="1">
      <alignment horizontal="right" vertical="center"/>
    </xf>
    <xf numFmtId="2" fontId="2" fillId="0" borderId="0" xfId="1" applyNumberFormat="1" applyFont="1" applyFill="1" applyBorder="1" applyAlignment="1">
      <alignment vertical="center"/>
    </xf>
    <xf numFmtId="0" fontId="8" fillId="0" borderId="0" xfId="1" applyFont="1" applyBorder="1" applyAlignment="1">
      <alignment horizontal="right" vertical="center"/>
    </xf>
    <xf numFmtId="0" fontId="8" fillId="0" borderId="0" xfId="1" applyFont="1" applyFill="1" applyBorder="1" applyAlignment="1">
      <alignment horizontal="left" vertical="center"/>
    </xf>
    <xf numFmtId="0" fontId="2" fillId="0" borderId="6" xfId="1" applyFont="1" applyBorder="1" applyAlignment="1">
      <alignment vertical="center"/>
    </xf>
    <xf numFmtId="2" fontId="2" fillId="3" borderId="7" xfId="1" applyNumberFormat="1" applyFont="1" applyFill="1" applyBorder="1" applyAlignment="1">
      <alignment vertical="center"/>
    </xf>
    <xf numFmtId="0" fontId="2" fillId="0" borderId="0" xfId="1" applyFont="1" applyBorder="1" applyAlignment="1">
      <alignment vertical="center" wrapText="1"/>
    </xf>
    <xf numFmtId="0" fontId="2" fillId="0" borderId="6" xfId="1" applyFont="1" applyBorder="1" applyAlignment="1">
      <alignment vertical="center" wrapText="1"/>
    </xf>
    <xf numFmtId="2" fontId="2" fillId="4" borderId="7" xfId="1" applyNumberFormat="1" applyFont="1" applyFill="1" applyBorder="1" applyAlignment="1">
      <alignment vertical="center"/>
    </xf>
    <xf numFmtId="0" fontId="2" fillId="0" borderId="6" xfId="1" applyFont="1" applyBorder="1" applyAlignment="1">
      <alignment horizontal="right" vertical="center"/>
    </xf>
    <xf numFmtId="0" fontId="2" fillId="0" borderId="8" xfId="1" applyFont="1" applyFill="1" applyBorder="1" applyAlignment="1">
      <alignment horizontal="right" vertical="center"/>
    </xf>
    <xf numFmtId="165" fontId="2" fillId="0" borderId="0" xfId="1" applyNumberFormat="1" applyFont="1" applyAlignment="1">
      <alignment vertical="center"/>
    </xf>
    <xf numFmtId="0" fontId="8" fillId="0" borderId="0" xfId="1" applyFont="1" applyAlignment="1">
      <alignment horizontal="left" vertical="center"/>
    </xf>
    <xf numFmtId="0" fontId="2" fillId="0" borderId="0" xfId="1" applyFont="1" applyAlignment="1">
      <alignment horizontal="right" vertical="center"/>
    </xf>
    <xf numFmtId="0" fontId="2" fillId="0" borderId="32" xfId="1" applyFont="1" applyFill="1" applyBorder="1" applyAlignment="1">
      <alignment horizontal="center" vertical="center"/>
    </xf>
    <xf numFmtId="0" fontId="2" fillId="0" borderId="27" xfId="1" applyFont="1" applyFill="1" applyBorder="1" applyAlignment="1">
      <alignment horizontal="center" vertical="center"/>
    </xf>
    <xf numFmtId="0" fontId="2" fillId="0" borderId="1" xfId="1" applyFont="1" applyBorder="1" applyAlignment="1">
      <alignment vertical="center"/>
    </xf>
    <xf numFmtId="0" fontId="2" fillId="0" borderId="2" xfId="1" applyFont="1" applyFill="1" applyBorder="1" applyAlignment="1">
      <alignment vertical="center"/>
    </xf>
    <xf numFmtId="0" fontId="2" fillId="0" borderId="5" xfId="1" applyFont="1" applyFill="1" applyBorder="1" applyAlignment="1">
      <alignment horizontal="left" vertical="center"/>
    </xf>
    <xf numFmtId="2" fontId="2" fillId="0" borderId="66" xfId="1" applyNumberFormat="1" applyFont="1" applyBorder="1" applyAlignment="1">
      <alignment vertical="center"/>
    </xf>
    <xf numFmtId="2" fontId="2" fillId="0" borderId="0" xfId="1" applyNumberFormat="1" applyFont="1" applyAlignment="1">
      <alignment vertical="center"/>
    </xf>
    <xf numFmtId="0" fontId="2" fillId="0" borderId="0" xfId="1" applyFont="1" applyBorder="1" applyAlignment="1">
      <alignment horizontal="right" vertical="center"/>
    </xf>
    <xf numFmtId="2" fontId="9" fillId="0" borderId="0" xfId="1" applyNumberFormat="1" applyFont="1" applyBorder="1" applyAlignment="1">
      <alignment vertical="center"/>
    </xf>
    <xf numFmtId="0" fontId="2" fillId="0" borderId="0" xfId="1" applyFont="1" applyFill="1" applyBorder="1" applyAlignment="1">
      <alignment vertical="center"/>
    </xf>
    <xf numFmtId="0" fontId="2" fillId="0" borderId="5" xfId="1" applyBorder="1" applyAlignment="1">
      <alignment vertical="center"/>
    </xf>
    <xf numFmtId="2" fontId="9" fillId="0" borderId="0" xfId="1" applyNumberFormat="1" applyFont="1" applyBorder="1" applyAlignment="1">
      <alignment horizontal="center" vertical="center"/>
    </xf>
    <xf numFmtId="0" fontId="2" fillId="0" borderId="8" xfId="1" applyFont="1" applyBorder="1" applyAlignment="1">
      <alignment vertical="center"/>
    </xf>
    <xf numFmtId="0" fontId="2" fillId="0" borderId="98" xfId="1" applyFont="1" applyBorder="1" applyAlignment="1">
      <alignment horizontal="center" vertical="center"/>
    </xf>
    <xf numFmtId="0" fontId="2" fillId="0" borderId="0" xfId="1" applyFill="1" applyAlignment="1">
      <alignment horizontal="center" vertical="center"/>
    </xf>
    <xf numFmtId="0" fontId="2" fillId="0" borderId="0" xfId="1" applyFill="1" applyAlignment="1">
      <alignment horizontal="left" vertical="center"/>
    </xf>
    <xf numFmtId="2" fontId="2" fillId="0" borderId="33" xfId="1" applyNumberFormat="1" applyFont="1" applyBorder="1" applyAlignment="1">
      <alignment horizontal="center" vertical="center"/>
    </xf>
    <xf numFmtId="2" fontId="2" fillId="0" borderId="18" xfId="1" applyNumberFormat="1" applyFont="1" applyBorder="1" applyAlignment="1">
      <alignment horizontal="center" vertical="center"/>
    </xf>
    <xf numFmtId="2" fontId="2" fillId="0" borderId="29" xfId="1" applyNumberFormat="1" applyFont="1" applyBorder="1" applyAlignment="1">
      <alignment horizontal="right" vertical="center"/>
    </xf>
    <xf numFmtId="0" fontId="28" fillId="0" borderId="54" xfId="1" applyFont="1" applyBorder="1" applyAlignment="1">
      <alignment vertical="center"/>
    </xf>
    <xf numFmtId="0" fontId="28" fillId="0" borderId="2" xfId="1" applyFont="1" applyBorder="1" applyAlignment="1">
      <alignment vertical="center"/>
    </xf>
    <xf numFmtId="0" fontId="28" fillId="0" borderId="55" xfId="1" applyFont="1" applyBorder="1" applyAlignment="1">
      <alignment vertical="center"/>
    </xf>
    <xf numFmtId="0" fontId="2" fillId="0" borderId="57" xfId="1" applyFill="1" applyBorder="1" applyAlignment="1">
      <alignment vertical="center"/>
    </xf>
    <xf numFmtId="0" fontId="2" fillId="0" borderId="0" xfId="1" applyBorder="1" applyAlignment="1">
      <alignment horizontal="left" vertical="center"/>
    </xf>
    <xf numFmtId="0" fontId="2" fillId="0" borderId="0" xfId="59" applyFont="1" applyBorder="1" applyAlignment="1">
      <alignment horizontal="left" vertical="center"/>
    </xf>
    <xf numFmtId="0" fontId="2" fillId="0" borderId="11" xfId="1" applyBorder="1" applyAlignment="1">
      <alignment horizontal="center"/>
    </xf>
    <xf numFmtId="0" fontId="39" fillId="0" borderId="18" xfId="1" applyFont="1" applyBorder="1" applyAlignment="1">
      <alignment vertical="center" wrapText="1"/>
    </xf>
    <xf numFmtId="0" fontId="39" fillId="0" borderId="0" xfId="1" applyFont="1" applyBorder="1" applyAlignment="1">
      <alignment vertical="center" wrapText="1"/>
    </xf>
    <xf numFmtId="0" fontId="39" fillId="0" borderId="0" xfId="1" applyFont="1" applyFill="1" applyBorder="1" applyAlignment="1">
      <alignment vertical="center" wrapText="1"/>
    </xf>
    <xf numFmtId="0" fontId="39" fillId="0" borderId="19" xfId="1" applyFont="1" applyFill="1" applyBorder="1" applyAlignment="1">
      <alignment vertical="center" wrapText="1"/>
    </xf>
    <xf numFmtId="2" fontId="2" fillId="21" borderId="29" xfId="1" applyNumberFormat="1" applyFont="1" applyFill="1" applyBorder="1" applyAlignment="1">
      <alignment vertical="center"/>
    </xf>
    <xf numFmtId="0" fontId="2" fillId="0" borderId="0" xfId="1" applyFill="1" applyBorder="1" applyAlignment="1">
      <alignment horizontal="center" vertical="center"/>
    </xf>
    <xf numFmtId="165" fontId="2" fillId="0" borderId="106" xfId="1" applyNumberFormat="1" applyFont="1" applyBorder="1" applyAlignment="1">
      <alignment vertical="center"/>
    </xf>
    <xf numFmtId="0" fontId="28" fillId="0" borderId="95" xfId="1" applyFont="1" applyBorder="1" applyAlignment="1">
      <alignment vertical="center"/>
    </xf>
    <xf numFmtId="0" fontId="2" fillId="0" borderId="0" xfId="59" applyFont="1" applyFill="1" applyAlignment="1">
      <alignment vertical="center"/>
    </xf>
    <xf numFmtId="1" fontId="2" fillId="26" borderId="14" xfId="1" applyNumberFormat="1" applyFill="1" applyBorder="1" applyAlignment="1">
      <alignment horizontal="center" vertical="center"/>
    </xf>
    <xf numFmtId="1" fontId="2" fillId="25" borderId="27" xfId="1" applyNumberFormat="1" applyFill="1" applyBorder="1" applyAlignment="1">
      <alignment horizontal="center" vertical="center"/>
    </xf>
    <xf numFmtId="1" fontId="2" fillId="24" borderId="27" xfId="1" applyNumberFormat="1" applyFill="1" applyBorder="1" applyAlignment="1">
      <alignment horizontal="center" vertical="center"/>
    </xf>
    <xf numFmtId="1" fontId="2" fillId="27" borderId="27" xfId="1" applyNumberFormat="1" applyFill="1" applyBorder="1" applyAlignment="1">
      <alignment horizontal="center" vertical="center"/>
    </xf>
    <xf numFmtId="1" fontId="2" fillId="27" borderId="102" xfId="1" applyNumberFormat="1" applyFill="1" applyBorder="1" applyAlignment="1">
      <alignment horizontal="center" vertical="center"/>
    </xf>
    <xf numFmtId="1" fontId="2" fillId="23" borderId="14" xfId="1" applyNumberFormat="1" applyFill="1" applyBorder="1" applyAlignment="1">
      <alignment horizontal="center" vertical="center"/>
    </xf>
    <xf numFmtId="1" fontId="2" fillId="28" borderId="14" xfId="1" applyNumberFormat="1" applyFill="1" applyBorder="1" applyAlignment="1">
      <alignment horizontal="center" vertical="center"/>
    </xf>
    <xf numFmtId="0" fontId="6" fillId="0" borderId="12" xfId="1" applyFont="1" applyBorder="1" applyAlignment="1">
      <alignment horizontal="center" vertical="center" wrapText="1"/>
    </xf>
    <xf numFmtId="1" fontId="2" fillId="28" borderId="108" xfId="1" applyNumberFormat="1" applyFill="1" applyBorder="1" applyAlignment="1">
      <alignment horizontal="center" vertical="center"/>
    </xf>
    <xf numFmtId="1" fontId="2" fillId="23" borderId="108" xfId="1" applyNumberFormat="1" applyFill="1" applyBorder="1" applyAlignment="1">
      <alignment horizontal="center" vertical="center"/>
    </xf>
    <xf numFmtId="0" fontId="2" fillId="0" borderId="57" xfId="1" applyFill="1" applyBorder="1" applyAlignment="1">
      <alignment vertical="center" wrapText="1"/>
    </xf>
    <xf numFmtId="0" fontId="2" fillId="0" borderId="0" xfId="59" applyFont="1" applyAlignment="1">
      <alignment vertical="center" wrapText="1"/>
    </xf>
    <xf numFmtId="0" fontId="2" fillId="0" borderId="18" xfId="1" applyBorder="1"/>
    <xf numFmtId="0" fontId="2" fillId="0" borderId="78" xfId="1" applyBorder="1"/>
    <xf numFmtId="0" fontId="2" fillId="0" borderId="111" xfId="1" applyFill="1" applyBorder="1" applyAlignment="1">
      <alignment horizontal="center" vertical="center"/>
    </xf>
    <xf numFmtId="0" fontId="2" fillId="0" borderId="0" xfId="59" applyFont="1" applyFill="1" applyBorder="1" applyAlignment="1">
      <alignment horizontal="center" vertical="center"/>
    </xf>
    <xf numFmtId="0" fontId="6" fillId="21" borderId="7" xfId="59" applyFont="1" applyFill="1" applyBorder="1" applyAlignment="1">
      <alignment horizontal="center" vertical="center"/>
    </xf>
    <xf numFmtId="2" fontId="2" fillId="0" borderId="110" xfId="1" applyNumberFormat="1" applyBorder="1" applyAlignment="1">
      <alignment vertical="center"/>
    </xf>
    <xf numFmtId="2" fontId="2" fillId="0" borderId="19" xfId="1" applyNumberFormat="1" applyBorder="1" applyAlignment="1">
      <alignment vertical="center"/>
    </xf>
    <xf numFmtId="2" fontId="2" fillId="0" borderId="19" xfId="1" applyNumberFormat="1" applyFont="1" applyBorder="1" applyAlignment="1">
      <alignment vertical="center"/>
    </xf>
    <xf numFmtId="2" fontId="2" fillId="0" borderId="62" xfId="1" applyNumberFormat="1" applyFont="1" applyBorder="1" applyAlignment="1">
      <alignment vertical="center"/>
    </xf>
    <xf numFmtId="0" fontId="6" fillId="0" borderId="71" xfId="1" applyFont="1" applyBorder="1" applyAlignment="1">
      <alignment vertical="center" wrapText="1"/>
    </xf>
    <xf numFmtId="0" fontId="2" fillId="0" borderId="116" xfId="1" applyBorder="1"/>
    <xf numFmtId="0" fontId="2" fillId="0" borderId="70" xfId="1" applyBorder="1"/>
    <xf numFmtId="0" fontId="6" fillId="0" borderId="113" xfId="1" applyFont="1" applyBorder="1" applyAlignment="1">
      <alignment vertical="center" textRotation="255"/>
    </xf>
    <xf numFmtId="0" fontId="6" fillId="0" borderId="117" xfId="1" applyFont="1" applyBorder="1" applyAlignment="1">
      <alignment vertical="center" wrapText="1"/>
    </xf>
    <xf numFmtId="0" fontId="6" fillId="0" borderId="65" xfId="1" applyFont="1" applyBorder="1" applyAlignment="1">
      <alignment vertical="center" textRotation="255"/>
    </xf>
    <xf numFmtId="0" fontId="30" fillId="0" borderId="56" xfId="1" applyFont="1" applyBorder="1" applyAlignment="1">
      <alignment vertical="center"/>
    </xf>
    <xf numFmtId="0" fontId="2" fillId="0" borderId="57" xfId="1" applyBorder="1"/>
    <xf numFmtId="0" fontId="2" fillId="0" borderId="114" xfId="1" applyBorder="1"/>
    <xf numFmtId="0" fontId="2" fillId="0" borderId="120" xfId="1" applyBorder="1" applyAlignment="1">
      <alignment horizontal="left"/>
    </xf>
    <xf numFmtId="0" fontId="2" fillId="0" borderId="112" xfId="1" applyBorder="1"/>
    <xf numFmtId="0" fontId="2" fillId="0" borderId="115" xfId="1" applyBorder="1"/>
    <xf numFmtId="0" fontId="2" fillId="0" borderId="33" xfId="1" applyFont="1" applyBorder="1" applyAlignment="1">
      <alignment horizontal="center"/>
    </xf>
    <xf numFmtId="0" fontId="2" fillId="26" borderId="1" xfId="1" applyFont="1" applyFill="1" applyBorder="1" applyAlignment="1">
      <alignment vertical="center" wrapText="1"/>
    </xf>
    <xf numFmtId="0" fontId="2" fillId="26" borderId="5" xfId="1" applyFont="1" applyFill="1" applyBorder="1" applyAlignment="1">
      <alignment vertical="center" wrapText="1"/>
    </xf>
    <xf numFmtId="0" fontId="2" fillId="26" borderId="3" xfId="1" applyFont="1" applyFill="1" applyBorder="1" applyAlignment="1">
      <alignment vertical="center" wrapText="1"/>
    </xf>
    <xf numFmtId="0" fontId="2" fillId="26" borderId="6" xfId="1" applyFont="1" applyFill="1" applyBorder="1" applyAlignment="1">
      <alignment vertical="center" wrapText="1"/>
    </xf>
    <xf numFmtId="2" fontId="2" fillId="0" borderId="98" xfId="59" applyNumberFormat="1" applyFont="1" applyBorder="1" applyAlignment="1">
      <alignment vertical="center"/>
    </xf>
    <xf numFmtId="0" fontId="6" fillId="0" borderId="0" xfId="1" applyFont="1" applyBorder="1" applyAlignment="1">
      <alignment horizontal="center" vertical="center"/>
    </xf>
    <xf numFmtId="0" fontId="2" fillId="0" borderId="60" xfId="1" applyBorder="1" applyAlignment="1">
      <alignment vertical="center"/>
    </xf>
    <xf numFmtId="0" fontId="5" fillId="2"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Alignment="1">
      <alignment vertical="center"/>
    </xf>
    <xf numFmtId="0" fontId="6" fillId="0" borderId="0" xfId="58" applyFont="1" applyFill="1" applyBorder="1" applyAlignment="1">
      <alignment horizontal="right" vertical="center"/>
    </xf>
    <xf numFmtId="0" fontId="2" fillId="0" borderId="30" xfId="58" applyFill="1" applyBorder="1" applyAlignment="1">
      <alignment horizontal="right" vertical="center"/>
    </xf>
    <xf numFmtId="0" fontId="2" fillId="0" borderId="11" xfId="58" applyFill="1" applyBorder="1" applyAlignment="1">
      <alignment horizontal="right" vertical="center"/>
    </xf>
    <xf numFmtId="0" fontId="2" fillId="5" borderId="14" xfId="1" applyFill="1" applyBorder="1" applyAlignment="1">
      <alignment horizontal="left" vertical="center"/>
    </xf>
    <xf numFmtId="0" fontId="2" fillId="0" borderId="22" xfId="58" applyFill="1" applyBorder="1" applyAlignment="1">
      <alignment horizontal="right" vertical="center"/>
    </xf>
    <xf numFmtId="0" fontId="2" fillId="0" borderId="7" xfId="58" applyFill="1" applyBorder="1" applyAlignment="1">
      <alignment horizontal="right" vertical="center"/>
    </xf>
    <xf numFmtId="0" fontId="2" fillId="0" borderId="23" xfId="58" applyFill="1" applyBorder="1" applyAlignment="1">
      <alignment horizontal="right" vertical="center"/>
    </xf>
    <xf numFmtId="0" fontId="2" fillId="0" borderId="24" xfId="58" applyFill="1" applyBorder="1" applyAlignment="1">
      <alignment horizontal="right" vertical="center"/>
    </xf>
    <xf numFmtId="0" fontId="6" fillId="0" borderId="0" xfId="1" applyFont="1" applyFill="1" applyBorder="1" applyAlignment="1">
      <alignment horizontal="left" vertical="center"/>
    </xf>
    <xf numFmtId="0" fontId="2" fillId="0" borderId="77" xfId="1" applyBorder="1" applyAlignment="1">
      <alignment horizontal="right" vertical="center"/>
    </xf>
    <xf numFmtId="165" fontId="6" fillId="4" borderId="60" xfId="1" applyNumberFormat="1" applyFont="1" applyFill="1" applyBorder="1" applyAlignment="1">
      <alignment vertical="center"/>
    </xf>
    <xf numFmtId="0" fontId="2" fillId="0" borderId="60" xfId="1" applyFont="1" applyBorder="1" applyAlignment="1">
      <alignment vertical="center"/>
    </xf>
    <xf numFmtId="164" fontId="2" fillId="4" borderId="60" xfId="1" applyNumberFormat="1" applyFont="1" applyFill="1" applyBorder="1" applyAlignment="1">
      <alignment vertical="center"/>
    </xf>
    <xf numFmtId="0" fontId="2" fillId="0" borderId="60" xfId="1" applyFill="1" applyBorder="1" applyAlignment="1">
      <alignment vertical="center"/>
    </xf>
    <xf numFmtId="0" fontId="2" fillId="0" borderId="85" xfId="1" applyFont="1" applyBorder="1" applyAlignment="1">
      <alignment vertical="center"/>
    </xf>
    <xf numFmtId="0" fontId="5" fillId="0" borderId="0" xfId="1" applyFont="1" applyFill="1" applyBorder="1" applyAlignment="1">
      <alignment horizontal="right" vertical="center"/>
    </xf>
    <xf numFmtId="2" fontId="2" fillId="5" borderId="98" xfId="1" applyNumberFormat="1" applyFont="1" applyFill="1" applyBorder="1" applyAlignment="1">
      <alignment horizontal="center" vertical="center"/>
    </xf>
    <xf numFmtId="0" fontId="5" fillId="0" borderId="0" xfId="1" applyFont="1" applyAlignment="1">
      <alignment horizontal="left" vertical="center"/>
    </xf>
    <xf numFmtId="164" fontId="2" fillId="21" borderId="57" xfId="1" applyNumberForma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90" xfId="1" applyNumberFormat="1" applyFont="1" applyFill="1" applyBorder="1" applyAlignment="1">
      <alignment horizontal="center" vertical="center"/>
    </xf>
    <xf numFmtId="164" fontId="2" fillId="0" borderId="32" xfId="1" applyNumberFormat="1" applyFont="1" applyFill="1" applyBorder="1" applyAlignment="1">
      <alignment horizontal="center" vertical="center"/>
    </xf>
    <xf numFmtId="164" fontId="2" fillId="0" borderId="27" xfId="1" applyNumberFormat="1" applyFont="1" applyFill="1" applyBorder="1" applyAlignment="1">
      <alignment horizontal="center" vertical="center"/>
    </xf>
    <xf numFmtId="164" fontId="2" fillId="0" borderId="96" xfId="1" applyNumberFormat="1" applyFont="1" applyFill="1" applyBorder="1" applyAlignment="1">
      <alignment horizontal="center" vertical="center"/>
    </xf>
    <xf numFmtId="164" fontId="2" fillId="0" borderId="84" xfId="1" applyNumberFormat="1" applyFont="1" applyFill="1" applyBorder="1" applyAlignment="1">
      <alignment horizontal="center" vertical="center"/>
    </xf>
    <xf numFmtId="0" fontId="2" fillId="21" borderId="7" xfId="1" applyFill="1" applyBorder="1" applyAlignment="1">
      <alignment horizontal="center" vertical="center"/>
    </xf>
    <xf numFmtId="0" fontId="6" fillId="0" borderId="56" xfId="1" applyFont="1" applyBorder="1" applyAlignment="1">
      <alignment vertical="center"/>
    </xf>
    <xf numFmtId="2" fontId="2" fillId="3" borderId="7" xfId="1" applyNumberFormat="1" applyFill="1" applyBorder="1" applyAlignment="1">
      <alignment vertical="center"/>
    </xf>
    <xf numFmtId="2" fontId="2" fillId="4" borderId="7" xfId="1" applyNumberFormat="1" applyFill="1" applyBorder="1" applyAlignment="1">
      <alignment vertical="center"/>
    </xf>
    <xf numFmtId="165" fontId="2" fillId="4" borderId="11" xfId="1" applyNumberFormat="1" applyFill="1" applyBorder="1" applyAlignment="1">
      <alignment vertical="center"/>
    </xf>
    <xf numFmtId="2" fontId="2" fillId="0" borderId="0" xfId="1" applyNumberFormat="1" applyFill="1" applyBorder="1" applyAlignment="1">
      <alignment vertical="center"/>
    </xf>
    <xf numFmtId="0" fontId="2" fillId="0" borderId="56" xfId="1" applyBorder="1" applyAlignment="1">
      <alignment vertical="center"/>
    </xf>
    <xf numFmtId="0" fontId="2" fillId="0" borderId="61" xfId="1" applyFill="1" applyBorder="1" applyAlignment="1">
      <alignment vertical="center"/>
    </xf>
    <xf numFmtId="0" fontId="2" fillId="0" borderId="131" xfId="1" applyFill="1" applyBorder="1" applyAlignment="1">
      <alignment horizontal="right" vertical="center"/>
    </xf>
    <xf numFmtId="0" fontId="2" fillId="0" borderId="132" xfId="1" applyFill="1" applyBorder="1" applyAlignment="1">
      <alignment vertical="center"/>
    </xf>
    <xf numFmtId="0" fontId="2" fillId="0" borderId="132" xfId="1" applyFill="1" applyBorder="1" applyAlignment="1">
      <alignment horizontal="right" vertical="center"/>
    </xf>
    <xf numFmtId="0" fontId="2" fillId="0" borderId="132" xfId="1" applyFill="1" applyBorder="1" applyAlignment="1">
      <alignment horizontal="center" vertical="center"/>
    </xf>
    <xf numFmtId="0" fontId="2" fillId="0" borderId="133" xfId="1" applyFill="1" applyBorder="1" applyAlignment="1">
      <alignment horizontal="center" vertical="center"/>
    </xf>
    <xf numFmtId="2" fontId="2" fillId="21" borderId="7" xfId="59" applyNumberFormat="1" applyFont="1" applyFill="1" applyBorder="1" applyAlignment="1">
      <alignment horizontal="right" vertical="center" wrapText="1"/>
    </xf>
    <xf numFmtId="164" fontId="2" fillId="3" borderId="85" xfId="1" applyNumberFormat="1" applyFont="1" applyFill="1" applyBorder="1" applyAlignment="1">
      <alignment horizontal="center" vertical="center"/>
    </xf>
    <xf numFmtId="164" fontId="2" fillId="3" borderId="16" xfId="1" applyNumberFormat="1" applyFont="1" applyFill="1" applyBorder="1" applyAlignment="1">
      <alignment horizontal="center" vertical="center"/>
    </xf>
    <xf numFmtId="164" fontId="2" fillId="3" borderId="7" xfId="1" applyNumberFormat="1" applyFill="1" applyBorder="1" applyAlignment="1">
      <alignment vertical="center"/>
    </xf>
    <xf numFmtId="2" fontId="2" fillId="0" borderId="0" xfId="59" applyNumberFormat="1" applyFont="1" applyFill="1" applyBorder="1" applyAlignment="1">
      <alignment horizontal="right" vertical="center"/>
    </xf>
    <xf numFmtId="2" fontId="0" fillId="0" borderId="88" xfId="0" applyNumberFormat="1" applyBorder="1" applyAlignment="1">
      <alignment horizontal="right" vertical="center"/>
    </xf>
    <xf numFmtId="2" fontId="0" fillId="0" borderId="89" xfId="0" applyNumberFormat="1" applyBorder="1" applyAlignment="1">
      <alignment horizontal="right" vertical="center"/>
    </xf>
    <xf numFmtId="2" fontId="0" fillId="0" borderId="32" xfId="0" applyNumberFormat="1" applyBorder="1" applyAlignment="1">
      <alignment horizontal="center" vertical="center"/>
    </xf>
    <xf numFmtId="2" fontId="0" fillId="0" borderId="27" xfId="0" applyNumberFormat="1" applyBorder="1" applyAlignment="1">
      <alignment horizontal="center" vertical="center"/>
    </xf>
    <xf numFmtId="2" fontId="0" fillId="0" borderId="104" xfId="0" applyNumberFormat="1" applyBorder="1" applyAlignment="1">
      <alignment horizontal="right" vertical="center"/>
    </xf>
    <xf numFmtId="2" fontId="0" fillId="0" borderId="91" xfId="0" applyNumberFormat="1" applyBorder="1" applyAlignment="1">
      <alignment horizontal="right" vertical="center"/>
    </xf>
    <xf numFmtId="2" fontId="0" fillId="0" borderId="105" xfId="0" applyNumberFormat="1" applyBorder="1" applyAlignment="1">
      <alignment horizontal="right" vertical="center"/>
    </xf>
    <xf numFmtId="0" fontId="0" fillId="0" borderId="0" xfId="0" applyAlignment="1">
      <alignment vertical="center" wrapText="1"/>
    </xf>
    <xf numFmtId="2" fontId="2" fillId="0" borderId="15" xfId="59" applyNumberFormat="1" applyFont="1" applyFill="1" applyBorder="1" applyAlignment="1">
      <alignment horizontal="center" vertical="center"/>
    </xf>
    <xf numFmtId="2" fontId="2" fillId="0" borderId="75" xfId="59" applyNumberFormat="1" applyFont="1" applyFill="1" applyBorder="1" applyAlignment="1">
      <alignment horizontal="center" vertical="center"/>
    </xf>
    <xf numFmtId="2" fontId="2" fillId="0" borderId="16" xfId="59"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14" xfId="0" applyNumberFormat="1" applyBorder="1" applyAlignment="1">
      <alignment horizontal="center" vertical="center"/>
    </xf>
    <xf numFmtId="1" fontId="0" fillId="0" borderId="17" xfId="0" applyNumberFormat="1" applyBorder="1" applyAlignment="1">
      <alignment horizontal="right" vertical="center"/>
    </xf>
    <xf numFmtId="1" fontId="0" fillId="0" borderId="22" xfId="0" applyNumberFormat="1" applyBorder="1" applyAlignment="1">
      <alignment horizontal="right" vertical="center"/>
    </xf>
    <xf numFmtId="1" fontId="0" fillId="0" borderId="23" xfId="0" applyNumberFormat="1" applyBorder="1" applyAlignment="1">
      <alignment horizontal="right" vertical="center"/>
    </xf>
    <xf numFmtId="0" fontId="6" fillId="0" borderId="0" xfId="59" applyFont="1" applyFill="1" applyBorder="1" applyAlignment="1">
      <alignment horizontal="center" vertical="center"/>
    </xf>
    <xf numFmtId="164" fontId="6" fillId="21" borderId="7" xfId="59" applyNumberFormat="1" applyFont="1" applyFill="1" applyBorder="1" applyAlignment="1">
      <alignment horizontal="center" vertical="center"/>
    </xf>
    <xf numFmtId="2" fontId="2" fillId="0" borderId="23" xfId="0" applyNumberFormat="1" applyFont="1" applyFill="1" applyBorder="1" applyAlignment="1">
      <alignment horizontal="center" vertical="center"/>
    </xf>
    <xf numFmtId="2" fontId="2" fillId="0" borderId="50" xfId="0" applyNumberFormat="1" applyFont="1" applyFill="1" applyBorder="1" applyAlignment="1">
      <alignment horizontal="center" vertical="center"/>
    </xf>
    <xf numFmtId="2" fontId="2" fillId="0" borderId="130" xfId="0" applyNumberFormat="1" applyFont="1" applyFill="1" applyBorder="1" applyAlignment="1">
      <alignment horizontal="center" vertical="center"/>
    </xf>
    <xf numFmtId="0" fontId="2" fillId="0" borderId="46" xfId="0" applyFont="1" applyBorder="1" applyAlignment="1">
      <alignment horizontal="center"/>
    </xf>
    <xf numFmtId="2" fontId="2" fillId="0" borderId="22" xfId="0"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6" fillId="0" borderId="15" xfId="59" applyFont="1" applyBorder="1" applyAlignment="1">
      <alignment horizontal="center" vertical="center"/>
    </xf>
    <xf numFmtId="0" fontId="2" fillId="0" borderId="0" xfId="59" applyFont="1" applyBorder="1" applyAlignment="1">
      <alignment vertical="center" wrapText="1"/>
    </xf>
    <xf numFmtId="0" fontId="2" fillId="0" borderId="0" xfId="59" applyFont="1" applyFill="1" applyAlignment="1">
      <alignment vertical="center" wrapText="1"/>
    </xf>
    <xf numFmtId="2" fontId="2" fillId="29" borderId="79" xfId="59" applyNumberFormat="1" applyFont="1" applyFill="1" applyBorder="1" applyAlignment="1">
      <alignment horizontal="center" vertical="center"/>
    </xf>
    <xf numFmtId="2" fontId="2" fillId="29" borderId="45" xfId="59" applyNumberFormat="1" applyFont="1" applyFill="1" applyBorder="1" applyAlignment="1">
      <alignment horizontal="center" vertical="center"/>
    </xf>
    <xf numFmtId="2" fontId="2" fillId="29" borderId="129" xfId="59" applyNumberFormat="1" applyFont="1" applyFill="1" applyBorder="1" applyAlignment="1">
      <alignment horizontal="center" vertical="center"/>
    </xf>
    <xf numFmtId="2" fontId="2" fillId="26" borderId="30" xfId="0" applyNumberFormat="1" applyFont="1" applyFill="1" applyBorder="1" applyAlignment="1">
      <alignment horizontal="center" vertical="center"/>
    </xf>
    <xf numFmtId="2" fontId="2" fillId="25" borderId="96" xfId="0" applyNumberFormat="1" applyFont="1" applyFill="1" applyBorder="1" applyAlignment="1">
      <alignment horizontal="center" vertical="center"/>
    </xf>
    <xf numFmtId="2" fontId="2" fillId="25" borderId="32" xfId="0" applyNumberFormat="1" applyFont="1" applyFill="1" applyBorder="1" applyAlignment="1">
      <alignment horizontal="center" vertical="center"/>
    </xf>
    <xf numFmtId="2" fontId="2" fillId="28" borderId="11" xfId="0" applyNumberFormat="1" applyFont="1" applyFill="1" applyBorder="1" applyAlignment="1">
      <alignment horizontal="center" vertical="center"/>
    </xf>
    <xf numFmtId="2" fontId="2" fillId="27" borderId="83" xfId="0" applyNumberFormat="1" applyFont="1" applyFill="1" applyBorder="1" applyAlignment="1">
      <alignment horizontal="center" vertical="center"/>
    </xf>
    <xf numFmtId="2" fontId="2" fillId="27" borderId="24" xfId="0" applyNumberFormat="1" applyFont="1" applyFill="1" applyBorder="1" applyAlignment="1">
      <alignment horizontal="center" vertical="center"/>
    </xf>
    <xf numFmtId="2" fontId="2" fillId="24" borderId="83" xfId="0" applyNumberFormat="1" applyFont="1" applyFill="1" applyBorder="1" applyAlignment="1">
      <alignment horizontal="center" vertical="center"/>
    </xf>
    <xf numFmtId="2" fontId="2" fillId="24" borderId="24" xfId="0" applyNumberFormat="1" applyFont="1" applyFill="1" applyBorder="1" applyAlignment="1">
      <alignment horizontal="center" vertical="center"/>
    </xf>
    <xf numFmtId="2" fontId="2" fillId="23" borderId="11" xfId="0" applyNumberFormat="1" applyFont="1" applyFill="1" applyBorder="1" applyAlignment="1">
      <alignment horizontal="center" vertical="center"/>
    </xf>
    <xf numFmtId="2" fontId="2" fillId="23" borderId="14" xfId="0" applyNumberFormat="1" applyFont="1" applyFill="1" applyBorder="1" applyAlignment="1">
      <alignment horizontal="center" vertical="center"/>
    </xf>
    <xf numFmtId="2" fontId="2" fillId="27" borderId="27" xfId="0" applyNumberFormat="1" applyFont="1" applyFill="1" applyBorder="1" applyAlignment="1">
      <alignment horizontal="center" vertical="center"/>
    </xf>
    <xf numFmtId="2" fontId="2" fillId="27" borderId="84" xfId="0" applyNumberFormat="1" applyFont="1" applyFill="1" applyBorder="1" applyAlignment="1">
      <alignment horizontal="center" vertical="center"/>
    </xf>
    <xf numFmtId="0" fontId="2" fillId="0" borderId="78" xfId="1" applyBorder="1" applyAlignment="1"/>
    <xf numFmtId="0" fontId="2" fillId="0" borderId="4" xfId="1" applyBorder="1" applyAlignment="1"/>
    <xf numFmtId="0" fontId="2" fillId="0" borderId="18" xfId="1" applyBorder="1" applyAlignment="1"/>
    <xf numFmtId="0" fontId="2" fillId="0" borderId="0" xfId="1" applyBorder="1" applyAlignment="1"/>
    <xf numFmtId="2" fontId="2" fillId="0" borderId="128" xfId="1" applyNumberFormat="1" applyBorder="1" applyAlignment="1"/>
    <xf numFmtId="0" fontId="2" fillId="0" borderId="70" xfId="1" applyBorder="1" applyAlignment="1"/>
    <xf numFmtId="1" fontId="2" fillId="31" borderId="108" xfId="1" applyNumberFormat="1" applyFill="1" applyBorder="1" applyAlignment="1">
      <alignment horizontal="center" vertical="center"/>
    </xf>
    <xf numFmtId="1" fontId="2" fillId="31" borderId="14" xfId="1" applyNumberFormat="1" applyFill="1" applyBorder="1" applyAlignment="1">
      <alignment horizontal="center" vertical="center"/>
    </xf>
    <xf numFmtId="2" fontId="2" fillId="31" borderId="11" xfId="0" applyNumberFormat="1" applyFont="1" applyFill="1" applyBorder="1" applyAlignment="1">
      <alignment horizontal="center" vertical="center"/>
    </xf>
    <xf numFmtId="1" fontId="2" fillId="30" borderId="27" xfId="1" applyNumberFormat="1" applyFill="1" applyBorder="1" applyAlignment="1">
      <alignment horizontal="center" vertical="center"/>
    </xf>
    <xf numFmtId="2" fontId="2" fillId="30" borderId="83" xfId="0" applyNumberFormat="1" applyFont="1" applyFill="1" applyBorder="1" applyAlignment="1">
      <alignment horizontal="center" vertical="center"/>
    </xf>
    <xf numFmtId="2" fontId="2" fillId="30" borderId="24" xfId="0" applyNumberFormat="1" applyFont="1" applyFill="1" applyBorder="1" applyAlignment="1">
      <alignment horizontal="center" vertical="center"/>
    </xf>
    <xf numFmtId="0" fontId="2" fillId="0" borderId="83" xfId="1" applyBorder="1"/>
    <xf numFmtId="0" fontId="2" fillId="0" borderId="33" xfId="1" applyBorder="1"/>
    <xf numFmtId="164" fontId="2" fillId="0" borderId="33" xfId="1" applyNumberFormat="1" applyFill="1" applyBorder="1" applyAlignment="1">
      <alignment horizontal="center" vertical="center"/>
    </xf>
    <xf numFmtId="164" fontId="2" fillId="0" borderId="81" xfId="1" applyNumberFormat="1" applyFill="1" applyBorder="1" applyAlignment="1">
      <alignment horizontal="center" vertical="center"/>
    </xf>
    <xf numFmtId="2" fontId="2" fillId="0" borderId="134" xfId="1" applyNumberFormat="1" applyBorder="1" applyAlignment="1">
      <alignment vertical="center"/>
    </xf>
    <xf numFmtId="2" fontId="2" fillId="0" borderId="70" xfId="1" applyNumberFormat="1" applyBorder="1" applyAlignment="1"/>
    <xf numFmtId="164" fontId="34" fillId="0" borderId="66" xfId="1" applyNumberFormat="1" applyFont="1" applyFill="1" applyBorder="1" applyAlignment="1">
      <alignment vertical="center" wrapText="1"/>
    </xf>
    <xf numFmtId="164" fontId="34" fillId="0" borderId="0" xfId="1" applyNumberFormat="1" applyFont="1" applyFill="1" applyBorder="1" applyAlignment="1">
      <alignment vertical="center" wrapText="1"/>
    </xf>
    <xf numFmtId="0" fontId="34" fillId="0" borderId="4" xfId="0" applyFont="1" applyFill="1" applyBorder="1" applyAlignment="1">
      <alignment vertical="center" wrapText="1"/>
    </xf>
    <xf numFmtId="164" fontId="34" fillId="0" borderId="0" xfId="0" applyNumberFormat="1" applyFont="1" applyFill="1" applyBorder="1" applyAlignment="1">
      <alignment vertical="center" wrapText="1"/>
    </xf>
    <xf numFmtId="164" fontId="2" fillId="0" borderId="128" xfId="1" applyNumberFormat="1" applyFill="1" applyBorder="1" applyAlignment="1">
      <alignment horizontal="center" vertical="center"/>
    </xf>
    <xf numFmtId="164" fontId="2" fillId="0" borderId="116" xfId="1" applyNumberFormat="1" applyFill="1" applyBorder="1" applyAlignment="1">
      <alignment horizontal="center" vertical="center"/>
    </xf>
    <xf numFmtId="164" fontId="2" fillId="0" borderId="18" xfId="1" applyNumberFormat="1" applyFill="1" applyBorder="1" applyAlignment="1">
      <alignment horizontal="center" vertical="center"/>
    </xf>
    <xf numFmtId="164" fontId="2" fillId="0" borderId="19" xfId="1" applyNumberFormat="1" applyFill="1" applyBorder="1" applyAlignment="1">
      <alignment horizontal="center" vertical="center"/>
    </xf>
    <xf numFmtId="164" fontId="2" fillId="0" borderId="78" xfId="1" applyNumberFormat="1" applyFill="1" applyBorder="1" applyAlignment="1">
      <alignment horizontal="center" vertical="center"/>
    </xf>
    <xf numFmtId="164" fontId="2" fillId="0" borderId="62" xfId="1" applyNumberFormat="1" applyFill="1" applyBorder="1" applyAlignment="1">
      <alignment horizontal="center" vertical="center"/>
    </xf>
    <xf numFmtId="0" fontId="2" fillId="31" borderId="5" xfId="1" applyFont="1" applyFill="1" applyBorder="1" applyAlignment="1">
      <alignment vertical="center" wrapText="1"/>
    </xf>
    <xf numFmtId="0" fontId="2" fillId="31" borderId="6" xfId="1" applyFont="1" applyFill="1" applyBorder="1" applyAlignment="1">
      <alignment vertical="center" wrapText="1"/>
    </xf>
    <xf numFmtId="0" fontId="2" fillId="23" borderId="98" xfId="1" applyFont="1" applyFill="1" applyBorder="1" applyAlignment="1">
      <alignment vertical="center" wrapText="1"/>
    </xf>
    <xf numFmtId="2" fontId="0" fillId="0" borderId="31" xfId="0" applyNumberFormat="1" applyBorder="1" applyAlignment="1">
      <alignment horizontal="right" vertical="center"/>
    </xf>
    <xf numFmtId="0" fontId="2" fillId="4" borderId="7" xfId="1" applyNumberFormat="1" applyFill="1" applyBorder="1" applyAlignment="1">
      <alignment horizontal="center" vertical="center"/>
    </xf>
    <xf numFmtId="0" fontId="2" fillId="0" borderId="5" xfId="1" applyFill="1" applyBorder="1" applyAlignment="1">
      <alignment vertical="center"/>
    </xf>
    <xf numFmtId="0" fontId="2" fillId="0" borderId="5" xfId="1" applyFill="1" applyBorder="1" applyAlignment="1">
      <alignment vertical="center" wrapText="1"/>
    </xf>
    <xf numFmtId="0" fontId="2" fillId="0" borderId="106" xfId="1" applyFont="1" applyBorder="1" applyAlignment="1">
      <alignment vertical="center"/>
    </xf>
    <xf numFmtId="0" fontId="7" fillId="0" borderId="5" xfId="1" applyFont="1" applyBorder="1" applyAlignment="1">
      <alignment vertical="center"/>
    </xf>
    <xf numFmtId="0" fontId="2" fillId="0" borderId="64" xfId="1" applyFont="1" applyBorder="1" applyAlignment="1">
      <alignment vertical="center"/>
    </xf>
    <xf numFmtId="0" fontId="2" fillId="0" borderId="4" xfId="1" applyFont="1" applyBorder="1" applyAlignment="1">
      <alignment vertical="center"/>
    </xf>
    <xf numFmtId="0" fontId="2" fillId="0" borderId="4" xfId="1" applyFont="1" applyBorder="1" applyAlignment="1">
      <alignment horizontal="center" vertical="center"/>
    </xf>
    <xf numFmtId="0" fontId="2" fillId="0" borderId="63" xfId="1" applyFont="1" applyBorder="1" applyAlignment="1">
      <alignment vertical="center"/>
    </xf>
    <xf numFmtId="0" fontId="2" fillId="23" borderId="8" xfId="1" applyFont="1" applyFill="1" applyBorder="1" applyAlignment="1">
      <alignment vertical="center" wrapText="1"/>
    </xf>
    <xf numFmtId="0" fontId="2" fillId="23" borderId="106" xfId="1" applyFont="1" applyFill="1" applyBorder="1" applyAlignment="1">
      <alignment vertical="center" wrapText="1"/>
    </xf>
    <xf numFmtId="2" fontId="2" fillId="0" borderId="128" xfId="1" applyNumberFormat="1" applyBorder="1" applyAlignment="1">
      <alignment horizontal="center"/>
    </xf>
    <xf numFmtId="2" fontId="2" fillId="0" borderId="70" xfId="1" applyNumberFormat="1" applyBorder="1" applyAlignment="1">
      <alignment horizontal="center"/>
    </xf>
    <xf numFmtId="0" fontId="2" fillId="0" borderId="18" xfId="1" applyBorder="1" applyAlignment="1">
      <alignment horizontal="center"/>
    </xf>
    <xf numFmtId="0" fontId="2" fillId="0" borderId="0" xfId="1" applyBorder="1" applyAlignment="1">
      <alignment horizontal="center"/>
    </xf>
    <xf numFmtId="0" fontId="42" fillId="0" borderId="78" xfId="1" applyFont="1" applyBorder="1" applyAlignment="1">
      <alignment horizontal="center"/>
    </xf>
    <xf numFmtId="0" fontId="42" fillId="0" borderId="4" xfId="1" applyFont="1" applyBorder="1" applyAlignment="1">
      <alignment horizontal="center"/>
    </xf>
    <xf numFmtId="0" fontId="42" fillId="0" borderId="62" xfId="1" applyFont="1" applyBorder="1" applyAlignment="1">
      <alignment horizontal="center"/>
    </xf>
    <xf numFmtId="0" fontId="2" fillId="0" borderId="19" xfId="1" applyBorder="1" applyAlignment="1">
      <alignment horizontal="center"/>
    </xf>
    <xf numFmtId="2" fontId="2" fillId="0" borderId="116" xfId="1" applyNumberFormat="1" applyBorder="1" applyAlignment="1">
      <alignment horizontal="center"/>
    </xf>
    <xf numFmtId="0" fontId="2" fillId="0" borderId="106" xfId="0" applyFont="1" applyBorder="1" applyAlignment="1">
      <alignment horizontal="center"/>
    </xf>
    <xf numFmtId="0" fontId="2" fillId="0" borderId="0" xfId="1" applyFont="1" applyFill="1" applyBorder="1" applyAlignment="1">
      <alignment horizontal="center" vertical="center"/>
    </xf>
    <xf numFmtId="2" fontId="2" fillId="0" borderId="76" xfId="59" applyNumberFormat="1" applyFont="1" applyFill="1" applyBorder="1" applyAlignment="1">
      <alignment horizontal="center" vertical="center"/>
    </xf>
    <xf numFmtId="2" fontId="0" fillId="0" borderId="93" xfId="0" applyNumberFormat="1" applyBorder="1" applyAlignment="1">
      <alignment horizontal="center" vertical="center"/>
    </xf>
    <xf numFmtId="2" fontId="0" fillId="0" borderId="0" xfId="0" applyNumberFormat="1" applyBorder="1" applyAlignment="1">
      <alignment horizontal="right" vertical="center"/>
    </xf>
    <xf numFmtId="2" fontId="0" fillId="0" borderId="29" xfId="0" applyNumberFormat="1" applyBorder="1" applyAlignment="1">
      <alignment horizontal="right" vertical="center"/>
    </xf>
    <xf numFmtId="2" fontId="0" fillId="0" borderId="98" xfId="0" applyNumberFormat="1" applyBorder="1" applyAlignment="1">
      <alignment horizontal="right" vertical="center"/>
    </xf>
    <xf numFmtId="2" fontId="2" fillId="0" borderId="46" xfId="0" applyNumberFormat="1" applyFont="1" applyFill="1" applyBorder="1" applyAlignment="1">
      <alignment horizontal="center" vertical="center"/>
    </xf>
    <xf numFmtId="2" fontId="2" fillId="0" borderId="25" xfId="0" applyNumberFormat="1" applyFont="1" applyFill="1" applyBorder="1" applyAlignment="1">
      <alignment horizontal="center" vertical="center"/>
    </xf>
    <xf numFmtId="2" fontId="2" fillId="0" borderId="0" xfId="59" applyNumberFormat="1" applyFont="1" applyFill="1" applyBorder="1" applyAlignment="1">
      <alignment horizontal="center" vertical="center"/>
    </xf>
    <xf numFmtId="0" fontId="6" fillId="32" borderId="28" xfId="59" applyFont="1" applyFill="1" applyBorder="1" applyAlignment="1">
      <alignment vertical="center"/>
    </xf>
    <xf numFmtId="1" fontId="0" fillId="0" borderId="90" xfId="0" applyNumberFormat="1" applyBorder="1" applyAlignment="1">
      <alignment horizontal="right" vertical="center"/>
    </xf>
    <xf numFmtId="1" fontId="0" fillId="0" borderId="20" xfId="0" applyNumberFormat="1" applyBorder="1" applyAlignment="1">
      <alignment horizontal="right" vertical="center"/>
    </xf>
    <xf numFmtId="1" fontId="0" fillId="0" borderId="130" xfId="0" applyNumberFormat="1" applyBorder="1" applyAlignment="1">
      <alignment horizontal="right" vertical="center"/>
    </xf>
    <xf numFmtId="0" fontId="2" fillId="0" borderId="0" xfId="1" applyBorder="1" applyAlignment="1">
      <alignment horizontal="center" vertical="top" wrapText="1"/>
    </xf>
    <xf numFmtId="164" fontId="2" fillId="0" borderId="79" xfId="1" applyNumberFormat="1" applyFont="1" applyFill="1" applyBorder="1" applyAlignment="1">
      <alignment horizontal="center" vertical="center"/>
    </xf>
    <xf numFmtId="164" fontId="2" fillId="0" borderId="79" xfId="1" applyNumberFormat="1" applyFill="1" applyBorder="1" applyAlignment="1">
      <alignment horizontal="center" vertical="center"/>
    </xf>
    <xf numFmtId="0" fontId="2" fillId="0" borderId="19" xfId="1" applyFill="1" applyBorder="1" applyAlignment="1">
      <alignment horizontal="right" vertical="center"/>
    </xf>
    <xf numFmtId="2" fontId="2" fillId="33" borderId="43" xfId="0" applyNumberFormat="1" applyFont="1" applyFill="1" applyBorder="1" applyAlignment="1">
      <alignment horizontal="center" vertical="center"/>
    </xf>
    <xf numFmtId="2" fontId="2" fillId="34" borderId="99" xfId="0" applyNumberFormat="1" applyFont="1" applyFill="1" applyBorder="1" applyAlignment="1">
      <alignment horizontal="center" vertical="center"/>
    </xf>
    <xf numFmtId="2" fontId="2" fillId="34" borderId="48" xfId="0" applyNumberFormat="1" applyFont="1" applyFill="1" applyBorder="1" applyAlignment="1">
      <alignment horizontal="center" vertical="center"/>
    </xf>
    <xf numFmtId="1" fontId="2" fillId="33" borderId="108" xfId="1" applyNumberFormat="1" applyFill="1" applyBorder="1" applyAlignment="1">
      <alignment horizontal="center" vertical="center"/>
    </xf>
    <xf numFmtId="1" fontId="2" fillId="33" borderId="14" xfId="1" applyNumberFormat="1" applyFill="1" applyBorder="1" applyAlignment="1">
      <alignment horizontal="center" vertical="center"/>
    </xf>
    <xf numFmtId="1" fontId="2" fillId="34" borderId="27" xfId="1" applyNumberFormat="1" applyFill="1" applyBorder="1" applyAlignment="1">
      <alignment horizontal="center" vertical="center"/>
    </xf>
    <xf numFmtId="0" fontId="2" fillId="28" borderId="2" xfId="1" applyFont="1" applyFill="1" applyBorder="1" applyAlignment="1">
      <alignment vertical="center" wrapText="1"/>
    </xf>
    <xf numFmtId="0" fontId="2" fillId="28" borderId="0" xfId="1" applyFont="1" applyFill="1" applyBorder="1" applyAlignment="1">
      <alignment vertical="center" wrapText="1"/>
    </xf>
    <xf numFmtId="0" fontId="2" fillId="28" borderId="98" xfId="1" applyFont="1" applyFill="1" applyBorder="1" applyAlignment="1">
      <alignment vertical="center" wrapText="1"/>
    </xf>
    <xf numFmtId="0" fontId="2" fillId="33" borderId="0" xfId="1" applyFont="1" applyFill="1" applyBorder="1" applyAlignment="1">
      <alignment vertical="center" wrapText="1"/>
    </xf>
    <xf numFmtId="0" fontId="2" fillId="33" borderId="98" xfId="1" applyFont="1" applyFill="1" applyBorder="1" applyAlignment="1">
      <alignment vertical="center" wrapText="1"/>
    </xf>
    <xf numFmtId="0" fontId="2" fillId="31" borderId="106" xfId="1" applyFont="1" applyFill="1" applyBorder="1" applyAlignment="1">
      <alignment vertical="center" wrapText="1"/>
    </xf>
    <xf numFmtId="0" fontId="2" fillId="31" borderId="8" xfId="1" applyFont="1" applyFill="1" applyBorder="1" applyAlignment="1">
      <alignment vertical="center" wrapText="1"/>
    </xf>
    <xf numFmtId="0" fontId="2" fillId="0" borderId="81" xfId="1" applyBorder="1"/>
    <xf numFmtId="2" fontId="2" fillId="0" borderId="33" xfId="1" applyNumberFormat="1" applyFont="1" applyFill="1" applyBorder="1" applyAlignment="1">
      <alignment horizontal="center" vertical="center"/>
    </xf>
    <xf numFmtId="1" fontId="45" fillId="0" borderId="79" xfId="0" applyNumberFormat="1" applyFont="1" applyBorder="1" applyAlignment="1">
      <alignment horizontal="right" vertical="center"/>
    </xf>
    <xf numFmtId="2" fontId="45" fillId="0" borderId="129" xfId="0" applyNumberFormat="1" applyFont="1" applyBorder="1" applyAlignment="1">
      <alignment horizontal="right" vertical="center"/>
    </xf>
    <xf numFmtId="1" fontId="45" fillId="0" borderId="22" xfId="0" applyNumberFormat="1" applyFont="1" applyBorder="1" applyAlignment="1">
      <alignment horizontal="right" vertical="center"/>
    </xf>
    <xf numFmtId="2" fontId="45" fillId="0" borderId="20" xfId="0" applyNumberFormat="1" applyFont="1" applyBorder="1" applyAlignment="1">
      <alignment horizontal="right" vertical="center"/>
    </xf>
    <xf numFmtId="1" fontId="45" fillId="0" borderId="23" xfId="0" applyNumberFormat="1" applyFont="1" applyBorder="1" applyAlignment="1">
      <alignment horizontal="right" vertical="center"/>
    </xf>
    <xf numFmtId="2" fontId="45" fillId="0" borderId="130" xfId="0" applyNumberFormat="1" applyFont="1" applyBorder="1" applyAlignment="1">
      <alignment horizontal="right" vertical="center"/>
    </xf>
    <xf numFmtId="2" fontId="45" fillId="0" borderId="30" xfId="0" applyNumberFormat="1" applyFont="1" applyBorder="1" applyAlignment="1">
      <alignment horizontal="center" vertical="center"/>
    </xf>
    <xf numFmtId="2" fontId="45" fillId="0" borderId="14" xfId="0" applyNumberFormat="1" applyFont="1" applyBorder="1" applyAlignment="1">
      <alignment horizontal="center" vertical="center"/>
    </xf>
    <xf numFmtId="2" fontId="2" fillId="0" borderId="77" xfId="59" applyNumberFormat="1" applyFont="1" applyFill="1" applyBorder="1" applyAlignment="1">
      <alignment horizontal="center" vertical="center"/>
    </xf>
    <xf numFmtId="0" fontId="2" fillId="23" borderId="1" xfId="1" applyFont="1" applyFill="1" applyBorder="1" applyAlignment="1">
      <alignment vertical="center" wrapText="1"/>
    </xf>
    <xf numFmtId="0" fontId="2" fillId="23" borderId="2" xfId="1" applyFont="1" applyFill="1" applyBorder="1" applyAlignment="1">
      <alignment vertical="center" wrapText="1"/>
    </xf>
    <xf numFmtId="0" fontId="2" fillId="23" borderId="5" xfId="1" applyFont="1" applyFill="1" applyBorder="1" applyAlignment="1">
      <alignment vertical="center" wrapText="1"/>
    </xf>
    <xf numFmtId="0" fontId="2" fillId="23" borderId="0" xfId="1" applyFont="1" applyFill="1" applyBorder="1" applyAlignment="1">
      <alignment vertical="center" wrapText="1"/>
    </xf>
    <xf numFmtId="0" fontId="2" fillId="33" borderId="2" xfId="1" applyFont="1" applyFill="1" applyBorder="1" applyAlignment="1">
      <alignment vertical="center" wrapText="1"/>
    </xf>
    <xf numFmtId="0" fontId="2" fillId="23" borderId="3" xfId="1" applyFont="1" applyFill="1" applyBorder="1" applyAlignment="1">
      <alignment vertical="center" wrapText="1"/>
    </xf>
    <xf numFmtId="0" fontId="2" fillId="23" borderId="6" xfId="1" applyFont="1" applyFill="1" applyBorder="1" applyAlignment="1">
      <alignment vertical="center" wrapText="1"/>
    </xf>
    <xf numFmtId="2" fontId="2" fillId="0" borderId="43" xfId="0" applyNumberFormat="1" applyFont="1" applyFill="1" applyBorder="1" applyAlignment="1">
      <alignment horizontal="center" vertical="center"/>
    </xf>
    <xf numFmtId="2" fontId="2" fillId="0" borderId="96" xfId="0" applyNumberFormat="1" applyFont="1" applyFill="1" applyBorder="1" applyAlignment="1">
      <alignment horizontal="center" vertical="center"/>
    </xf>
    <xf numFmtId="2" fontId="2" fillId="0" borderId="83" xfId="0" applyNumberFormat="1" applyFont="1" applyFill="1" applyBorder="1" applyAlignment="1">
      <alignment horizontal="center" vertical="center"/>
    </xf>
    <xf numFmtId="2" fontId="2" fillId="0" borderId="99" xfId="0" applyNumberFormat="1" applyFont="1" applyFill="1" applyBorder="1" applyAlignment="1">
      <alignment horizontal="center" vertical="center"/>
    </xf>
    <xf numFmtId="2" fontId="2" fillId="0" borderId="84" xfId="0" applyNumberFormat="1" applyFont="1" applyFill="1" applyBorder="1" applyAlignment="1">
      <alignment horizontal="center" vertical="center"/>
    </xf>
    <xf numFmtId="2" fontId="2" fillId="0" borderId="32" xfId="0" applyNumberFormat="1" applyFont="1" applyFill="1" applyBorder="1" applyAlignment="1">
      <alignment horizontal="center" vertical="center"/>
    </xf>
    <xf numFmtId="2" fontId="2" fillId="0" borderId="24" xfId="0" applyNumberFormat="1" applyFont="1" applyFill="1" applyBorder="1" applyAlignment="1">
      <alignment horizontal="center" vertical="center"/>
    </xf>
    <xf numFmtId="2" fontId="2" fillId="0" borderId="48" xfId="0" applyNumberFormat="1" applyFont="1" applyFill="1" applyBorder="1" applyAlignment="1">
      <alignment horizontal="center" vertical="center"/>
    </xf>
    <xf numFmtId="2" fontId="2" fillId="0" borderId="27"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2" fontId="2" fillId="0" borderId="33" xfId="0" applyNumberFormat="1" applyFont="1" applyFill="1" applyBorder="1" applyAlignment="1">
      <alignment horizontal="center" vertical="center"/>
    </xf>
    <xf numFmtId="2" fontId="2" fillId="0" borderId="18" xfId="0" applyNumberFormat="1" applyFont="1" applyFill="1" applyBorder="1" applyAlignment="1">
      <alignment horizontal="center" vertical="center"/>
    </xf>
    <xf numFmtId="2" fontId="2" fillId="0" borderId="90" xfId="0" applyNumberFormat="1" applyFont="1" applyFill="1" applyBorder="1" applyAlignment="1">
      <alignment horizontal="center" vertical="center"/>
    </xf>
    <xf numFmtId="2" fontId="2" fillId="0" borderId="30" xfId="0" quotePrefix="1" applyNumberFormat="1" applyFont="1" applyFill="1" applyBorder="1" applyAlignment="1">
      <alignment horizontal="center" vertical="center"/>
    </xf>
    <xf numFmtId="0" fontId="2" fillId="2" borderId="98" xfId="1" applyFill="1" applyBorder="1"/>
    <xf numFmtId="0" fontId="2" fillId="2" borderId="106" xfId="1" applyFill="1" applyBorder="1"/>
    <xf numFmtId="164" fontId="2" fillId="21" borderId="79" xfId="1" applyNumberFormat="1" applyFont="1" applyFill="1" applyBorder="1" applyAlignment="1">
      <alignment horizontal="center" vertical="center"/>
    </xf>
    <xf numFmtId="164" fontId="2" fillId="21" borderId="129" xfId="1" applyNumberFormat="1" applyFont="1" applyFill="1" applyBorder="1" applyAlignment="1">
      <alignment horizontal="center" vertical="center"/>
    </xf>
    <xf numFmtId="2" fontId="2" fillId="32" borderId="77" xfId="59" applyNumberFormat="1" applyFont="1" applyFill="1" applyBorder="1" applyAlignment="1">
      <alignment horizontal="center" vertical="center"/>
    </xf>
    <xf numFmtId="2" fontId="2" fillId="32" borderId="60" xfId="59" applyNumberFormat="1" applyFont="1" applyFill="1" applyBorder="1" applyAlignment="1">
      <alignment horizontal="center" vertical="center"/>
    </xf>
    <xf numFmtId="2" fontId="2" fillId="32" borderId="85" xfId="59" applyNumberFormat="1" applyFont="1" applyFill="1" applyBorder="1" applyAlignment="1">
      <alignment horizontal="center" vertical="center"/>
    </xf>
    <xf numFmtId="0" fontId="2" fillId="32" borderId="77" xfId="59" applyFont="1" applyFill="1" applyBorder="1" applyAlignment="1">
      <alignment horizontal="center" vertical="center"/>
    </xf>
    <xf numFmtId="0" fontId="2" fillId="32" borderId="60" xfId="59" applyFont="1" applyFill="1" applyBorder="1" applyAlignment="1">
      <alignment horizontal="center" vertical="center"/>
    </xf>
    <xf numFmtId="0" fontId="2" fillId="32" borderId="85" xfId="59" applyFont="1" applyFill="1" applyBorder="1" applyAlignment="1">
      <alignment horizontal="center" vertical="center"/>
    </xf>
    <xf numFmtId="0" fontId="2" fillId="2" borderId="98" xfId="59" applyFont="1" applyFill="1" applyBorder="1" applyAlignment="1">
      <alignment vertical="center"/>
    </xf>
    <xf numFmtId="0" fontId="2" fillId="2" borderId="106" xfId="59" applyFont="1" applyFill="1" applyBorder="1" applyAlignment="1">
      <alignment vertical="center"/>
    </xf>
    <xf numFmtId="164" fontId="6" fillId="0" borderId="143" xfId="1" applyNumberFormat="1" applyFont="1" applyFill="1" applyBorder="1" applyAlignment="1">
      <alignment horizontal="center" vertical="center" wrapText="1"/>
    </xf>
    <xf numFmtId="164" fontId="6" fillId="0" borderId="144" xfId="1" applyNumberFormat="1" applyFont="1" applyFill="1" applyBorder="1" applyAlignment="1">
      <alignment horizontal="center" vertical="center" wrapText="1"/>
    </xf>
    <xf numFmtId="164" fontId="6" fillId="0" borderId="145" xfId="1" applyNumberFormat="1" applyFont="1" applyFill="1" applyBorder="1" applyAlignment="1">
      <alignment horizontal="center" vertical="center" wrapText="1"/>
    </xf>
    <xf numFmtId="0" fontId="2" fillId="0" borderId="33" xfId="1" applyFont="1" applyBorder="1" applyAlignment="1">
      <alignment horizontal="center" vertical="top"/>
    </xf>
    <xf numFmtId="2" fontId="2" fillId="0" borderId="33" xfId="1" applyNumberFormat="1" applyBorder="1" applyAlignment="1">
      <alignment horizontal="center"/>
    </xf>
    <xf numFmtId="2" fontId="2" fillId="0" borderId="33" xfId="1" applyNumberFormat="1" applyFont="1" applyFill="1" applyBorder="1" applyAlignment="1">
      <alignment horizontal="center"/>
    </xf>
    <xf numFmtId="0" fontId="6" fillId="0" borderId="0" xfId="1" applyFont="1" applyBorder="1" applyAlignment="1">
      <alignment horizontal="center" vertical="center"/>
    </xf>
    <xf numFmtId="0" fontId="2" fillId="0" borderId="0" xfId="1" applyFont="1" applyFill="1" applyBorder="1" applyAlignment="1">
      <alignment horizontal="right"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0" borderId="98" xfId="0" applyFont="1" applyFill="1" applyBorder="1" applyAlignment="1">
      <alignment horizontal="center" vertical="center" wrapText="1"/>
    </xf>
    <xf numFmtId="0" fontId="2" fillId="0" borderId="98" xfId="0" applyFont="1" applyFill="1" applyBorder="1" applyAlignment="1">
      <alignment horizontal="center" vertical="center"/>
    </xf>
    <xf numFmtId="0" fontId="2" fillId="0" borderId="98" xfId="59" applyFont="1" applyBorder="1" applyAlignment="1">
      <alignment vertical="center"/>
    </xf>
    <xf numFmtId="0" fontId="2" fillId="0" borderId="135" xfId="1" applyFill="1" applyBorder="1" applyAlignment="1">
      <alignment horizontal="right" vertical="center"/>
    </xf>
    <xf numFmtId="0" fontId="2" fillId="0" borderId="136" xfId="1" applyFill="1" applyBorder="1" applyAlignment="1">
      <alignment horizontal="center" vertical="center"/>
    </xf>
    <xf numFmtId="0" fontId="2" fillId="0" borderId="0" xfId="1" applyFill="1" applyBorder="1" applyAlignment="1">
      <alignment horizontal="center" vertical="center" wrapText="1"/>
    </xf>
    <xf numFmtId="0" fontId="2" fillId="0" borderId="134" xfId="1" applyBorder="1" applyAlignment="1">
      <alignment horizontal="right" vertical="center"/>
    </xf>
    <xf numFmtId="0" fontId="2" fillId="0" borderId="77" xfId="59" applyFont="1" applyBorder="1" applyAlignment="1">
      <alignment vertical="center"/>
    </xf>
    <xf numFmtId="0" fontId="2" fillId="0" borderId="60" xfId="59" applyFont="1" applyBorder="1" applyAlignment="1">
      <alignment vertical="center"/>
    </xf>
    <xf numFmtId="0" fontId="2" fillId="0" borderId="85" xfId="59" applyFont="1" applyBorder="1" applyAlignment="1">
      <alignment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164" fontId="2" fillId="0" borderId="92" xfId="1" applyNumberFormat="1" applyFont="1" applyFill="1" applyBorder="1" applyAlignment="1">
      <alignment horizontal="center" vertical="center"/>
    </xf>
    <xf numFmtId="164" fontId="2" fillId="0" borderId="91" xfId="1" applyNumberFormat="1" applyFont="1" applyFill="1" applyBorder="1" applyAlignment="1">
      <alignment horizontal="center" vertical="center"/>
    </xf>
    <xf numFmtId="164" fontId="2" fillId="0" borderId="82" xfId="1"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164" fontId="2" fillId="0" borderId="11" xfId="0" applyNumberFormat="1" applyFont="1" applyFill="1" applyBorder="1" applyAlignment="1">
      <alignment horizontal="center" vertical="center"/>
    </xf>
    <xf numFmtId="164" fontId="2" fillId="0" borderId="43"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96" xfId="0" applyNumberFormat="1" applyFont="1" applyFill="1" applyBorder="1" applyAlignment="1">
      <alignment horizontal="center" vertical="center"/>
    </xf>
    <xf numFmtId="164" fontId="2" fillId="0" borderId="83" xfId="0" applyNumberFormat="1" applyFont="1" applyFill="1" applyBorder="1" applyAlignment="1">
      <alignment horizontal="center" vertical="center"/>
    </xf>
    <xf numFmtId="164" fontId="2" fillId="0" borderId="99" xfId="0" applyNumberFormat="1" applyFont="1" applyFill="1" applyBorder="1" applyAlignment="1">
      <alignment horizontal="center" vertical="center"/>
    </xf>
    <xf numFmtId="164" fontId="2" fillId="0" borderId="84" xfId="0" applyNumberFormat="1" applyFont="1" applyFill="1" applyBorder="1" applyAlignment="1">
      <alignment horizontal="center" vertical="center"/>
    </xf>
    <xf numFmtId="164" fontId="2" fillId="0" borderId="32" xfId="0" applyNumberFormat="1"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48" xfId="0" applyNumberFormat="1" applyFont="1" applyFill="1" applyBorder="1" applyAlignment="1">
      <alignment horizontal="center" vertical="center"/>
    </xf>
    <xf numFmtId="164" fontId="2" fillId="0" borderId="27" xfId="0" applyNumberFormat="1" applyFont="1" applyFill="1" applyBorder="1" applyAlignment="1">
      <alignment horizontal="center" vertical="center"/>
    </xf>
    <xf numFmtId="164" fontId="2" fillId="0" borderId="17"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164" fontId="2" fillId="0" borderId="90" xfId="0" applyNumberFormat="1" applyFont="1" applyFill="1" applyBorder="1" applyAlignment="1">
      <alignment horizontal="center" vertical="center"/>
    </xf>
    <xf numFmtId="1" fontId="2" fillId="0" borderId="30" xfId="0" applyNumberFormat="1" applyFont="1" applyFill="1" applyBorder="1" applyAlignment="1">
      <alignment horizontal="center" vertical="center"/>
    </xf>
    <xf numFmtId="1" fontId="2" fillId="0" borderId="11" xfId="0" applyNumberFormat="1" applyFont="1" applyFill="1" applyBorder="1" applyAlignment="1">
      <alignment horizontal="center" vertical="center"/>
    </xf>
    <xf numFmtId="1" fontId="2" fillId="0" borderId="43" xfId="0" applyNumberFormat="1" applyFont="1" applyFill="1" applyBorder="1" applyAlignment="1">
      <alignment horizontal="center" vertical="center"/>
    </xf>
    <xf numFmtId="1" fontId="2" fillId="0" borderId="14" xfId="0" applyNumberFormat="1" applyFont="1" applyFill="1" applyBorder="1" applyAlignment="1">
      <alignment horizontal="center" vertical="center"/>
    </xf>
    <xf numFmtId="1" fontId="2" fillId="0" borderId="96" xfId="0" applyNumberFormat="1" applyFont="1" applyFill="1" applyBorder="1" applyAlignment="1">
      <alignment horizontal="center" vertical="center"/>
    </xf>
    <xf numFmtId="1" fontId="2" fillId="0" borderId="83" xfId="0" applyNumberFormat="1" applyFont="1" applyFill="1" applyBorder="1" applyAlignment="1">
      <alignment horizontal="center" vertical="center"/>
    </xf>
    <xf numFmtId="1" fontId="2" fillId="0" borderId="99" xfId="0" applyNumberFormat="1" applyFont="1" applyFill="1" applyBorder="1" applyAlignment="1">
      <alignment horizontal="center" vertical="center"/>
    </xf>
    <xf numFmtId="1" fontId="2" fillId="0" borderId="84" xfId="0" applyNumberFormat="1" applyFont="1" applyFill="1" applyBorder="1" applyAlignment="1">
      <alignment horizontal="center" vertical="center"/>
    </xf>
    <xf numFmtId="1" fontId="2" fillId="0" borderId="32" xfId="0" applyNumberFormat="1" applyFont="1" applyFill="1" applyBorder="1" applyAlignment="1">
      <alignment horizontal="center" vertical="center"/>
    </xf>
    <xf numFmtId="1" fontId="2" fillId="0" borderId="24" xfId="0" applyNumberFormat="1" applyFont="1" applyFill="1" applyBorder="1" applyAlignment="1">
      <alignment horizontal="center" vertical="center"/>
    </xf>
    <xf numFmtId="1" fontId="2" fillId="0" borderId="48" xfId="0" applyNumberFormat="1" applyFont="1" applyFill="1" applyBorder="1" applyAlignment="1">
      <alignment horizontal="center" vertical="center"/>
    </xf>
    <xf numFmtId="1" fontId="2" fillId="0" borderId="27" xfId="0" applyNumberFormat="1" applyFont="1" applyFill="1" applyBorder="1" applyAlignment="1">
      <alignment horizontal="center" vertical="center"/>
    </xf>
    <xf numFmtId="1" fontId="2" fillId="0" borderId="17" xfId="0" applyNumberFormat="1" applyFont="1" applyFill="1" applyBorder="1" applyAlignment="1">
      <alignment horizontal="center" vertical="center"/>
    </xf>
    <xf numFmtId="1" fontId="2" fillId="0" borderId="33" xfId="0" applyNumberFormat="1" applyFont="1" applyFill="1" applyBorder="1" applyAlignment="1">
      <alignment horizontal="center" vertical="center"/>
    </xf>
    <xf numFmtId="1" fontId="2" fillId="0" borderId="90" xfId="0" applyNumberFormat="1" applyFont="1" applyFill="1" applyBorder="1" applyAlignment="1">
      <alignment horizontal="center" vertical="center"/>
    </xf>
    <xf numFmtId="0" fontId="0" fillId="0" borderId="0" xfId="0" applyFill="1" applyAlignment="1">
      <alignment wrapText="1"/>
    </xf>
    <xf numFmtId="164" fontId="2" fillId="0" borderId="129" xfId="1" applyNumberFormat="1" applyFont="1" applyFill="1" applyBorder="1" applyAlignment="1">
      <alignment horizontal="center" vertical="center"/>
    </xf>
    <xf numFmtId="164" fontId="2" fillId="0" borderId="143" xfId="1" applyNumberFormat="1" applyFont="1" applyFill="1" applyBorder="1" applyAlignment="1">
      <alignment horizontal="center" vertical="center"/>
    </xf>
    <xf numFmtId="164" fontId="2" fillId="0" borderId="144" xfId="1" applyNumberFormat="1" applyFont="1" applyFill="1" applyBorder="1" applyAlignment="1">
      <alignment horizontal="center" vertical="center"/>
    </xf>
    <xf numFmtId="0" fontId="3" fillId="35" borderId="0" xfId="0" applyFont="1" applyFill="1" applyBorder="1" applyAlignment="1" applyProtection="1">
      <alignment vertical="center"/>
    </xf>
    <xf numFmtId="0" fontId="48" fillId="35" borderId="0" xfId="0" applyNumberFormat="1" applyFont="1" applyFill="1" applyBorder="1" applyAlignment="1" applyProtection="1">
      <alignment horizontal="center" vertical="center"/>
    </xf>
    <xf numFmtId="0" fontId="0" fillId="35" borderId="0" xfId="0" applyFill="1" applyBorder="1" applyAlignment="1" applyProtection="1">
      <alignment vertical="center"/>
    </xf>
    <xf numFmtId="0" fontId="8" fillId="35" borderId="0" xfId="0" applyFont="1" applyFill="1" applyBorder="1" applyAlignment="1" applyProtection="1">
      <alignment vertical="center" wrapText="1"/>
    </xf>
    <xf numFmtId="0" fontId="8" fillId="36" borderId="0" xfId="0" applyFont="1" applyFill="1" applyBorder="1" applyAlignment="1" applyProtection="1">
      <alignment vertical="center" wrapText="1"/>
    </xf>
    <xf numFmtId="0" fontId="0" fillId="36" borderId="0" xfId="0" applyFill="1" applyBorder="1" applyAlignment="1" applyProtection="1">
      <alignment vertical="center"/>
    </xf>
    <xf numFmtId="0" fontId="0" fillId="36" borderId="0" xfId="0" applyFont="1" applyFill="1" applyBorder="1" applyAlignment="1" applyProtection="1">
      <alignment vertical="center"/>
    </xf>
    <xf numFmtId="0" fontId="3" fillId="37" borderId="0" xfId="0" applyFont="1" applyFill="1" applyBorder="1" applyAlignment="1" applyProtection="1">
      <alignment vertical="center"/>
    </xf>
    <xf numFmtId="0" fontId="31" fillId="37" borderId="0" xfId="0" applyFont="1" applyFill="1" applyBorder="1" applyAlignment="1" applyProtection="1">
      <alignment horizontal="center" vertical="center" wrapText="1"/>
      <protection locked="0"/>
    </xf>
    <xf numFmtId="0" fontId="0" fillId="37" borderId="0" xfId="0" applyFill="1" applyBorder="1" applyAlignment="1" applyProtection="1">
      <alignment vertical="center"/>
    </xf>
    <xf numFmtId="0" fontId="8" fillId="37" borderId="0" xfId="0" applyFont="1" applyFill="1" applyBorder="1" applyAlignment="1" applyProtection="1">
      <alignment vertical="center" wrapText="1"/>
    </xf>
    <xf numFmtId="0" fontId="40" fillId="36" borderId="0" xfId="0" applyFont="1" applyFill="1" applyBorder="1" applyAlignment="1" applyProtection="1">
      <alignment vertical="center"/>
    </xf>
    <xf numFmtId="0" fontId="3" fillId="38" borderId="0" xfId="0" applyFont="1" applyFill="1" applyBorder="1" applyAlignment="1" applyProtection="1">
      <alignment vertical="center"/>
    </xf>
    <xf numFmtId="0" fontId="0" fillId="38" borderId="0" xfId="0" applyFill="1" applyBorder="1" applyAlignment="1" applyProtection="1">
      <alignment horizontal="center" vertical="center"/>
      <protection locked="0"/>
    </xf>
    <xf numFmtId="0" fontId="49" fillId="38" borderId="0" xfId="0" applyFont="1" applyFill="1" applyBorder="1" applyAlignment="1" applyProtection="1">
      <alignment vertical="center"/>
    </xf>
    <xf numFmtId="0" fontId="8" fillId="38" borderId="0" xfId="0" applyFont="1" applyFill="1" applyBorder="1" applyAlignment="1" applyProtection="1">
      <alignment vertical="center" wrapText="1"/>
    </xf>
    <xf numFmtId="0" fontId="47" fillId="39" borderId="0" xfId="0" applyFont="1" applyFill="1" applyBorder="1" applyAlignment="1" applyProtection="1">
      <alignment horizontal="center" vertical="center"/>
      <protection locked="0"/>
    </xf>
    <xf numFmtId="0" fontId="47" fillId="40" borderId="0" xfId="0" applyFont="1" applyFill="1" applyBorder="1" applyAlignment="1" applyProtection="1">
      <alignment horizontal="center" vertical="center"/>
      <protection locked="0"/>
    </xf>
    <xf numFmtId="169" fontId="47" fillId="39" borderId="0" xfId="0" applyNumberFormat="1" applyFont="1" applyFill="1" applyBorder="1" applyAlignment="1" applyProtection="1">
      <alignment horizontal="left" vertical="center"/>
    </xf>
    <xf numFmtId="0" fontId="0" fillId="39" borderId="0" xfId="0" applyFill="1" applyBorder="1" applyAlignment="1" applyProtection="1">
      <alignment vertical="center"/>
    </xf>
    <xf numFmtId="0" fontId="31" fillId="36" borderId="0" xfId="0" applyFont="1" applyFill="1" applyBorder="1" applyAlignment="1" applyProtection="1">
      <alignment vertical="center" wrapText="1"/>
    </xf>
    <xf numFmtId="170" fontId="47" fillId="40" borderId="0" xfId="0" applyNumberFormat="1" applyFont="1" applyFill="1" applyBorder="1" applyAlignment="1" applyProtection="1">
      <alignment horizontal="center" vertical="center"/>
      <protection locked="0"/>
    </xf>
    <xf numFmtId="0" fontId="8" fillId="36" borderId="0" xfId="0" applyFont="1" applyFill="1" applyBorder="1" applyAlignment="1" applyProtection="1">
      <alignment horizontal="left" vertical="center" wrapText="1"/>
    </xf>
    <xf numFmtId="0" fontId="49" fillId="37" borderId="0" xfId="0" applyFont="1" applyFill="1" applyBorder="1" applyAlignment="1" applyProtection="1">
      <alignment vertical="center"/>
      <protection locked="0"/>
    </xf>
    <xf numFmtId="0" fontId="49" fillId="37" borderId="0" xfId="0" applyFont="1" applyFill="1" applyBorder="1" applyAlignment="1" applyProtection="1">
      <alignment vertical="center"/>
    </xf>
    <xf numFmtId="0" fontId="47" fillId="35" borderId="0" xfId="0" applyFont="1" applyFill="1" applyBorder="1" applyAlignment="1" applyProtection="1">
      <alignment horizontal="center" vertical="center"/>
      <protection locked="0"/>
    </xf>
    <xf numFmtId="0" fontId="47" fillId="41" borderId="0" xfId="0" applyFont="1" applyFill="1" applyBorder="1" applyAlignment="1" applyProtection="1">
      <alignment horizontal="center" vertical="center"/>
      <protection locked="0"/>
    </xf>
    <xf numFmtId="0" fontId="2" fillId="35" borderId="0" xfId="0" applyFont="1" applyFill="1" applyBorder="1" applyAlignment="1" applyProtection="1">
      <alignment horizontal="center" vertical="center"/>
    </xf>
    <xf numFmtId="2" fontId="47" fillId="41" borderId="0" xfId="0" applyNumberFormat="1" applyFont="1" applyFill="1" applyBorder="1" applyAlignment="1" applyProtection="1">
      <alignment horizontal="center" vertical="center"/>
      <protection locked="0"/>
    </xf>
    <xf numFmtId="0" fontId="47" fillId="37" borderId="0" xfId="0" applyFont="1" applyFill="1" applyBorder="1" applyAlignment="1" applyProtection="1">
      <alignment horizontal="center" vertical="center"/>
      <protection locked="0"/>
    </xf>
    <xf numFmtId="2" fontId="47" fillId="35" borderId="0" xfId="0" applyNumberFormat="1" applyFont="1" applyFill="1" applyBorder="1" applyAlignment="1" applyProtection="1">
      <alignment horizontal="center" vertical="center"/>
      <protection locked="0"/>
    </xf>
    <xf numFmtId="0" fontId="50" fillId="38" borderId="0" xfId="0" applyFont="1" applyFill="1" applyBorder="1" applyAlignment="1" applyProtection="1">
      <alignment horizontal="center" vertical="center"/>
      <protection locked="0"/>
    </xf>
    <xf numFmtId="0" fontId="51" fillId="38" borderId="0" xfId="0" applyFont="1" applyFill="1" applyBorder="1" applyAlignment="1" applyProtection="1">
      <alignment vertical="center"/>
    </xf>
    <xf numFmtId="0" fontId="0" fillId="37" borderId="0" xfId="0" applyFill="1" applyBorder="1" applyAlignment="1" applyProtection="1">
      <alignment vertical="center"/>
      <protection locked="0"/>
    </xf>
    <xf numFmtId="0" fontId="0" fillId="37" borderId="0" xfId="0" applyFill="1" applyBorder="1" applyAlignment="1" applyProtection="1">
      <alignment horizontal="center" vertical="center"/>
    </xf>
    <xf numFmtId="0" fontId="52" fillId="36" borderId="0" xfId="0" applyFont="1" applyFill="1" applyBorder="1" applyAlignment="1" applyProtection="1">
      <alignment vertical="center" wrapText="1"/>
    </xf>
    <xf numFmtId="0" fontId="9" fillId="37" borderId="28" xfId="0" applyFont="1" applyFill="1" applyBorder="1" applyAlignment="1" applyProtection="1">
      <alignment horizontal="left" vertical="center"/>
    </xf>
    <xf numFmtId="0" fontId="47" fillId="37" borderId="28"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53" fillId="38" borderId="28" xfId="0" applyFont="1" applyFill="1" applyBorder="1" applyAlignment="1" applyProtection="1">
      <alignment horizontal="right" vertical="center"/>
    </xf>
    <xf numFmtId="2" fontId="54" fillId="38" borderId="28" xfId="0" applyNumberFormat="1" applyFont="1" applyFill="1" applyBorder="1" applyAlignment="1" applyProtection="1">
      <alignment horizontal="center" vertical="center"/>
    </xf>
    <xf numFmtId="0" fontId="0" fillId="40" borderId="0" xfId="0" applyFill="1" applyBorder="1" applyAlignment="1" applyProtection="1">
      <alignment vertical="center"/>
    </xf>
    <xf numFmtId="0" fontId="0" fillId="41" borderId="0" xfId="0" applyFill="1" applyBorder="1" applyAlignment="1" applyProtection="1">
      <alignment vertical="center"/>
    </xf>
    <xf numFmtId="0" fontId="8" fillId="41" borderId="0" xfId="0" applyFont="1" applyFill="1" applyBorder="1" applyAlignment="1" applyProtection="1">
      <alignment vertical="center"/>
    </xf>
    <xf numFmtId="0" fontId="3" fillId="36" borderId="0" xfId="0" applyFont="1" applyFill="1" applyBorder="1" applyAlignment="1" applyProtection="1">
      <alignment vertical="center"/>
    </xf>
    <xf numFmtId="0" fontId="0" fillId="36" borderId="0" xfId="0" applyFill="1" applyBorder="1" applyAlignment="1" applyProtection="1">
      <alignment horizontal="center" vertical="center"/>
    </xf>
    <xf numFmtId="0" fontId="2" fillId="36" borderId="0" xfId="0" applyFont="1" applyFill="1" applyBorder="1" applyAlignment="1" applyProtection="1">
      <alignment vertical="center"/>
    </xf>
    <xf numFmtId="169" fontId="47" fillId="40" borderId="0" xfId="0" applyNumberFormat="1" applyFont="1" applyFill="1" applyBorder="1" applyAlignment="1" applyProtection="1">
      <alignment horizontal="left" vertical="center"/>
    </xf>
    <xf numFmtId="0" fontId="47" fillId="39" borderId="0" xfId="0" applyNumberFormat="1" applyFont="1" applyFill="1" applyBorder="1" applyAlignment="1" applyProtection="1">
      <alignment horizontal="left" vertical="center"/>
    </xf>
    <xf numFmtId="0" fontId="47" fillId="40" borderId="0" xfId="0" applyNumberFormat="1" applyFont="1" applyFill="1" applyBorder="1" applyAlignment="1" applyProtection="1">
      <alignment horizontal="left" vertical="center"/>
    </xf>
    <xf numFmtId="0" fontId="47" fillId="35" borderId="0" xfId="0" applyNumberFormat="1" applyFont="1" applyFill="1" applyBorder="1" applyAlignment="1" applyProtection="1">
      <alignment horizontal="left" vertical="center"/>
    </xf>
    <xf numFmtId="0" fontId="47" fillId="41" borderId="0" xfId="0" applyNumberFormat="1" applyFont="1" applyFill="1" applyBorder="1" applyAlignment="1" applyProtection="1">
      <alignment horizontal="left" vertical="center"/>
    </xf>
    <xf numFmtId="0" fontId="8" fillId="35" borderId="0" xfId="0" applyFont="1" applyFill="1" applyBorder="1" applyAlignment="1" applyProtection="1">
      <alignment vertical="center"/>
    </xf>
    <xf numFmtId="0" fontId="0" fillId="36" borderId="0" xfId="0" applyFill="1"/>
    <xf numFmtId="170" fontId="47" fillId="39" borderId="0" xfId="0" applyNumberFormat="1" applyFont="1" applyFill="1" applyBorder="1" applyAlignment="1" applyProtection="1">
      <alignment horizontal="center" vertical="center"/>
      <protection locked="0"/>
    </xf>
    <xf numFmtId="2" fontId="2" fillId="21" borderId="11" xfId="1" applyNumberFormat="1" applyFont="1" applyFill="1" applyBorder="1" applyAlignment="1">
      <alignment vertical="center"/>
    </xf>
    <xf numFmtId="2" fontId="2" fillId="21" borderId="7" xfId="1" applyNumberFormat="1" applyFont="1" applyFill="1" applyBorder="1" applyAlignment="1">
      <alignment vertical="center"/>
    </xf>
    <xf numFmtId="0" fontId="2" fillId="21" borderId="29" xfId="1" applyFill="1" applyBorder="1" applyAlignment="1">
      <alignment horizontal="center" vertical="center"/>
    </xf>
    <xf numFmtId="0" fontId="2" fillId="21" borderId="2" xfId="1" applyFont="1" applyFill="1" applyBorder="1" applyAlignment="1">
      <alignment horizontal="center" vertical="center"/>
    </xf>
    <xf numFmtId="0" fontId="2" fillId="21" borderId="29" xfId="1" applyFont="1" applyFill="1" applyBorder="1" applyAlignment="1">
      <alignment horizontal="center" vertical="center"/>
    </xf>
    <xf numFmtId="2" fontId="2" fillId="21" borderId="29" xfId="1" applyNumberFormat="1" applyFont="1" applyFill="1" applyBorder="1" applyAlignment="1">
      <alignment horizontal="center" vertical="center"/>
    </xf>
    <xf numFmtId="2" fontId="2" fillId="21" borderId="7" xfId="1" applyNumberFormat="1" applyFill="1" applyBorder="1" applyAlignment="1">
      <alignment vertical="center"/>
    </xf>
    <xf numFmtId="0" fontId="0" fillId="0" borderId="0" xfId="0" applyBorder="1" applyAlignment="1">
      <alignment vertical="center"/>
    </xf>
    <xf numFmtId="0" fontId="0" fillId="0" borderId="0" xfId="0" applyAlignment="1">
      <alignmen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2" fillId="0" borderId="0" xfId="0" applyNumberFormat="1" applyFont="1" applyFill="1" applyBorder="1" applyAlignment="1">
      <alignment horizontal="right" vertical="center"/>
    </xf>
    <xf numFmtId="0" fontId="59" fillId="0" borderId="110" xfId="0" applyFont="1" applyBorder="1" applyAlignment="1">
      <alignment vertical="center"/>
    </xf>
    <xf numFmtId="0" fontId="59" fillId="0" borderId="0" xfId="0" applyFont="1" applyAlignment="1">
      <alignment vertical="center"/>
    </xf>
    <xf numFmtId="0" fontId="2" fillId="0" borderId="0" xfId="0" applyFont="1" applyAlignment="1">
      <alignment vertical="center"/>
    </xf>
    <xf numFmtId="0" fontId="59" fillId="0" borderId="19" xfId="0" applyFont="1" applyBorder="1" applyAlignment="1">
      <alignment vertical="center"/>
    </xf>
    <xf numFmtId="0" fontId="40" fillId="0" borderId="0" xfId="0" applyFont="1" applyAlignment="1">
      <alignment vertical="center"/>
    </xf>
    <xf numFmtId="0" fontId="2" fillId="0" borderId="18" xfId="0" applyNumberFormat="1" applyFont="1" applyFill="1" applyBorder="1" applyAlignment="1">
      <alignment horizontal="right" vertical="center"/>
    </xf>
    <xf numFmtId="0" fontId="4" fillId="0" borderId="0" xfId="0" applyFont="1" applyBorder="1" applyAlignment="1">
      <alignment vertical="center"/>
    </xf>
    <xf numFmtId="0" fontId="4" fillId="0" borderId="0" xfId="0" applyFont="1" applyAlignment="1">
      <alignment vertical="center"/>
    </xf>
    <xf numFmtId="2" fontId="40" fillId="0" borderId="19" xfId="0" applyNumberFormat="1" applyFont="1" applyFill="1" applyBorder="1" applyAlignment="1">
      <alignment horizontal="right" vertical="center"/>
    </xf>
    <xf numFmtId="2" fontId="59" fillId="0" borderId="19" xfId="0" applyNumberFormat="1" applyFont="1" applyFill="1" applyBorder="1" applyAlignment="1">
      <alignment horizontal="right" vertical="center"/>
    </xf>
    <xf numFmtId="0" fontId="0" fillId="0" borderId="0" xfId="0" applyFont="1" applyAlignment="1">
      <alignment vertical="center"/>
    </xf>
    <xf numFmtId="2" fontId="40" fillId="0" borderId="62" xfId="0" applyNumberFormat="1" applyFont="1" applyFill="1" applyBorder="1" applyAlignment="1">
      <alignment horizontal="right" vertical="center"/>
    </xf>
    <xf numFmtId="0" fontId="45" fillId="0" borderId="0" xfId="0" applyFont="1" applyAlignment="1">
      <alignment vertical="center"/>
    </xf>
    <xf numFmtId="0" fontId="2" fillId="0" borderId="78" xfId="0" applyNumberFormat="1" applyFont="1" applyFill="1" applyBorder="1" applyAlignment="1">
      <alignment horizontal="right" vertical="center"/>
    </xf>
    <xf numFmtId="0" fontId="2" fillId="0" borderId="4" xfId="0" applyNumberFormat="1" applyFont="1" applyFill="1" applyBorder="1" applyAlignment="1">
      <alignment horizontal="right" vertical="center"/>
    </xf>
    <xf numFmtId="0" fontId="6" fillId="0" borderId="46" xfId="0" applyNumberFormat="1" applyFont="1" applyFill="1" applyBorder="1" applyAlignment="1">
      <alignment horizontal="right" vertical="center"/>
    </xf>
    <xf numFmtId="0" fontId="6" fillId="0" borderId="29" xfId="0" applyNumberFormat="1" applyFont="1" applyFill="1" applyBorder="1" applyAlignment="1">
      <alignment horizontal="right" vertical="center"/>
    </xf>
    <xf numFmtId="0" fontId="6" fillId="0" borderId="47" xfId="0" applyNumberFormat="1" applyFont="1" applyFill="1" applyBorder="1" applyAlignment="1">
      <alignment horizontal="center" vertical="center"/>
    </xf>
    <xf numFmtId="2" fontId="6" fillId="0" borderId="62" xfId="0" applyNumberFormat="1" applyFont="1" applyFill="1" applyBorder="1" applyAlignment="1">
      <alignment horizontal="right" vertical="center"/>
    </xf>
    <xf numFmtId="2" fontId="2" fillId="21" borderId="81" xfId="1" applyNumberFormat="1" applyFont="1" applyFill="1" applyBorder="1" applyAlignment="1">
      <alignment vertical="center"/>
    </xf>
    <xf numFmtId="0" fontId="6" fillId="0" borderId="0" xfId="0" applyFont="1" applyAlignment="1">
      <alignment horizontal="left" vertical="center"/>
    </xf>
    <xf numFmtId="0" fontId="6" fillId="0" borderId="0" xfId="0" applyNumberFormat="1"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6" fillId="43" borderId="0" xfId="0" applyFont="1" applyFill="1" applyBorder="1" applyAlignment="1">
      <alignment vertical="center"/>
    </xf>
    <xf numFmtId="44" fontId="6" fillId="43" borderId="0" xfId="0" applyNumberFormat="1" applyFont="1" applyFill="1" applyBorder="1" applyAlignment="1">
      <alignment vertical="center"/>
    </xf>
    <xf numFmtId="0" fontId="6" fillId="43" borderId="0" xfId="0" applyFont="1" applyFill="1" applyBorder="1" applyAlignment="1">
      <alignment horizontal="center" vertical="center"/>
    </xf>
    <xf numFmtId="44" fontId="6" fillId="43" borderId="19" xfId="0" applyNumberFormat="1" applyFont="1" applyFill="1" applyBorder="1" applyAlignment="1">
      <alignment vertical="center"/>
    </xf>
    <xf numFmtId="0" fontId="2" fillId="32" borderId="33" xfId="0" applyNumberFormat="1" applyFont="1" applyFill="1" applyBorder="1" applyAlignment="1">
      <alignment horizontal="right" wrapText="1"/>
    </xf>
    <xf numFmtId="0" fontId="2" fillId="32" borderId="66" xfId="0" applyNumberFormat="1" applyFont="1" applyFill="1" applyBorder="1" applyAlignment="1">
      <alignment horizontal="right" wrapText="1"/>
    </xf>
    <xf numFmtId="0" fontId="2" fillId="32" borderId="0" xfId="0" applyNumberFormat="1" applyFont="1" applyFill="1" applyBorder="1" applyAlignment="1">
      <alignment horizontal="right" wrapText="1"/>
    </xf>
    <xf numFmtId="171" fontId="2" fillId="32" borderId="0" xfId="0" applyNumberFormat="1" applyFont="1" applyFill="1" applyBorder="1" applyAlignment="1"/>
    <xf numFmtId="171" fontId="2" fillId="32" borderId="19" xfId="0" applyNumberFormat="1" applyFont="1" applyFill="1" applyBorder="1" applyAlignment="1">
      <alignment horizontal="right" wrapText="1"/>
    </xf>
    <xf numFmtId="2" fontId="2" fillId="32" borderId="19" xfId="0" applyNumberFormat="1" applyFont="1" applyFill="1" applyBorder="1" applyAlignment="1">
      <alignment vertical="center"/>
    </xf>
    <xf numFmtId="0" fontId="31" fillId="45" borderId="66" xfId="0" applyNumberFormat="1" applyFont="1" applyFill="1" applyBorder="1" applyAlignment="1">
      <alignment horizontal="left" vertical="center"/>
    </xf>
    <xf numFmtId="0" fontId="31" fillId="45" borderId="110" xfId="0" applyNumberFormat="1" applyFont="1" applyFill="1" applyBorder="1" applyAlignment="1">
      <alignment horizontal="left" vertical="center"/>
    </xf>
    <xf numFmtId="0" fontId="2" fillId="32" borderId="19" xfId="0" applyNumberFormat="1" applyFont="1" applyFill="1" applyBorder="1" applyAlignment="1">
      <alignment horizontal="right" wrapText="1"/>
    </xf>
    <xf numFmtId="0" fontId="6" fillId="32" borderId="0" xfId="0" applyNumberFormat="1" applyFont="1" applyFill="1" applyBorder="1" applyAlignment="1">
      <alignment horizontal="center" vertical="center"/>
    </xf>
    <xf numFmtId="0" fontId="6" fillId="43" borderId="18" xfId="0" applyNumberFormat="1" applyFont="1" applyFill="1" applyBorder="1" applyAlignment="1"/>
    <xf numFmtId="0" fontId="45" fillId="43" borderId="0" xfId="0" applyFont="1" applyFill="1" applyBorder="1" applyAlignment="1">
      <alignment vertical="center"/>
    </xf>
    <xf numFmtId="0" fontId="45" fillId="43" borderId="0" xfId="0" applyFont="1" applyFill="1" applyBorder="1" applyAlignment="1">
      <alignment horizontal="center" vertical="center"/>
    </xf>
    <xf numFmtId="171" fontId="64" fillId="45" borderId="83" xfId="0" applyNumberFormat="1" applyFont="1" applyFill="1" applyBorder="1" applyAlignment="1">
      <alignment vertical="center" wrapText="1"/>
    </xf>
    <xf numFmtId="0" fontId="63" fillId="45" borderId="99" xfId="0" applyNumberFormat="1" applyFont="1" applyFill="1" applyBorder="1" applyAlignment="1">
      <alignment horizontal="left" vertical="center"/>
    </xf>
    <xf numFmtId="0" fontId="6" fillId="36" borderId="99" xfId="0" applyFont="1" applyFill="1" applyBorder="1" applyAlignment="1">
      <alignment vertical="center"/>
    </xf>
    <xf numFmtId="0" fontId="45" fillId="36" borderId="66" xfId="0" applyNumberFormat="1" applyFont="1" applyFill="1" applyBorder="1" applyAlignment="1">
      <alignment wrapText="1"/>
    </xf>
    <xf numFmtId="0" fontId="6" fillId="36" borderId="18" xfId="0" applyFont="1" applyFill="1" applyBorder="1" applyAlignment="1">
      <alignment vertical="center"/>
    </xf>
    <xf numFmtId="0" fontId="2" fillId="36" borderId="0" xfId="0" applyNumberFormat="1" applyFont="1" applyFill="1" applyBorder="1" applyAlignment="1"/>
    <xf numFmtId="0" fontId="2" fillId="36" borderId="0" xfId="0" applyNumberFormat="1" applyFont="1" applyFill="1" applyBorder="1" applyAlignment="1">
      <alignment wrapText="1"/>
    </xf>
    <xf numFmtId="0" fontId="45" fillId="36" borderId="0" xfId="0" applyNumberFormat="1" applyFont="1" applyFill="1" applyBorder="1" applyAlignment="1">
      <alignment wrapText="1"/>
    </xf>
    <xf numFmtId="0" fontId="2" fillId="36" borderId="0" xfId="0" applyNumberFormat="1" applyFont="1" applyFill="1" applyBorder="1" applyAlignment="1">
      <alignment vertical="center"/>
    </xf>
    <xf numFmtId="0" fontId="45" fillId="36" borderId="0" xfId="0" applyFont="1" applyFill="1" applyAlignment="1">
      <alignment vertical="center"/>
    </xf>
    <xf numFmtId="0" fontId="45" fillId="36" borderId="18" xfId="0" applyNumberFormat="1" applyFont="1" applyFill="1" applyBorder="1" applyAlignment="1">
      <alignment wrapText="1"/>
    </xf>
    <xf numFmtId="0" fontId="45" fillId="36" borderId="0" xfId="0" applyFont="1" applyFill="1" applyBorder="1" applyAlignment="1">
      <alignment vertical="center"/>
    </xf>
    <xf numFmtId="176" fontId="2" fillId="36" borderId="0" xfId="0" applyNumberFormat="1" applyFont="1" applyFill="1" applyAlignment="1">
      <alignment vertical="center"/>
    </xf>
    <xf numFmtId="0" fontId="2" fillId="36" borderId="0" xfId="0" applyNumberFormat="1" applyFont="1" applyFill="1" applyAlignment="1">
      <alignment vertical="center"/>
    </xf>
    <xf numFmtId="0" fontId="45" fillId="36" borderId="18" xfId="0" applyFont="1" applyFill="1" applyBorder="1" applyAlignment="1">
      <alignment vertical="center"/>
    </xf>
    <xf numFmtId="0" fontId="45" fillId="36" borderId="78" xfId="0" applyFont="1" applyFill="1" applyBorder="1" applyAlignment="1">
      <alignment vertical="center"/>
    </xf>
    <xf numFmtId="0" fontId="45" fillId="36" borderId="4" xfId="0" applyNumberFormat="1" applyFont="1" applyFill="1" applyBorder="1" applyAlignment="1">
      <alignment wrapText="1"/>
    </xf>
    <xf numFmtId="0" fontId="6" fillId="36" borderId="66" xfId="0" applyNumberFormat="1" applyFont="1" applyFill="1" applyBorder="1" applyAlignment="1"/>
    <xf numFmtId="171" fontId="2" fillId="36" borderId="66" xfId="0" applyNumberFormat="1" applyFont="1" applyFill="1" applyBorder="1" applyAlignment="1">
      <alignment horizontal="right" wrapText="1"/>
    </xf>
    <xf numFmtId="0" fontId="6" fillId="36" borderId="18" xfId="0" applyNumberFormat="1" applyFont="1" applyFill="1" applyBorder="1" applyAlignment="1"/>
    <xf numFmtId="172" fontId="2" fillId="36" borderId="0" xfId="0" applyNumberFormat="1" applyFont="1" applyFill="1" applyBorder="1" applyAlignment="1">
      <alignment wrapText="1"/>
    </xf>
    <xf numFmtId="171" fontId="2" fillId="36" borderId="0" xfId="0" applyNumberFormat="1" applyFont="1" applyFill="1" applyBorder="1" applyAlignment="1">
      <alignment horizontal="right" wrapText="1"/>
    </xf>
    <xf numFmtId="0" fontId="2" fillId="36" borderId="0" xfId="0" applyFont="1" applyFill="1" applyBorder="1" applyAlignment="1">
      <alignment vertical="center"/>
    </xf>
    <xf numFmtId="171" fontId="2" fillId="36" borderId="18" xfId="0" applyNumberFormat="1" applyFont="1" applyFill="1" applyBorder="1" applyAlignment="1"/>
    <xf numFmtId="0" fontId="2" fillId="36" borderId="0" xfId="0" applyNumberFormat="1" applyFont="1" applyFill="1" applyBorder="1" applyAlignment="1">
      <alignment horizontal="right"/>
    </xf>
    <xf numFmtId="0" fontId="45" fillId="36" borderId="19" xfId="0" applyFont="1" applyFill="1" applyBorder="1" applyAlignment="1">
      <alignment vertical="center"/>
    </xf>
    <xf numFmtId="0" fontId="2" fillId="36" borderId="19" xfId="0" applyNumberFormat="1" applyFont="1" applyFill="1" applyBorder="1" applyAlignment="1">
      <alignment vertical="center"/>
    </xf>
    <xf numFmtId="176" fontId="42" fillId="36" borderId="19" xfId="0" applyNumberFormat="1" applyFont="1" applyFill="1" applyBorder="1" applyAlignment="1"/>
    <xf numFmtId="4" fontId="2" fillId="36" borderId="19" xfId="0" applyNumberFormat="1" applyFont="1" applyFill="1" applyBorder="1" applyAlignment="1"/>
    <xf numFmtId="175" fontId="2" fillId="36" borderId="19" xfId="0" applyNumberFormat="1" applyFont="1" applyFill="1" applyBorder="1" applyAlignment="1">
      <alignment horizontal="right" vertical="center"/>
    </xf>
    <xf numFmtId="171" fontId="2" fillId="36" borderId="110" xfId="0" applyNumberFormat="1" applyFont="1" applyFill="1" applyBorder="1" applyAlignment="1">
      <alignment wrapText="1"/>
    </xf>
    <xf numFmtId="171" fontId="2" fillId="36" borderId="19" xfId="0" applyNumberFormat="1" applyFont="1" applyFill="1" applyBorder="1" applyAlignment="1">
      <alignment wrapText="1"/>
    </xf>
    <xf numFmtId="173" fontId="2" fillId="36" borderId="66" xfId="0" applyNumberFormat="1" applyFont="1" applyFill="1" applyBorder="1" applyAlignment="1"/>
    <xf numFmtId="171" fontId="2" fillId="36" borderId="66" xfId="0" applyNumberFormat="1" applyFont="1" applyFill="1" applyBorder="1" applyAlignment="1"/>
    <xf numFmtId="0" fontId="2" fillId="36" borderId="99" xfId="0" applyNumberFormat="1" applyFont="1" applyFill="1" applyBorder="1" applyAlignment="1">
      <alignment wrapText="1"/>
    </xf>
    <xf numFmtId="173" fontId="2" fillId="36" borderId="0" xfId="0" applyNumberFormat="1" applyFont="1" applyFill="1" applyBorder="1" applyAlignment="1"/>
    <xf numFmtId="171" fontId="2" fillId="36" borderId="0" xfId="0" applyNumberFormat="1" applyFont="1" applyFill="1" applyBorder="1" applyAlignment="1"/>
    <xf numFmtId="0" fontId="2" fillId="36" borderId="18" xfId="0" applyNumberFormat="1" applyFont="1" applyFill="1" applyBorder="1" applyAlignment="1">
      <alignment wrapText="1"/>
    </xf>
    <xf numFmtId="3" fontId="2" fillId="36" borderId="0" xfId="0" applyNumberFormat="1" applyFont="1" applyFill="1" applyBorder="1" applyAlignment="1">
      <alignment wrapText="1"/>
    </xf>
    <xf numFmtId="174" fontId="2" fillId="36" borderId="0" xfId="0" applyNumberFormat="1" applyFont="1" applyFill="1" applyBorder="1" applyAlignment="1">
      <alignment wrapText="1"/>
    </xf>
    <xf numFmtId="3" fontId="2" fillId="36" borderId="19" xfId="0" applyNumberFormat="1" applyFont="1" applyFill="1" applyBorder="1" applyAlignment="1">
      <alignment wrapText="1"/>
    </xf>
    <xf numFmtId="2" fontId="45" fillId="36" borderId="18" xfId="0" applyNumberFormat="1" applyFont="1" applyFill="1" applyBorder="1" applyAlignment="1">
      <alignment wrapText="1"/>
    </xf>
    <xf numFmtId="174" fontId="2" fillId="36" borderId="0" xfId="0" applyNumberFormat="1" applyFont="1" applyFill="1" applyBorder="1" applyAlignment="1">
      <alignment horizontal="right" wrapText="1"/>
    </xf>
    <xf numFmtId="175" fontId="2" fillId="36" borderId="0" xfId="0" applyNumberFormat="1" applyFont="1" applyFill="1" applyBorder="1" applyAlignment="1">
      <alignment horizontal="right" vertical="center"/>
    </xf>
    <xf numFmtId="171" fontId="6" fillId="36" borderId="0" xfId="0" applyNumberFormat="1" applyFont="1" applyFill="1" applyBorder="1" applyAlignment="1"/>
    <xf numFmtId="9" fontId="6" fillId="36" borderId="99" xfId="0" applyNumberFormat="1" applyFont="1" applyFill="1" applyBorder="1" applyAlignment="1">
      <alignment horizontal="right"/>
    </xf>
    <xf numFmtId="3" fontId="6" fillId="36" borderId="66" xfId="0" applyNumberFormat="1" applyFont="1" applyFill="1" applyBorder="1" applyAlignment="1">
      <alignment wrapText="1"/>
    </xf>
    <xf numFmtId="3" fontId="6" fillId="36" borderId="110" xfId="0" applyNumberFormat="1" applyFont="1" applyFill="1" applyBorder="1" applyAlignment="1">
      <alignment wrapText="1"/>
    </xf>
    <xf numFmtId="10" fontId="2" fillId="36" borderId="0" xfId="0" applyNumberFormat="1" applyFont="1" applyFill="1" applyBorder="1" applyAlignment="1"/>
    <xf numFmtId="0" fontId="45" fillId="36" borderId="99" xfId="0" applyFont="1" applyFill="1" applyBorder="1" applyAlignment="1">
      <alignment vertical="center"/>
    </xf>
    <xf numFmtId="0" fontId="45" fillId="36" borderId="66" xfId="0" applyFont="1" applyFill="1" applyBorder="1" applyAlignment="1">
      <alignment vertical="center"/>
    </xf>
    <xf numFmtId="0" fontId="45" fillId="36" borderId="110" xfId="0" applyFont="1" applyFill="1" applyBorder="1" applyAlignment="1">
      <alignment vertical="center"/>
    </xf>
    <xf numFmtId="9" fontId="2" fillId="36" borderId="4" xfId="0" applyNumberFormat="1" applyFont="1" applyFill="1" applyBorder="1" applyAlignment="1"/>
    <xf numFmtId="171" fontId="2" fillId="36" borderId="4" xfId="0" applyNumberFormat="1" applyFont="1" applyFill="1" applyBorder="1" applyAlignment="1"/>
    <xf numFmtId="1" fontId="45" fillId="36" borderId="4" xfId="0" applyNumberFormat="1" applyFont="1" applyFill="1" applyBorder="1" applyAlignment="1">
      <alignment vertical="center"/>
    </xf>
    <xf numFmtId="0" fontId="45" fillId="36" borderId="4" xfId="0" applyFont="1" applyFill="1" applyBorder="1" applyAlignment="1">
      <alignment vertical="center"/>
    </xf>
    <xf numFmtId="0" fontId="45" fillId="36" borderId="62" xfId="0" applyFont="1" applyFill="1" applyBorder="1" applyAlignment="1">
      <alignment vertical="center"/>
    </xf>
    <xf numFmtId="9" fontId="2" fillId="36" borderId="0" xfId="0" applyNumberFormat="1" applyFont="1" applyFill="1" applyBorder="1" applyAlignment="1"/>
    <xf numFmtId="0" fontId="2" fillId="36" borderId="0" xfId="0" applyNumberFormat="1" applyFont="1" applyFill="1" applyBorder="1" applyAlignment="1">
      <alignment horizontal="left" vertical="center"/>
    </xf>
    <xf numFmtId="0" fontId="2" fillId="36" borderId="0" xfId="0" applyNumberFormat="1" applyFont="1" applyFill="1" applyBorder="1" applyAlignment="1">
      <alignment horizontal="right" vertical="center"/>
    </xf>
    <xf numFmtId="0" fontId="6" fillId="36" borderId="0" xfId="0" applyFont="1" applyFill="1" applyBorder="1" applyAlignment="1">
      <alignment horizontal="center" vertical="center"/>
    </xf>
    <xf numFmtId="0" fontId="2" fillId="36" borderId="4" xfId="0" applyNumberFormat="1" applyFont="1" applyFill="1" applyBorder="1" applyAlignment="1">
      <alignment vertical="center"/>
    </xf>
    <xf numFmtId="0" fontId="2" fillId="36" borderId="18" xfId="0" applyNumberFormat="1" applyFont="1" applyFill="1" applyBorder="1" applyAlignment="1">
      <alignment vertical="center"/>
    </xf>
    <xf numFmtId="171" fontId="2" fillId="36" borderId="0" xfId="0" applyNumberFormat="1" applyFont="1" applyFill="1" applyBorder="1" applyAlignment="1">
      <alignment horizontal="left" vertical="center"/>
    </xf>
    <xf numFmtId="0" fontId="6" fillId="36" borderId="4" xfId="0" applyFont="1" applyFill="1" applyBorder="1" applyAlignment="1">
      <alignment horizontal="left" vertical="center"/>
    </xf>
    <xf numFmtId="0" fontId="6" fillId="36" borderId="4" xfId="0" applyFont="1" applyFill="1" applyBorder="1" applyAlignment="1">
      <alignment horizontal="center" vertical="center"/>
    </xf>
    <xf numFmtId="0" fontId="6" fillId="36" borderId="62" xfId="0" applyFont="1" applyFill="1" applyBorder="1" applyAlignment="1">
      <alignment horizontal="center" vertical="center"/>
    </xf>
    <xf numFmtId="44" fontId="45" fillId="36" borderId="19" xfId="0" applyNumberFormat="1" applyFont="1" applyFill="1" applyBorder="1" applyAlignment="1">
      <alignment vertical="center"/>
    </xf>
    <xf numFmtId="44" fontId="45" fillId="36" borderId="62" xfId="0" applyNumberFormat="1" applyFont="1" applyFill="1" applyBorder="1" applyAlignment="1">
      <alignment vertical="center"/>
    </xf>
    <xf numFmtId="44" fontId="45" fillId="36" borderId="0" xfId="0" applyNumberFormat="1" applyFont="1" applyFill="1" applyBorder="1" applyAlignment="1">
      <alignment horizontal="right" vertical="center"/>
    </xf>
    <xf numFmtId="0" fontId="45" fillId="36" borderId="0" xfId="0" applyFont="1" applyFill="1" applyBorder="1" applyAlignment="1">
      <alignment horizontal="center" vertical="center"/>
    </xf>
    <xf numFmtId="44" fontId="45" fillId="36" borderId="0" xfId="0" applyNumberFormat="1" applyFont="1" applyFill="1" applyBorder="1" applyAlignment="1">
      <alignment vertical="center"/>
    </xf>
    <xf numFmtId="44" fontId="45" fillId="36" borderId="4" xfId="0" applyNumberFormat="1" applyFont="1" applyFill="1" applyBorder="1" applyAlignment="1">
      <alignment vertical="center"/>
    </xf>
    <xf numFmtId="0" fontId="45" fillId="36" borderId="4" xfId="0" applyFont="1" applyFill="1" applyBorder="1" applyAlignment="1">
      <alignment horizontal="center" vertical="center"/>
    </xf>
    <xf numFmtId="2" fontId="45" fillId="36" borderId="0" xfId="0" applyNumberFormat="1" applyFont="1" applyFill="1" applyBorder="1" applyAlignment="1">
      <alignment vertical="center"/>
    </xf>
    <xf numFmtId="0" fontId="2" fillId="36" borderId="18" xfId="0" applyNumberFormat="1" applyFont="1" applyFill="1" applyBorder="1" applyAlignment="1">
      <alignment horizontal="right" vertical="center"/>
    </xf>
    <xf numFmtId="0" fontId="6" fillId="36" borderId="0" xfId="0" applyFont="1" applyFill="1" applyBorder="1" applyAlignment="1">
      <alignment vertical="center"/>
    </xf>
    <xf numFmtId="0" fontId="6" fillId="36" borderId="99" xfId="0" applyNumberFormat="1" applyFont="1" applyFill="1" applyBorder="1" applyAlignment="1"/>
    <xf numFmtId="171" fontId="2" fillId="36" borderId="78" xfId="0" applyNumberFormat="1" applyFont="1" applyFill="1" applyBorder="1" applyAlignment="1"/>
    <xf numFmtId="3" fontId="2" fillId="36" borderId="66" xfId="0" applyNumberFormat="1" applyFont="1" applyFill="1" applyBorder="1" applyAlignment="1">
      <alignment horizontal="center" wrapText="1"/>
    </xf>
    <xf numFmtId="3" fontId="2" fillId="36" borderId="110" xfId="0" applyNumberFormat="1" applyFont="1" applyFill="1" applyBorder="1" applyAlignment="1">
      <alignment horizontal="center" wrapText="1"/>
    </xf>
    <xf numFmtId="0" fontId="6" fillId="36" borderId="78" xfId="0" applyFont="1" applyFill="1" applyBorder="1" applyAlignment="1">
      <alignment horizontal="left" vertical="center"/>
    </xf>
    <xf numFmtId="0" fontId="2" fillId="36" borderId="66" xfId="0" applyNumberFormat="1" applyFont="1" applyFill="1" applyBorder="1" applyAlignment="1">
      <alignment wrapText="1"/>
    </xf>
    <xf numFmtId="4" fontId="2" fillId="36" borderId="0" xfId="0" applyNumberFormat="1" applyFont="1" applyFill="1" applyAlignment="1">
      <alignment vertical="center"/>
    </xf>
    <xf numFmtId="0" fontId="45" fillId="36" borderId="0" xfId="0" applyFont="1" applyFill="1" applyBorder="1" applyAlignment="1"/>
    <xf numFmtId="2" fontId="45" fillId="36" borderId="0" xfId="0" applyNumberFormat="1" applyFont="1" applyFill="1" applyBorder="1" applyAlignment="1">
      <alignment horizontal="left"/>
    </xf>
    <xf numFmtId="177" fontId="45" fillId="36" borderId="0" xfId="0" applyNumberFormat="1" applyFont="1" applyFill="1" applyBorder="1" applyAlignment="1"/>
    <xf numFmtId="178" fontId="45" fillId="36" borderId="0" xfId="0" applyNumberFormat="1" applyFont="1" applyFill="1" applyBorder="1" applyAlignment="1"/>
    <xf numFmtId="165" fontId="45" fillId="36" borderId="0" xfId="0" applyNumberFormat="1" applyFont="1" applyFill="1" applyBorder="1" applyAlignment="1">
      <alignment horizontal="left"/>
    </xf>
    <xf numFmtId="0" fontId="45" fillId="36" borderId="0" xfId="0" applyFont="1" applyFill="1" applyBorder="1" applyAlignment="1">
      <alignment horizontal="left"/>
    </xf>
    <xf numFmtId="0" fontId="6" fillId="36" borderId="0" xfId="0" applyFont="1" applyFill="1" applyBorder="1" applyAlignment="1">
      <alignment horizontal="center"/>
    </xf>
    <xf numFmtId="6" fontId="45" fillId="36" borderId="0" xfId="0" applyNumberFormat="1" applyFont="1" applyFill="1" applyBorder="1" applyAlignment="1">
      <alignment vertical="center"/>
    </xf>
    <xf numFmtId="174" fontId="2" fillId="32" borderId="0" xfId="0" applyNumberFormat="1" applyFont="1" applyFill="1" applyBorder="1" applyAlignment="1">
      <alignment wrapText="1"/>
    </xf>
    <xf numFmtId="3" fontId="2" fillId="32" borderId="19" xfId="0" applyNumberFormat="1" applyFont="1" applyFill="1" applyBorder="1" applyAlignment="1">
      <alignment wrapText="1"/>
    </xf>
    <xf numFmtId="174" fontId="2" fillId="32" borderId="0" xfId="0" applyNumberFormat="1" applyFont="1" applyFill="1" applyBorder="1" applyAlignment="1">
      <alignment horizontal="right" wrapText="1"/>
    </xf>
    <xf numFmtId="0" fontId="2" fillId="36" borderId="66" xfId="0" applyNumberFormat="1" applyFont="1" applyFill="1" applyBorder="1" applyAlignment="1">
      <alignment horizontal="right"/>
    </xf>
    <xf numFmtId="0" fontId="61" fillId="46" borderId="99" xfId="0" applyNumberFormat="1" applyFont="1" applyFill="1" applyBorder="1" applyAlignment="1">
      <alignment horizontal="center" vertical="center" wrapText="1"/>
    </xf>
    <xf numFmtId="0" fontId="61" fillId="46" borderId="66" xfId="0" applyNumberFormat="1" applyFont="1" applyFill="1" applyBorder="1" applyAlignment="1">
      <alignment horizontal="center" vertical="center" wrapText="1"/>
    </xf>
    <xf numFmtId="0" fontId="61" fillId="46" borderId="110" xfId="0" applyNumberFormat="1" applyFont="1" applyFill="1" applyBorder="1" applyAlignment="1">
      <alignment horizontal="center" vertical="center" wrapText="1"/>
    </xf>
    <xf numFmtId="171" fontId="61" fillId="46" borderId="66" xfId="0" applyNumberFormat="1" applyFont="1" applyFill="1" applyBorder="1" applyAlignment="1">
      <alignment horizontal="center" vertical="center"/>
    </xf>
    <xf numFmtId="171" fontId="61" fillId="46" borderId="29" xfId="0" applyNumberFormat="1" applyFont="1" applyFill="1" applyBorder="1" applyAlignment="1">
      <alignment horizontal="center" vertical="center"/>
    </xf>
    <xf numFmtId="0" fontId="61" fillId="46" borderId="66" xfId="0" applyNumberFormat="1" applyFont="1" applyFill="1" applyBorder="1" applyAlignment="1">
      <alignment horizontal="center" vertical="center"/>
    </xf>
    <xf numFmtId="0" fontId="61" fillId="46" borderId="99" xfId="0" applyNumberFormat="1" applyFont="1" applyFill="1" applyBorder="1" applyAlignment="1">
      <alignment horizontal="center" vertical="center"/>
    </xf>
    <xf numFmtId="0" fontId="45" fillId="36" borderId="0" xfId="0" applyFont="1" applyFill="1" applyAlignment="1">
      <alignment horizontal="center" vertical="center"/>
    </xf>
    <xf numFmtId="0" fontId="45" fillId="0" borderId="0" xfId="0" applyFont="1" applyAlignment="1">
      <alignment horizontal="center" vertical="center"/>
    </xf>
    <xf numFmtId="171" fontId="61" fillId="46" borderId="99" xfId="0" applyNumberFormat="1" applyFont="1" applyFill="1" applyBorder="1" applyAlignment="1">
      <alignment horizontal="left" vertical="center"/>
    </xf>
    <xf numFmtId="0" fontId="60" fillId="0" borderId="4" xfId="0" applyNumberFormat="1" applyFont="1" applyFill="1" applyBorder="1" applyAlignment="1"/>
    <xf numFmtId="0" fontId="66" fillId="0" borderId="4" xfId="0" applyNumberFormat="1" applyFont="1" applyFill="1" applyBorder="1" applyAlignment="1">
      <alignment horizontal="left"/>
    </xf>
    <xf numFmtId="0" fontId="2" fillId="0" borderId="0" xfId="0" applyFont="1" applyFill="1" applyBorder="1" applyAlignment="1">
      <alignment vertical="center"/>
    </xf>
    <xf numFmtId="0" fontId="2" fillId="0" borderId="66" xfId="0" applyNumberFormat="1" applyFont="1" applyFill="1" applyBorder="1" applyAlignment="1">
      <alignment wrapText="1"/>
    </xf>
    <xf numFmtId="0" fontId="69" fillId="0" borderId="0" xfId="0" applyNumberFormat="1" applyFont="1" applyFill="1" applyBorder="1" applyAlignment="1">
      <alignment horizontal="left"/>
    </xf>
    <xf numFmtId="0" fontId="70" fillId="0" borderId="0" xfId="0" applyFont="1" applyFill="1" applyBorder="1" applyAlignment="1">
      <alignment vertical="center"/>
    </xf>
    <xf numFmtId="0" fontId="69" fillId="0" borderId="0" xfId="0" applyNumberFormat="1" applyFont="1" applyFill="1" applyBorder="1" applyAlignment="1"/>
    <xf numFmtId="0" fontId="69" fillId="0" borderId="4" xfId="0" applyNumberFormat="1" applyFont="1" applyFill="1" applyBorder="1" applyAlignment="1"/>
    <xf numFmtId="0" fontId="60" fillId="0" borderId="4" xfId="0" applyNumberFormat="1" applyFont="1" applyFill="1" applyBorder="1" applyAlignment="1">
      <alignment wrapText="1"/>
    </xf>
    <xf numFmtId="0" fontId="71" fillId="47" borderId="7" xfId="0" applyNumberFormat="1" applyFont="1" applyFill="1" applyBorder="1" applyAlignment="1">
      <alignment horizontal="center" vertical="center"/>
    </xf>
    <xf numFmtId="0" fontId="60" fillId="0" borderId="18" xfId="0" applyNumberFormat="1" applyFont="1" applyFill="1" applyBorder="1" applyAlignment="1">
      <alignment wrapText="1"/>
    </xf>
    <xf numFmtId="0" fontId="69" fillId="0" borderId="7" xfId="0" applyNumberFormat="1" applyFont="1" applyFill="1" applyBorder="1" applyAlignment="1">
      <alignment horizontal="center" vertical="center"/>
    </xf>
    <xf numFmtId="180" fontId="69" fillId="0" borderId="29" xfId="0" applyNumberFormat="1" applyFont="1" applyFill="1" applyBorder="1" applyAlignment="1"/>
    <xf numFmtId="180" fontId="71" fillId="47" borderId="7" xfId="0" applyNumberFormat="1" applyFont="1" applyFill="1" applyBorder="1" applyAlignment="1">
      <alignment horizontal="center" vertical="center"/>
    </xf>
    <xf numFmtId="1" fontId="60" fillId="0" borderId="7" xfId="0" applyNumberFormat="1" applyFont="1" applyFill="1" applyBorder="1" applyAlignment="1">
      <alignment horizontal="center" vertical="center"/>
    </xf>
    <xf numFmtId="171" fontId="60" fillId="0" borderId="7" xfId="0" applyNumberFormat="1" applyFont="1" applyFill="1" applyBorder="1" applyAlignment="1">
      <alignment vertical="center"/>
    </xf>
    <xf numFmtId="0" fontId="72" fillId="47" borderId="0" xfId="0" applyNumberFormat="1" applyFont="1" applyFill="1" applyBorder="1" applyAlignment="1"/>
    <xf numFmtId="176" fontId="60" fillId="48" borderId="7" xfId="0" applyNumberFormat="1" applyFont="1" applyFill="1" applyBorder="1" applyAlignment="1">
      <alignment vertical="center"/>
    </xf>
    <xf numFmtId="4" fontId="60" fillId="0" borderId="7" xfId="0" applyNumberFormat="1" applyFont="1" applyFill="1" applyBorder="1" applyAlignment="1">
      <alignment vertical="center"/>
    </xf>
    <xf numFmtId="181" fontId="60" fillId="48" borderId="7" xfId="0" applyNumberFormat="1" applyFont="1" applyFill="1" applyBorder="1" applyAlignment="1">
      <alignment horizontal="center" vertical="center"/>
    </xf>
    <xf numFmtId="0" fontId="60" fillId="0" borderId="99" xfId="0" applyNumberFormat="1" applyFont="1" applyFill="1" applyBorder="1" applyAlignment="1">
      <alignment horizontal="left"/>
    </xf>
    <xf numFmtId="0" fontId="74" fillId="0" borderId="66" xfId="0" applyNumberFormat="1" applyFont="1" applyFill="1" applyBorder="1" applyAlignment="1">
      <alignment horizontal="center"/>
    </xf>
    <xf numFmtId="3" fontId="60" fillId="0" borderId="83" xfId="0" applyNumberFormat="1" applyFont="1" applyFill="1" applyBorder="1" applyAlignment="1">
      <alignment horizontal="right"/>
    </xf>
    <xf numFmtId="0" fontId="75" fillId="0" borderId="83" xfId="0" applyNumberFormat="1" applyFont="1" applyFill="1" applyBorder="1" applyAlignment="1">
      <alignment horizontal="right" wrapText="1"/>
    </xf>
    <xf numFmtId="0" fontId="60" fillId="0" borderId="18" xfId="0" applyNumberFormat="1" applyFont="1" applyFill="1" applyBorder="1" applyAlignment="1">
      <alignment horizontal="left"/>
    </xf>
    <xf numFmtId="0" fontId="60" fillId="0" borderId="0" xfId="0" applyNumberFormat="1" applyFont="1" applyFill="1" applyBorder="1" applyAlignment="1">
      <alignment wrapText="1"/>
    </xf>
    <xf numFmtId="0" fontId="60" fillId="0" borderId="33" xfId="0" applyNumberFormat="1" applyFont="1" applyFill="1" applyBorder="1" applyAlignment="1">
      <alignment horizontal="right"/>
    </xf>
    <xf numFmtId="0" fontId="75" fillId="0" borderId="33" xfId="0" applyNumberFormat="1" applyFont="1" applyFill="1" applyBorder="1" applyAlignment="1">
      <alignment horizontal="right" wrapText="1"/>
    </xf>
    <xf numFmtId="0" fontId="60" fillId="0" borderId="18" xfId="0" applyNumberFormat="1" applyFont="1" applyFill="1" applyBorder="1" applyAlignment="1"/>
    <xf numFmtId="0" fontId="60" fillId="0" borderId="0" xfId="0" applyNumberFormat="1" applyFont="1" applyFill="1" applyBorder="1" applyAlignment="1"/>
    <xf numFmtId="0" fontId="60" fillId="0" borderId="33" xfId="0" applyNumberFormat="1" applyFont="1" applyFill="1" applyBorder="1" applyAlignment="1"/>
    <xf numFmtId="2" fontId="60" fillId="0" borderId="33" xfId="0" applyNumberFormat="1" applyFont="1" applyFill="1" applyBorder="1" applyAlignment="1"/>
    <xf numFmtId="1" fontId="60" fillId="0" borderId="33" xfId="0" applyNumberFormat="1" applyFont="1" applyFill="1" applyBorder="1" applyAlignment="1">
      <alignment horizontal="right"/>
    </xf>
    <xf numFmtId="2" fontId="60" fillId="0" borderId="33" xfId="0" applyNumberFormat="1" applyFont="1" applyFill="1" applyBorder="1" applyAlignment="1">
      <alignment horizontal="right"/>
    </xf>
    <xf numFmtId="0" fontId="73" fillId="49" borderId="46" xfId="0" applyNumberFormat="1" applyFont="1" applyFill="1" applyBorder="1" applyAlignment="1">
      <alignment horizontal="left" vertical="center"/>
    </xf>
    <xf numFmtId="0" fontId="73" fillId="49" borderId="29" xfId="0" applyNumberFormat="1" applyFont="1" applyFill="1" applyBorder="1" applyAlignment="1">
      <alignment horizontal="left" vertical="center"/>
    </xf>
    <xf numFmtId="0" fontId="73" fillId="49" borderId="47" xfId="0" applyNumberFormat="1" applyFont="1" applyFill="1" applyBorder="1" applyAlignment="1">
      <alignment horizontal="left" vertical="center"/>
    </xf>
    <xf numFmtId="0" fontId="75" fillId="0" borderId="0" xfId="0" applyNumberFormat="1" applyFont="1" applyFill="1" applyBorder="1" applyAlignment="1">
      <alignment horizontal="right" wrapText="1"/>
    </xf>
    <xf numFmtId="0" fontId="60" fillId="0" borderId="46" xfId="0" applyNumberFormat="1" applyFont="1" applyFill="1" applyBorder="1" applyAlignment="1">
      <alignment horizontal="left"/>
    </xf>
    <xf numFmtId="0" fontId="60" fillId="0" borderId="29" xfId="0" applyNumberFormat="1" applyFont="1" applyFill="1" applyBorder="1" applyAlignment="1">
      <alignment vertical="center"/>
    </xf>
    <xf numFmtId="0" fontId="60" fillId="0" borderId="29" xfId="0" applyNumberFormat="1" applyFont="1" applyFill="1" applyBorder="1" applyAlignment="1">
      <alignment wrapText="1"/>
    </xf>
    <xf numFmtId="0" fontId="60" fillId="0" borderId="29" xfId="0" applyNumberFormat="1" applyFont="1" applyFill="1" applyBorder="1" applyAlignment="1">
      <alignment horizontal="center" vertical="center"/>
    </xf>
    <xf numFmtId="0" fontId="60" fillId="0" borderId="47" xfId="0" applyNumberFormat="1" applyFont="1" applyFill="1" applyBorder="1" applyAlignment="1"/>
    <xf numFmtId="0" fontId="65" fillId="0" borderId="0" xfId="0" applyNumberFormat="1" applyFont="1" applyFill="1" applyBorder="1" applyAlignment="1">
      <alignment vertical="justify" wrapText="1"/>
    </xf>
    <xf numFmtId="0" fontId="68" fillId="0" borderId="66" xfId="0" applyNumberFormat="1" applyFont="1" applyFill="1" applyBorder="1" applyAlignment="1"/>
    <xf numFmtId="0" fontId="60" fillId="0" borderId="66" xfId="0" applyNumberFormat="1" applyFont="1" applyFill="1" applyBorder="1" applyAlignment="1"/>
    <xf numFmtId="0" fontId="71" fillId="47" borderId="46"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180" fontId="71" fillId="47" borderId="46" xfId="0" applyNumberFormat="1" applyFont="1" applyFill="1" applyBorder="1" applyAlignment="1">
      <alignment horizontal="center" vertical="center"/>
    </xf>
    <xf numFmtId="0" fontId="60" fillId="0" borderId="7" xfId="0" applyNumberFormat="1" applyFont="1" applyFill="1" applyBorder="1" applyAlignment="1">
      <alignment horizontal="left" vertical="center"/>
    </xf>
    <xf numFmtId="0" fontId="60" fillId="0" borderId="47" xfId="0" applyNumberFormat="1" applyFont="1" applyFill="1" applyBorder="1" applyAlignment="1">
      <alignment horizontal="left" vertical="center" wrapText="1"/>
    </xf>
    <xf numFmtId="0" fontId="2" fillId="0" borderId="29" xfId="0" applyFont="1" applyFill="1" applyBorder="1" applyAlignment="1">
      <alignment horizontal="center" vertical="center"/>
    </xf>
    <xf numFmtId="0" fontId="69" fillId="0" borderId="0" xfId="0" applyNumberFormat="1" applyFont="1" applyFill="1" applyBorder="1" applyAlignment="1">
      <alignment horizontal="left" vertical="top"/>
    </xf>
    <xf numFmtId="171" fontId="69" fillId="0" borderId="0" xfId="0" applyNumberFormat="1" applyFont="1" applyFill="1" applyBorder="1" applyAlignment="1">
      <alignment horizontal="right"/>
    </xf>
    <xf numFmtId="0" fontId="72" fillId="0" borderId="0" xfId="0" applyNumberFormat="1" applyFont="1" applyFill="1" applyBorder="1" applyAlignment="1">
      <alignment horizontal="center" vertical="center" wrapText="1"/>
    </xf>
    <xf numFmtId="0" fontId="60" fillId="0" borderId="29" xfId="0" applyNumberFormat="1" applyFont="1" applyFill="1" applyBorder="1" applyAlignment="1">
      <alignment horizontal="left" vertical="center"/>
    </xf>
    <xf numFmtId="171" fontId="60" fillId="0" borderId="7" xfId="0" applyNumberFormat="1" applyFont="1" applyFill="1" applyBorder="1" applyAlignment="1">
      <alignment horizontal="center" vertical="center"/>
    </xf>
    <xf numFmtId="171" fontId="2" fillId="0" borderId="7" xfId="0" applyNumberFormat="1" applyFont="1" applyFill="1" applyBorder="1" applyAlignment="1">
      <alignment vertical="center"/>
    </xf>
    <xf numFmtId="176" fontId="60" fillId="48" borderId="7" xfId="0" applyNumberFormat="1" applyFont="1" applyFill="1" applyBorder="1" applyAlignment="1">
      <alignment horizontal="right" vertical="center"/>
    </xf>
    <xf numFmtId="0" fontId="72" fillId="47" borderId="0" xfId="0" applyNumberFormat="1" applyFont="1" applyFill="1" applyBorder="1" applyAlignment="1">
      <alignment horizontal="right"/>
    </xf>
    <xf numFmtId="164" fontId="2" fillId="0" borderId="0" xfId="1" applyNumberFormat="1" applyFont="1" applyFill="1" applyBorder="1" applyAlignment="1">
      <alignment horizontal="center" vertical="center"/>
    </xf>
    <xf numFmtId="164" fontId="2" fillId="0" borderId="93" xfId="1" applyNumberFormat="1" applyFont="1" applyFill="1" applyBorder="1" applyAlignment="1">
      <alignment horizontal="center" vertical="center"/>
    </xf>
    <xf numFmtId="164" fontId="2" fillId="0" borderId="93" xfId="1" applyNumberFormat="1" applyFill="1" applyBorder="1" applyAlignment="1">
      <alignment horizontal="center" vertical="center"/>
    </xf>
    <xf numFmtId="164" fontId="2" fillId="0" borderId="111" xfId="1" applyNumberFormat="1" applyFill="1" applyBorder="1" applyAlignment="1">
      <alignment horizontal="center" vertical="center"/>
    </xf>
    <xf numFmtId="164" fontId="2" fillId="43" borderId="0" xfId="1" applyNumberFormat="1" applyFont="1" applyFill="1" applyBorder="1" applyAlignment="1">
      <alignment horizontal="center" vertical="center"/>
    </xf>
    <xf numFmtId="164" fontId="2" fillId="43" borderId="93" xfId="1" applyNumberFormat="1" applyFont="1" applyFill="1" applyBorder="1" applyAlignment="1">
      <alignment horizontal="center" vertical="center"/>
    </xf>
    <xf numFmtId="164" fontId="2" fillId="43" borderId="0" xfId="1" applyNumberFormat="1" applyFill="1" applyBorder="1" applyAlignment="1">
      <alignment horizontal="center" vertical="center"/>
    </xf>
    <xf numFmtId="164" fontId="2" fillId="43" borderId="93" xfId="1" applyNumberFormat="1" applyFill="1" applyBorder="1" applyAlignment="1">
      <alignment horizontal="center" vertical="center"/>
    </xf>
    <xf numFmtId="164" fontId="2" fillId="43" borderId="111" xfId="1" applyNumberFormat="1" applyFill="1" applyBorder="1" applyAlignment="1">
      <alignment horizontal="center" vertical="center"/>
    </xf>
    <xf numFmtId="164" fontId="2" fillId="43" borderId="31" xfId="1" applyNumberFormat="1" applyFont="1" applyFill="1" applyBorder="1" applyAlignment="1">
      <alignment horizontal="center" vertical="center"/>
    </xf>
    <xf numFmtId="164" fontId="2" fillId="43" borderId="89" xfId="1" applyNumberFormat="1" applyFont="1" applyFill="1" applyBorder="1" applyAlignment="1">
      <alignment horizontal="center" vertical="center"/>
    </xf>
    <xf numFmtId="164" fontId="2" fillId="43" borderId="104" xfId="1" applyNumberFormat="1" applyFont="1" applyFill="1" applyBorder="1" applyAlignment="1">
      <alignment horizontal="center" vertical="center"/>
    </xf>
    <xf numFmtId="0" fontId="2" fillId="0" borderId="0" xfId="1" applyFont="1" applyFill="1" applyBorder="1" applyAlignment="1">
      <alignment horizontal="right" vertical="center"/>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5" fillId="2" borderId="98" xfId="1" applyFont="1" applyFill="1" applyBorder="1" applyAlignment="1">
      <alignment horizontal="center"/>
    </xf>
    <xf numFmtId="0" fontId="6" fillId="0" borderId="0" xfId="1" applyFont="1" applyBorder="1" applyAlignment="1">
      <alignment horizontal="center" vertical="center"/>
    </xf>
    <xf numFmtId="0" fontId="6" fillId="0" borderId="0" xfId="66" applyFont="1" applyFill="1" applyBorder="1" applyAlignment="1">
      <alignment horizontal="center" vertical="center" wrapText="1"/>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0" fontId="6" fillId="0" borderId="79" xfId="0" applyFont="1" applyBorder="1" applyAlignment="1">
      <alignment horizontal="center" vertical="center"/>
    </xf>
    <xf numFmtId="0" fontId="6" fillId="0" borderId="23" xfId="0" applyFont="1" applyBorder="1" applyAlignment="1">
      <alignment horizontal="center" vertical="center"/>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34" fillId="0" borderId="0" xfId="0" applyFont="1" applyAlignment="1">
      <alignment horizontal="left" vertical="center" wrapText="1"/>
    </xf>
    <xf numFmtId="0" fontId="2" fillId="0" borderId="1" xfId="1" applyFont="1" applyBorder="1" applyAlignment="1">
      <alignment horizontal="right" vertical="center"/>
    </xf>
    <xf numFmtId="0" fontId="28" fillId="0" borderId="3" xfId="1" applyFont="1" applyBorder="1" applyAlignment="1">
      <alignment vertical="center"/>
    </xf>
    <xf numFmtId="0" fontId="2" fillId="0" borderId="5" xfId="1" applyBorder="1" applyAlignment="1">
      <alignment horizontal="right" vertical="center"/>
    </xf>
    <xf numFmtId="0" fontId="2" fillId="0" borderId="90" xfId="1" applyBorder="1" applyAlignment="1">
      <alignment vertical="center"/>
    </xf>
    <xf numFmtId="0" fontId="2" fillId="0" borderId="6" xfId="1" applyBorder="1" applyAlignment="1">
      <alignment vertical="center"/>
    </xf>
    <xf numFmtId="0" fontId="2" fillId="0" borderId="5" xfId="1" applyBorder="1" applyAlignment="1">
      <alignment horizontal="right"/>
    </xf>
    <xf numFmtId="0" fontId="2" fillId="0" borderId="6" xfId="1" applyBorder="1"/>
    <xf numFmtId="0" fontId="10" fillId="0" borderId="8" xfId="1" applyFont="1" applyFill="1" applyBorder="1" applyAlignment="1">
      <alignment vertical="center"/>
    </xf>
    <xf numFmtId="0" fontId="2" fillId="0" borderId="98" xfId="1" applyBorder="1" applyAlignment="1">
      <alignment vertical="center"/>
    </xf>
    <xf numFmtId="0" fontId="2" fillId="0" borderId="98" xfId="1" applyFill="1" applyBorder="1" applyAlignment="1">
      <alignment vertical="center"/>
    </xf>
    <xf numFmtId="0" fontId="2" fillId="0" borderId="106" xfId="1" applyBorder="1" applyAlignment="1">
      <alignment vertical="center"/>
    </xf>
    <xf numFmtId="0" fontId="2" fillId="0" borderId="0" xfId="1" quotePrefix="1" applyFill="1" applyAlignment="1">
      <alignment horizontal="right"/>
    </xf>
    <xf numFmtId="0" fontId="2" fillId="0" borderId="18" xfId="1" applyBorder="1" applyAlignment="1">
      <alignment vertical="center"/>
    </xf>
    <xf numFmtId="0" fontId="0" fillId="0" borderId="56" xfId="0" applyBorder="1" applyAlignment="1">
      <alignment vertical="center" wrapText="1"/>
    </xf>
    <xf numFmtId="0" fontId="2" fillId="0" borderId="56" xfId="1" applyBorder="1"/>
    <xf numFmtId="0" fontId="28" fillId="0" borderId="56" xfId="1" applyFont="1" applyFill="1" applyBorder="1" applyAlignment="1"/>
    <xf numFmtId="0" fontId="10" fillId="0" borderId="56" xfId="1" applyFont="1" applyFill="1" applyBorder="1" applyAlignment="1"/>
    <xf numFmtId="168" fontId="10" fillId="0" borderId="56" xfId="1" applyNumberFormat="1" applyFont="1" applyFill="1" applyBorder="1" applyAlignment="1"/>
    <xf numFmtId="164" fontId="2" fillId="0" borderId="56" xfId="1" applyNumberFormat="1" applyFont="1" applyFill="1" applyBorder="1"/>
    <xf numFmtId="0" fontId="2" fillId="0" borderId="56" xfId="1" applyFont="1" applyBorder="1"/>
    <xf numFmtId="0" fontId="2" fillId="0" borderId="56" xfId="1" applyFont="1" applyFill="1" applyBorder="1" applyAlignment="1">
      <alignment horizontal="right" vertical="center"/>
    </xf>
    <xf numFmtId="0" fontId="2" fillId="0" borderId="56" xfId="1" applyFont="1" applyFill="1" applyBorder="1" applyAlignment="1">
      <alignment vertical="center"/>
    </xf>
    <xf numFmtId="0" fontId="2" fillId="0" borderId="56" xfId="1" applyFont="1" applyBorder="1" applyAlignment="1">
      <alignment vertical="center" wrapText="1"/>
    </xf>
    <xf numFmtId="0" fontId="2" fillId="0" borderId="2" xfId="1" applyBorder="1"/>
    <xf numFmtId="164" fontId="6" fillId="0" borderId="17"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18" xfId="1" applyNumberFormat="1" applyFont="1" applyFill="1" applyBorder="1" applyAlignment="1">
      <alignment horizontal="center" vertical="center" wrapText="1"/>
    </xf>
    <xf numFmtId="1" fontId="2" fillId="25" borderId="84" xfId="1" applyNumberFormat="1" applyFill="1" applyBorder="1" applyAlignment="1">
      <alignment horizontal="center" vertical="center"/>
    </xf>
    <xf numFmtId="164" fontId="2" fillId="43" borderId="66" xfId="1" applyNumberFormat="1" applyFont="1" applyFill="1" applyBorder="1" applyAlignment="1">
      <alignment horizontal="center" vertical="center"/>
    </xf>
    <xf numFmtId="164" fontId="2" fillId="0" borderId="66" xfId="1" applyNumberFormat="1" applyFont="1" applyFill="1" applyBorder="1" applyAlignment="1">
      <alignment horizontal="center" vertical="center"/>
    </xf>
    <xf numFmtId="1" fontId="2" fillId="30" borderId="84" xfId="1" applyNumberFormat="1" applyFill="1" applyBorder="1" applyAlignment="1">
      <alignment horizontal="center" vertical="center"/>
    </xf>
    <xf numFmtId="164" fontId="2" fillId="43" borderId="66" xfId="1" applyNumberFormat="1" applyFill="1" applyBorder="1" applyAlignment="1">
      <alignment horizontal="center" vertical="center"/>
    </xf>
    <xf numFmtId="164" fontId="2" fillId="0" borderId="66" xfId="1" applyNumberFormat="1" applyFill="1" applyBorder="1" applyAlignment="1">
      <alignment horizontal="center" vertical="center"/>
    </xf>
    <xf numFmtId="1" fontId="2" fillId="24" borderId="84" xfId="1" applyNumberFormat="1" applyFill="1" applyBorder="1" applyAlignment="1">
      <alignment horizontal="center" vertical="center"/>
    </xf>
    <xf numFmtId="1" fontId="2" fillId="34" borderId="84" xfId="1" applyNumberFormat="1" applyFill="1" applyBorder="1" applyAlignment="1">
      <alignment horizontal="center" vertical="center"/>
    </xf>
    <xf numFmtId="164" fontId="2" fillId="43" borderId="73" xfId="1" applyNumberFormat="1" applyFont="1" applyFill="1" applyBorder="1" applyAlignment="1">
      <alignment horizontal="center" vertical="center"/>
    </xf>
    <xf numFmtId="164" fontId="2" fillId="43" borderId="152" xfId="1" applyNumberFormat="1" applyFont="1" applyFill="1" applyBorder="1" applyAlignment="1">
      <alignment horizontal="center" vertical="center"/>
    </xf>
    <xf numFmtId="164" fontId="2" fillId="43" borderId="153" xfId="1" applyNumberFormat="1" applyFont="1" applyFill="1" applyBorder="1" applyAlignment="1">
      <alignment horizontal="center" vertical="center"/>
    </xf>
    <xf numFmtId="164" fontId="2" fillId="43" borderId="154" xfId="1" applyNumberFormat="1" applyFont="1" applyFill="1" applyBorder="1" applyAlignment="1">
      <alignment horizontal="center" vertical="center"/>
    </xf>
    <xf numFmtId="164" fontId="2" fillId="43" borderId="155" xfId="1" applyNumberFormat="1" applyFont="1" applyFill="1" applyBorder="1" applyAlignment="1">
      <alignment horizontal="center" vertical="center"/>
    </xf>
    <xf numFmtId="0" fontId="5" fillId="2" borderId="8" xfId="1" applyFont="1" applyFill="1" applyBorder="1" applyAlignment="1"/>
    <xf numFmtId="0" fontId="5" fillId="2" borderId="98" xfId="1" applyFont="1" applyFill="1" applyBorder="1" applyAlignment="1"/>
    <xf numFmtId="0" fontId="34" fillId="0" borderId="0" xfId="0" applyFont="1" applyAlignment="1">
      <alignment horizontal="left" vertical="center"/>
    </xf>
    <xf numFmtId="14" fontId="34" fillId="0" borderId="0" xfId="0" applyNumberFormat="1" applyFont="1" applyAlignment="1">
      <alignment horizontal="left" vertical="center"/>
    </xf>
    <xf numFmtId="0" fontId="34" fillId="0" borderId="0" xfId="0" applyNumberFormat="1" applyFont="1" applyAlignment="1">
      <alignment horizontal="left" vertical="center"/>
    </xf>
    <xf numFmtId="2" fontId="6" fillId="0" borderId="51" xfId="1" applyNumberFormat="1" applyFont="1" applyFill="1" applyBorder="1" applyAlignment="1">
      <alignment vertical="center" wrapText="1"/>
    </xf>
    <xf numFmtId="2" fontId="6" fillId="0" borderId="52" xfId="1" applyNumberFormat="1" applyFont="1" applyFill="1" applyBorder="1" applyAlignment="1">
      <alignment vertical="center" wrapText="1"/>
    </xf>
    <xf numFmtId="2" fontId="6" fillId="0" borderId="51" xfId="66" applyNumberFormat="1" applyFont="1" applyFill="1" applyBorder="1" applyAlignment="1">
      <alignment vertical="center" wrapText="1"/>
    </xf>
    <xf numFmtId="2" fontId="6" fillId="0" borderId="52" xfId="66" applyNumberFormat="1" applyFont="1" applyFill="1" applyBorder="1" applyAlignment="1">
      <alignment vertical="center" wrapText="1"/>
    </xf>
    <xf numFmtId="0" fontId="0" fillId="0" borderId="0" xfId="0" applyBorder="1" applyAlignment="1">
      <alignment vertical="center" wrapText="1"/>
    </xf>
    <xf numFmtId="2" fontId="6" fillId="0" borderId="53" xfId="1" applyNumberFormat="1" applyFont="1" applyFill="1" applyBorder="1" applyAlignment="1">
      <alignment vertical="center" wrapText="1"/>
    </xf>
    <xf numFmtId="2" fontId="6" fillId="0" borderId="53" xfId="66" applyNumberFormat="1" applyFont="1" applyFill="1" applyBorder="1" applyAlignment="1">
      <alignment vertical="center" wrapText="1"/>
    </xf>
    <xf numFmtId="164" fontId="2" fillId="43" borderId="57" xfId="1" applyNumberFormat="1" applyFill="1" applyBorder="1" applyAlignment="1">
      <alignment horizontal="center" vertical="center"/>
    </xf>
    <xf numFmtId="164" fontId="2" fillId="43" borderId="140" xfId="1" applyNumberFormat="1" applyFill="1" applyBorder="1" applyAlignment="1">
      <alignment horizontal="center" vertical="center"/>
    </xf>
    <xf numFmtId="164" fontId="2" fillId="43" borderId="119" xfId="1" applyNumberFormat="1" applyFill="1" applyBorder="1" applyAlignment="1">
      <alignment horizontal="center" vertical="center"/>
    </xf>
    <xf numFmtId="164" fontId="2" fillId="43" borderId="141" xfId="1" applyNumberFormat="1" applyFill="1" applyBorder="1" applyAlignment="1">
      <alignment horizontal="center" vertical="center"/>
    </xf>
    <xf numFmtId="164" fontId="2" fillId="21" borderId="162" xfId="1" applyNumberFormat="1" applyFont="1" applyFill="1" applyBorder="1" applyAlignment="1">
      <alignment horizontal="center" vertical="center"/>
    </xf>
    <xf numFmtId="164" fontId="2" fillId="21" borderId="165" xfId="1" applyNumberFormat="1" applyFont="1" applyFill="1" applyBorder="1" applyAlignment="1">
      <alignment horizontal="center" vertical="center"/>
    </xf>
    <xf numFmtId="164" fontId="6" fillId="0" borderId="134" xfId="1" applyNumberFormat="1" applyFont="1" applyFill="1" applyBorder="1" applyAlignment="1">
      <alignment horizontal="center" vertical="center" wrapText="1"/>
    </xf>
    <xf numFmtId="164" fontId="6" fillId="0" borderId="69" xfId="1" applyNumberFormat="1" applyFont="1" applyFill="1" applyBorder="1" applyAlignment="1">
      <alignment horizontal="center" vertical="center" wrapText="1"/>
    </xf>
    <xf numFmtId="164" fontId="2" fillId="0" borderId="134" xfId="1" applyNumberFormat="1" applyFont="1" applyFill="1" applyBorder="1" applyAlignment="1">
      <alignment horizontal="center" vertical="center"/>
    </xf>
    <xf numFmtId="164" fontId="2" fillId="0" borderId="69" xfId="1" applyNumberFormat="1" applyFont="1" applyFill="1" applyBorder="1" applyAlignment="1">
      <alignment horizontal="center" vertical="center"/>
    </xf>
    <xf numFmtId="164" fontId="2" fillId="0" borderId="166" xfId="1" applyNumberFormat="1" applyFont="1" applyFill="1" applyBorder="1" applyAlignment="1">
      <alignment horizontal="center" vertical="center"/>
    </xf>
    <xf numFmtId="164" fontId="2" fillId="0" borderId="167" xfId="1" applyNumberFormat="1" applyFont="1" applyFill="1" applyBorder="1" applyAlignment="1">
      <alignment horizontal="center" vertical="center"/>
    </xf>
    <xf numFmtId="164" fontId="2" fillId="0" borderId="168" xfId="1" applyNumberFormat="1" applyFont="1" applyFill="1" applyBorder="1" applyAlignment="1">
      <alignment horizontal="center" vertical="center"/>
    </xf>
    <xf numFmtId="164" fontId="2" fillId="0" borderId="68" xfId="1" applyNumberFormat="1" applyFont="1" applyFill="1" applyBorder="1" applyAlignment="1">
      <alignment horizontal="center" vertical="center"/>
    </xf>
    <xf numFmtId="164" fontId="2" fillId="0" borderId="134" xfId="1" applyNumberFormat="1" applyFill="1" applyBorder="1" applyAlignment="1">
      <alignment horizontal="center" vertical="center"/>
    </xf>
    <xf numFmtId="164" fontId="2" fillId="0" borderId="69" xfId="1" applyNumberFormat="1" applyFill="1" applyBorder="1" applyAlignment="1">
      <alignment horizontal="center" vertical="center"/>
    </xf>
    <xf numFmtId="164" fontId="2" fillId="0" borderId="166" xfId="1" applyNumberFormat="1" applyFill="1" applyBorder="1" applyAlignment="1">
      <alignment horizontal="center" vertical="center"/>
    </xf>
    <xf numFmtId="164" fontId="2" fillId="0" borderId="167" xfId="1" applyNumberFormat="1" applyFill="1" applyBorder="1" applyAlignment="1">
      <alignment horizontal="center" vertical="center"/>
    </xf>
    <xf numFmtId="164" fontId="2" fillId="0" borderId="168" xfId="1" applyNumberFormat="1" applyFill="1" applyBorder="1" applyAlignment="1">
      <alignment horizontal="center" vertical="center"/>
    </xf>
    <xf numFmtId="164" fontId="2" fillId="0" borderId="68" xfId="1" applyNumberFormat="1" applyFill="1" applyBorder="1" applyAlignment="1">
      <alignment horizontal="center" vertical="center"/>
    </xf>
    <xf numFmtId="164" fontId="2" fillId="0" borderId="126" xfId="1" applyNumberFormat="1" applyFill="1" applyBorder="1" applyAlignment="1">
      <alignment horizontal="center" vertical="center"/>
    </xf>
    <xf numFmtId="164" fontId="2" fillId="0" borderId="97" xfId="1" applyNumberFormat="1" applyFill="1" applyBorder="1" applyAlignment="1">
      <alignment horizontal="center" vertical="center"/>
    </xf>
    <xf numFmtId="164" fontId="2" fillId="21" borderId="164" xfId="1" applyNumberFormat="1" applyFont="1" applyFill="1" applyBorder="1" applyAlignment="1">
      <alignment horizontal="center" vertical="center"/>
    </xf>
    <xf numFmtId="164" fontId="2" fillId="0" borderId="162" xfId="1" applyNumberFormat="1" applyFont="1" applyFill="1" applyBorder="1" applyAlignment="1">
      <alignment horizontal="center" vertical="center"/>
    </xf>
    <xf numFmtId="164" fontId="2" fillId="0" borderId="162" xfId="1" applyNumberForma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60" fillId="0" borderId="0" xfId="0" applyNumberFormat="1" applyFont="1" applyFill="1" applyBorder="1" applyAlignment="1">
      <alignment vertical="center"/>
    </xf>
    <xf numFmtId="172" fontId="2" fillId="36" borderId="66" xfId="0" applyNumberFormat="1" applyFont="1" applyFill="1" applyBorder="1" applyAlignment="1">
      <alignment horizontal="right" wrapText="1"/>
    </xf>
    <xf numFmtId="172" fontId="2" fillId="36" borderId="0" xfId="0" applyNumberFormat="1" applyFont="1" applyFill="1" applyBorder="1" applyAlignment="1">
      <alignment horizontal="right" wrapText="1"/>
    </xf>
    <xf numFmtId="172" fontId="2" fillId="36" borderId="0" xfId="0" applyNumberFormat="1" applyFont="1" applyFill="1" applyBorder="1" applyAlignment="1">
      <alignment horizontal="right"/>
    </xf>
    <xf numFmtId="171" fontId="2" fillId="36" borderId="19" xfId="0" applyNumberFormat="1" applyFont="1" applyFill="1" applyBorder="1" applyAlignment="1">
      <alignment horizontal="right" wrapText="1"/>
    </xf>
    <xf numFmtId="0" fontId="2" fillId="32" borderId="62" xfId="0" applyNumberFormat="1" applyFont="1" applyFill="1" applyBorder="1" applyAlignment="1">
      <alignment horizontal="right" wrapText="1"/>
    </xf>
    <xf numFmtId="0" fontId="2" fillId="0" borderId="0" xfId="1" applyFont="1" applyFill="1" applyBorder="1" applyAlignment="1">
      <alignment horizontal="right" vertical="center"/>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6" fillId="0" borderId="52" xfId="1" applyFont="1" applyBorder="1" applyAlignment="1">
      <alignment horizontal="center" vertical="center"/>
    </xf>
    <xf numFmtId="0" fontId="2" fillId="0" borderId="0" xfId="1" applyBorder="1" applyAlignment="1">
      <alignment horizontal="center" vertical="center" wrapText="1"/>
    </xf>
    <xf numFmtId="164" fontId="76" fillId="43" borderId="31" xfId="1" applyNumberFormat="1" applyFont="1" applyFill="1" applyBorder="1" applyAlignment="1">
      <alignment horizontal="center" vertical="center"/>
    </xf>
    <xf numFmtId="164" fontId="76" fillId="43" borderId="0" xfId="1" applyNumberFormat="1" applyFont="1" applyFill="1" applyBorder="1" applyAlignment="1">
      <alignment horizontal="center" vertical="center"/>
    </xf>
    <xf numFmtId="164" fontId="76" fillId="43" borderId="89" xfId="1" applyNumberFormat="1" applyFont="1" applyFill="1" applyBorder="1" applyAlignment="1">
      <alignment horizontal="center" vertical="center"/>
    </xf>
    <xf numFmtId="164" fontId="76" fillId="43" borderId="93" xfId="1" applyNumberFormat="1" applyFont="1" applyFill="1" applyBorder="1" applyAlignment="1">
      <alignment horizontal="center" vertical="center"/>
    </xf>
    <xf numFmtId="164" fontId="76" fillId="43" borderId="104" xfId="1" applyNumberFormat="1" applyFont="1" applyFill="1" applyBorder="1" applyAlignment="1">
      <alignment horizontal="center" vertical="center"/>
    </xf>
    <xf numFmtId="164" fontId="2" fillId="0" borderId="19" xfId="1" applyNumberFormat="1" applyFont="1" applyFill="1" applyBorder="1" applyAlignment="1">
      <alignment horizontal="center" vertical="center"/>
    </xf>
    <xf numFmtId="164" fontId="2" fillId="0" borderId="49" xfId="1" applyNumberFormat="1" applyFont="1" applyFill="1" applyBorder="1" applyAlignment="1">
      <alignment horizontal="center" vertical="center"/>
    </xf>
    <xf numFmtId="164" fontId="2" fillId="0" borderId="110" xfId="1" applyNumberFormat="1" applyFont="1" applyFill="1" applyBorder="1" applyAlignment="1">
      <alignment horizontal="center" vertical="center"/>
    </xf>
    <xf numFmtId="164" fontId="76" fillId="43" borderId="2" xfId="1" applyNumberFormat="1" applyFont="1" applyFill="1" applyBorder="1" applyAlignment="1">
      <alignment horizontal="center" vertical="center"/>
    </xf>
    <xf numFmtId="164" fontId="76" fillId="43" borderId="3" xfId="1" applyNumberFormat="1" applyFont="1" applyFill="1" applyBorder="1" applyAlignment="1">
      <alignment horizontal="center" vertical="center"/>
    </xf>
    <xf numFmtId="164" fontId="76" fillId="43" borderId="87" xfId="1" applyNumberFormat="1" applyFont="1" applyFill="1" applyBorder="1" applyAlignment="1">
      <alignment horizontal="center" vertical="center"/>
    </xf>
    <xf numFmtId="164" fontId="76" fillId="43" borderId="6" xfId="1" applyNumberFormat="1" applyFont="1" applyFill="1" applyBorder="1" applyAlignment="1">
      <alignment horizontal="center" vertical="center"/>
    </xf>
    <xf numFmtId="0" fontId="2" fillId="0" borderId="2" xfId="1" applyFont="1" applyFill="1" applyBorder="1" applyAlignment="1">
      <alignment horizontal="center" vertical="center" wrapText="1"/>
    </xf>
    <xf numFmtId="0" fontId="2" fillId="0" borderId="0" xfId="1" applyFont="1" applyFill="1" applyBorder="1" applyAlignment="1">
      <alignment horizontal="center" vertical="center" wrapText="1"/>
    </xf>
    <xf numFmtId="2" fontId="6" fillId="0" borderId="98" xfId="66" applyNumberFormat="1" applyFont="1" applyFill="1" applyBorder="1" applyAlignment="1">
      <alignment horizontal="center" vertical="center" wrapText="1"/>
    </xf>
    <xf numFmtId="164" fontId="2" fillId="0" borderId="49" xfId="1" applyNumberFormat="1" applyFill="1" applyBorder="1" applyAlignment="1">
      <alignment horizontal="center" vertical="center"/>
    </xf>
    <xf numFmtId="164" fontId="2" fillId="0" borderId="110" xfId="1" applyNumberFormat="1" applyFill="1" applyBorder="1" applyAlignment="1">
      <alignment horizontal="center" vertical="center"/>
    </xf>
    <xf numFmtId="164" fontId="2" fillId="0" borderId="173" xfId="1" applyNumberFormat="1" applyFill="1" applyBorder="1" applyAlignment="1">
      <alignment horizontal="center" vertical="center"/>
    </xf>
    <xf numFmtId="164" fontId="2" fillId="43" borderId="31" xfId="1" applyNumberFormat="1" applyFill="1" applyBorder="1" applyAlignment="1">
      <alignment horizontal="center" vertical="center"/>
    </xf>
    <xf numFmtId="164" fontId="2" fillId="43" borderId="89" xfId="1" applyNumberFormat="1" applyFill="1" applyBorder="1" applyAlignment="1">
      <alignment horizontal="center" vertical="center"/>
    </xf>
    <xf numFmtId="164" fontId="2" fillId="43" borderId="104" xfId="1" applyNumberFormat="1" applyFill="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Font="1" applyBorder="1" applyAlignment="1">
      <alignment horizontal="center" vertical="center" wrapText="1"/>
    </xf>
    <xf numFmtId="0" fontId="6" fillId="2" borderId="0" xfId="1" applyFont="1" applyFill="1" applyBorder="1" applyAlignment="1">
      <alignment horizontal="center" vertical="center"/>
    </xf>
    <xf numFmtId="0" fontId="28" fillId="0" borderId="0" xfId="1" applyFont="1" applyBorder="1" applyAlignment="1">
      <alignment vertical="center"/>
    </xf>
    <xf numFmtId="164" fontId="2" fillId="3" borderId="0" xfId="1" applyNumberFormat="1" applyFill="1" applyBorder="1" applyAlignment="1">
      <alignment horizontal="center" vertical="center"/>
    </xf>
    <xf numFmtId="0" fontId="28" fillId="0" borderId="0" xfId="1" applyFont="1" applyBorder="1" applyAlignment="1">
      <alignment horizontal="center" vertical="center"/>
    </xf>
    <xf numFmtId="164" fontId="2" fillId="0" borderId="0" xfId="1" applyNumberFormat="1" applyFont="1" applyBorder="1" applyAlignment="1">
      <alignment horizontal="center" vertical="center"/>
    </xf>
    <xf numFmtId="16" fontId="34" fillId="0" borderId="0" xfId="0" applyNumberFormat="1" applyFont="1" applyAlignment="1">
      <alignment horizontal="left" vertical="center"/>
    </xf>
    <xf numFmtId="0" fontId="8" fillId="39" borderId="0" xfId="0" applyFont="1" applyFill="1" applyBorder="1" applyAlignment="1" applyProtection="1">
      <alignment vertical="center" wrapText="1"/>
    </xf>
    <xf numFmtId="0" fontId="9" fillId="36" borderId="1" xfId="0" applyFont="1" applyFill="1" applyBorder="1" applyAlignment="1" applyProtection="1">
      <alignment horizontal="center" vertical="center"/>
    </xf>
    <xf numFmtId="0" fontId="9" fillId="36" borderId="2" xfId="0" applyFont="1" applyFill="1" applyBorder="1" applyAlignment="1" applyProtection="1">
      <alignment horizontal="center" vertical="center"/>
    </xf>
    <xf numFmtId="0" fontId="9" fillId="36" borderId="3" xfId="0" applyFont="1" applyFill="1" applyBorder="1" applyAlignment="1" applyProtection="1">
      <alignment horizontal="center" vertical="center"/>
    </xf>
    <xf numFmtId="0" fontId="9" fillId="36" borderId="5" xfId="0" applyFont="1" applyFill="1" applyBorder="1" applyAlignment="1" applyProtection="1">
      <alignment horizontal="center" vertical="center"/>
    </xf>
    <xf numFmtId="0" fontId="9" fillId="36" borderId="0" xfId="0" applyFont="1" applyFill="1" applyBorder="1" applyAlignment="1" applyProtection="1">
      <alignment horizontal="center" vertical="center"/>
    </xf>
    <xf numFmtId="0" fontId="9" fillId="36" borderId="6" xfId="0" applyFont="1" applyFill="1" applyBorder="1" applyAlignment="1" applyProtection="1">
      <alignment horizontal="center" vertical="center"/>
    </xf>
    <xf numFmtId="0" fontId="9" fillId="36" borderId="8" xfId="0" applyFont="1" applyFill="1" applyBorder="1" applyAlignment="1" applyProtection="1">
      <alignment horizontal="center" vertical="center"/>
    </xf>
    <xf numFmtId="0" fontId="9" fillId="36" borderId="98" xfId="0" applyFont="1" applyFill="1" applyBorder="1" applyAlignment="1" applyProtection="1">
      <alignment horizontal="center" vertical="center"/>
    </xf>
    <xf numFmtId="0" fontId="9" fillId="36" borderId="106" xfId="0" applyFont="1" applyFill="1" applyBorder="1" applyAlignment="1" applyProtection="1">
      <alignment horizontal="center" vertical="center"/>
    </xf>
    <xf numFmtId="165" fontId="8" fillId="39" borderId="0" xfId="0" applyNumberFormat="1" applyFont="1" applyFill="1" applyBorder="1" applyAlignment="1" applyProtection="1">
      <alignment horizontal="left" vertical="center"/>
    </xf>
    <xf numFmtId="0" fontId="57" fillId="40" borderId="0" xfId="86" applyFont="1" applyFill="1" applyBorder="1" applyAlignment="1" applyProtection="1">
      <alignment vertical="center" wrapText="1"/>
    </xf>
    <xf numFmtId="0" fontId="9" fillId="36" borderId="2" xfId="0" applyFont="1" applyFill="1" applyBorder="1" applyAlignment="1" applyProtection="1">
      <alignment horizontal="center" vertical="center" wrapText="1"/>
    </xf>
    <xf numFmtId="0" fontId="9" fillId="42" borderId="77" xfId="0" applyFont="1" applyFill="1" applyBorder="1" applyAlignment="1" applyProtection="1">
      <alignment horizontal="center" vertical="center"/>
    </xf>
    <xf numFmtId="0" fontId="9" fillId="42" borderId="60" xfId="0" applyFont="1" applyFill="1" applyBorder="1" applyAlignment="1" applyProtection="1">
      <alignment horizontal="center" vertical="center"/>
    </xf>
    <xf numFmtId="0" fontId="9" fillId="42" borderId="85" xfId="0" applyFont="1" applyFill="1" applyBorder="1" applyAlignment="1" applyProtection="1">
      <alignment horizontal="center" vertical="center"/>
    </xf>
    <xf numFmtId="0" fontId="8" fillId="40" borderId="0" xfId="0" applyFont="1" applyFill="1" applyBorder="1" applyAlignment="1" applyProtection="1">
      <alignment vertical="center" wrapText="1"/>
    </xf>
    <xf numFmtId="164" fontId="8" fillId="39" borderId="0" xfId="0" applyNumberFormat="1" applyFont="1" applyFill="1" applyBorder="1" applyAlignment="1" applyProtection="1">
      <alignment vertical="center" wrapText="1"/>
    </xf>
    <xf numFmtId="0" fontId="8" fillId="35" borderId="0" xfId="0" applyFont="1" applyFill="1" applyBorder="1" applyAlignment="1" applyProtection="1">
      <alignment horizontal="left" vertical="center" wrapText="1"/>
    </xf>
    <xf numFmtId="0" fontId="6" fillId="41" borderId="0" xfId="0" applyFont="1" applyFill="1" applyBorder="1" applyAlignment="1" applyProtection="1">
      <alignment vertical="center"/>
    </xf>
    <xf numFmtId="0" fontId="8" fillId="35" borderId="0" xfId="0" applyFont="1" applyFill="1" applyBorder="1" applyAlignment="1" applyProtection="1">
      <alignment vertical="center" wrapText="1"/>
    </xf>
    <xf numFmtId="0" fontId="8" fillId="41" borderId="0" xfId="0" applyFont="1" applyFill="1" applyBorder="1" applyAlignment="1" applyProtection="1">
      <alignment vertical="center" wrapText="1"/>
    </xf>
    <xf numFmtId="0" fontId="52" fillId="35" borderId="0" xfId="0" applyFont="1" applyFill="1" applyBorder="1" applyAlignment="1" applyProtection="1">
      <alignment vertical="center" wrapText="1"/>
    </xf>
    <xf numFmtId="0" fontId="31" fillId="39" borderId="0" xfId="0" applyFont="1" applyFill="1" applyBorder="1" applyAlignment="1" applyProtection="1">
      <alignment vertical="center" wrapText="1"/>
    </xf>
    <xf numFmtId="0" fontId="8" fillId="40" borderId="0" xfId="0" applyFont="1" applyFill="1" applyBorder="1" applyAlignment="1" applyProtection="1">
      <alignment horizontal="left" vertical="center" wrapText="1"/>
    </xf>
    <xf numFmtId="0" fontId="0" fillId="40" borderId="0" xfId="0" applyFill="1" applyBorder="1" applyAlignment="1" applyProtection="1">
      <alignment vertical="center"/>
    </xf>
    <xf numFmtId="0" fontId="62" fillId="44" borderId="46" xfId="0" applyNumberFormat="1" applyFont="1" applyFill="1" applyBorder="1" applyAlignment="1">
      <alignment horizontal="center"/>
    </xf>
    <xf numFmtId="0" fontId="62" fillId="44" borderId="29" xfId="0" applyNumberFormat="1" applyFont="1" applyFill="1" applyBorder="1" applyAlignment="1">
      <alignment horizontal="center"/>
    </xf>
    <xf numFmtId="0" fontId="62" fillId="44" borderId="47" xfId="0" applyNumberFormat="1" applyFont="1" applyFill="1" applyBorder="1" applyAlignment="1">
      <alignment horizontal="center"/>
    </xf>
    <xf numFmtId="0" fontId="63" fillId="45" borderId="78" xfId="0" applyNumberFormat="1" applyFont="1" applyFill="1" applyBorder="1" applyAlignment="1">
      <alignment horizontal="left" vertical="center"/>
    </xf>
    <xf numFmtId="0" fontId="63" fillId="45" borderId="4" xfId="0" applyNumberFormat="1" applyFont="1" applyFill="1" applyBorder="1" applyAlignment="1">
      <alignment horizontal="left" vertical="center"/>
    </xf>
    <xf numFmtId="0" fontId="63" fillId="45" borderId="62" xfId="0" applyNumberFormat="1" applyFont="1" applyFill="1" applyBorder="1" applyAlignment="1">
      <alignment horizontal="left" vertical="center"/>
    </xf>
    <xf numFmtId="0" fontId="64" fillId="45" borderId="46" xfId="0" applyNumberFormat="1" applyFont="1" applyFill="1" applyBorder="1" applyAlignment="1">
      <alignment horizontal="left" vertical="center"/>
    </xf>
    <xf numFmtId="0" fontId="64" fillId="45" borderId="29" xfId="0" applyNumberFormat="1" applyFont="1" applyFill="1" applyBorder="1" applyAlignment="1">
      <alignment horizontal="left" vertical="center"/>
    </xf>
    <xf numFmtId="0" fontId="64" fillId="45" borderId="47" xfId="0" applyNumberFormat="1" applyFont="1" applyFill="1" applyBorder="1" applyAlignment="1">
      <alignment horizontal="left" vertical="center"/>
    </xf>
    <xf numFmtId="0" fontId="64" fillId="45" borderId="78" xfId="0" applyNumberFormat="1" applyFont="1" applyFill="1" applyBorder="1" applyAlignment="1">
      <alignment horizontal="left" vertical="center"/>
    </xf>
    <xf numFmtId="0" fontId="64" fillId="45" borderId="4" xfId="0" applyNumberFormat="1" applyFont="1" applyFill="1" applyBorder="1" applyAlignment="1">
      <alignment horizontal="left" vertical="center"/>
    </xf>
    <xf numFmtId="0" fontId="67" fillId="0" borderId="4" xfId="0" applyNumberFormat="1" applyFont="1" applyFill="1" applyBorder="1" applyAlignment="1">
      <alignment horizontal="right"/>
    </xf>
    <xf numFmtId="179" fontId="69" fillId="0" borderId="0" xfId="0" applyNumberFormat="1" applyFont="1" applyFill="1" applyBorder="1" applyAlignment="1">
      <alignment horizontal="left"/>
    </xf>
    <xf numFmtId="0" fontId="65" fillId="0" borderId="0" xfId="0" applyNumberFormat="1" applyFont="1" applyFill="1" applyBorder="1" applyAlignment="1">
      <alignment horizontal="left" vertical="justify" wrapText="1"/>
    </xf>
    <xf numFmtId="0" fontId="71" fillId="47" borderId="46" xfId="0" applyNumberFormat="1" applyFont="1" applyFill="1" applyBorder="1" applyAlignment="1">
      <alignment horizontal="center" vertical="center" wrapText="1"/>
    </xf>
    <xf numFmtId="0" fontId="71" fillId="47" borderId="29" xfId="0" applyNumberFormat="1" applyFont="1" applyFill="1" applyBorder="1" applyAlignment="1">
      <alignment horizontal="center" vertical="center" wrapText="1"/>
    </xf>
    <xf numFmtId="0" fontId="71" fillId="47" borderId="47" xfId="0" applyNumberFormat="1" applyFont="1" applyFill="1" applyBorder="1" applyAlignment="1">
      <alignment horizontal="center" vertical="center" wrapText="1"/>
    </xf>
    <xf numFmtId="0" fontId="69" fillId="0" borderId="46" xfId="0" applyNumberFormat="1" applyFont="1" applyFill="1" applyBorder="1" applyAlignment="1">
      <alignment horizontal="center" vertical="center"/>
    </xf>
    <xf numFmtId="0" fontId="69" fillId="0" borderId="29" xfId="0" applyNumberFormat="1" applyFont="1" applyFill="1" applyBorder="1" applyAlignment="1">
      <alignment horizontal="center" vertical="center"/>
    </xf>
    <xf numFmtId="0" fontId="69" fillId="0" borderId="47" xfId="0" applyNumberFormat="1" applyFont="1" applyFill="1" applyBorder="1" applyAlignment="1">
      <alignment horizontal="center" vertical="center"/>
    </xf>
    <xf numFmtId="0" fontId="71" fillId="47" borderId="66" xfId="0" applyNumberFormat="1" applyFont="1" applyFill="1" applyBorder="1" applyAlignment="1">
      <alignment horizontal="center" vertical="center"/>
    </xf>
    <xf numFmtId="0" fontId="71" fillId="47" borderId="47" xfId="0" applyNumberFormat="1" applyFont="1" applyFill="1" applyBorder="1" applyAlignment="1">
      <alignment horizontal="center" vertical="center"/>
    </xf>
    <xf numFmtId="0" fontId="69" fillId="0" borderId="0" xfId="0" applyNumberFormat="1" applyFont="1" applyFill="1" applyBorder="1" applyAlignment="1">
      <alignment horizontal="left"/>
    </xf>
    <xf numFmtId="0" fontId="2" fillId="22" borderId="8" xfId="1" applyFont="1" applyFill="1" applyBorder="1" applyAlignment="1">
      <alignment horizontal="center" vertical="center" wrapText="1"/>
    </xf>
    <xf numFmtId="0" fontId="2" fillId="22" borderId="98" xfId="1" applyFont="1" applyFill="1" applyBorder="1" applyAlignment="1">
      <alignment horizontal="center" vertical="center" wrapText="1"/>
    </xf>
    <xf numFmtId="0" fontId="2" fillId="22" borderId="10" xfId="1" applyFont="1" applyFill="1" applyBorder="1" applyAlignment="1">
      <alignment horizontal="center" vertical="center" wrapText="1"/>
    </xf>
    <xf numFmtId="0" fontId="2" fillId="21" borderId="7" xfId="1" applyFont="1" applyFill="1" applyBorder="1" applyAlignment="1">
      <alignment horizontal="left" vertical="center"/>
    </xf>
    <xf numFmtId="0" fontId="2" fillId="0" borderId="18" xfId="1" applyFont="1" applyFill="1" applyBorder="1" applyAlignment="1">
      <alignment horizontal="right" vertical="center"/>
    </xf>
    <xf numFmtId="0" fontId="2" fillId="0" borderId="0" xfId="1" applyFont="1" applyFill="1" applyBorder="1" applyAlignment="1">
      <alignment horizontal="right" vertical="center"/>
    </xf>
    <xf numFmtId="0" fontId="2" fillId="0" borderId="19" xfId="1" applyFont="1" applyFill="1" applyBorder="1" applyAlignment="1">
      <alignment horizontal="right" vertical="center"/>
    </xf>
    <xf numFmtId="0" fontId="2" fillId="21" borderId="7" xfId="1" applyFont="1" applyFill="1" applyBorder="1" applyAlignment="1">
      <alignment vertical="center"/>
    </xf>
    <xf numFmtId="0" fontId="2" fillId="21" borderId="46" xfId="1" applyFont="1" applyFill="1" applyBorder="1" applyAlignment="1">
      <alignment vertical="center"/>
    </xf>
    <xf numFmtId="0" fontId="2" fillId="21" borderId="20" xfId="1" applyFont="1" applyFill="1" applyBorder="1" applyAlignment="1">
      <alignment vertical="center"/>
    </xf>
    <xf numFmtId="14" fontId="2" fillId="21" borderId="24" xfId="1" applyNumberFormat="1" applyFont="1" applyFill="1" applyBorder="1" applyAlignment="1">
      <alignment horizontal="left" vertical="center"/>
    </xf>
    <xf numFmtId="0" fontId="2" fillId="0" borderId="25" xfId="1" applyFont="1" applyFill="1" applyBorder="1" applyAlignment="1">
      <alignment horizontal="right" vertical="center"/>
    </xf>
    <xf numFmtId="0" fontId="2" fillId="0" borderId="98" xfId="1" applyFont="1" applyFill="1" applyBorder="1" applyAlignment="1">
      <alignment horizontal="right" vertical="center"/>
    </xf>
    <xf numFmtId="0" fontId="2" fillId="0" borderId="26" xfId="1" applyFont="1" applyFill="1" applyBorder="1" applyAlignment="1">
      <alignment horizontal="right" vertical="center"/>
    </xf>
    <xf numFmtId="0" fontId="2" fillId="4" borderId="24" xfId="1" applyFont="1" applyFill="1" applyBorder="1" applyAlignment="1">
      <alignment vertical="center"/>
    </xf>
    <xf numFmtId="0" fontId="2" fillId="4" borderId="48" xfId="1" applyFont="1" applyFill="1" applyBorder="1" applyAlignment="1">
      <alignment vertical="center"/>
    </xf>
    <xf numFmtId="0" fontId="2" fillId="4" borderId="27" xfId="1" applyFont="1" applyFill="1" applyBorder="1" applyAlignment="1">
      <alignment vertical="center"/>
    </xf>
    <xf numFmtId="2" fontId="2" fillId="28" borderId="92" xfId="1" applyNumberFormat="1" applyFont="1" applyFill="1" applyBorder="1" applyAlignment="1">
      <alignment horizontal="center" vertical="center"/>
    </xf>
    <xf numFmtId="2" fontId="2" fillId="28" borderId="82" xfId="1" applyNumberFormat="1" applyFont="1" applyFill="1" applyBorder="1" applyAlignment="1">
      <alignment horizontal="center" vertical="center"/>
    </xf>
    <xf numFmtId="2" fontId="2" fillId="26" borderId="92" xfId="1" applyNumberFormat="1" applyFont="1" applyFill="1" applyBorder="1" applyAlignment="1">
      <alignment horizontal="center" vertical="center"/>
    </xf>
    <xf numFmtId="2" fontId="2" fillId="26" borderId="82" xfId="1" applyNumberFormat="1" applyFont="1" applyFill="1" applyBorder="1" applyAlignment="1">
      <alignment horizontal="center" vertical="center"/>
    </xf>
    <xf numFmtId="0" fontId="2" fillId="22" borderId="1" xfId="1" applyFont="1" applyFill="1" applyBorder="1" applyAlignment="1">
      <alignment horizontal="center" vertical="center" wrapText="1"/>
    </xf>
    <xf numFmtId="0" fontId="2" fillId="22" borderId="2" xfId="1" applyFont="1" applyFill="1" applyBorder="1" applyAlignment="1">
      <alignment horizontal="center" vertical="center" wrapText="1"/>
    </xf>
    <xf numFmtId="0" fontId="2" fillId="22" borderId="3" xfId="1" applyFont="1" applyFill="1" applyBorder="1" applyAlignment="1">
      <alignment horizontal="center" vertical="center" wrapText="1"/>
    </xf>
    <xf numFmtId="0" fontId="2" fillId="22" borderId="5"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2" borderId="64" xfId="1" applyFont="1" applyFill="1" applyBorder="1" applyAlignment="1">
      <alignment horizontal="center" vertical="center" wrapText="1"/>
    </xf>
    <xf numFmtId="0" fontId="2" fillId="22" borderId="63" xfId="1" applyFont="1" applyFill="1" applyBorder="1" applyAlignment="1">
      <alignment horizontal="center" vertical="center" wrapText="1"/>
    </xf>
    <xf numFmtId="2" fontId="2" fillId="23" borderId="94" xfId="1" applyNumberFormat="1" applyFont="1" applyFill="1" applyBorder="1" applyAlignment="1">
      <alignment horizontal="center" vertical="center"/>
    </xf>
    <xf numFmtId="2" fontId="2" fillId="23" borderId="87" xfId="1" applyNumberFormat="1" applyFont="1" applyFill="1" applyBorder="1" applyAlignment="1">
      <alignment horizontal="center" vertical="center"/>
    </xf>
    <xf numFmtId="0" fontId="2" fillId="23" borderId="0"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23" borderId="5" xfId="1" applyFont="1" applyFill="1" applyBorder="1" applyAlignment="1">
      <alignment horizontal="center" vertical="center" wrapText="1"/>
    </xf>
    <xf numFmtId="2" fontId="2" fillId="33" borderId="92" xfId="1" applyNumberFormat="1" applyFont="1" applyFill="1" applyBorder="1" applyAlignment="1">
      <alignment horizontal="center" vertical="center"/>
    </xf>
    <xf numFmtId="2" fontId="2" fillId="33" borderId="82" xfId="1" applyNumberFormat="1" applyFont="1" applyFill="1" applyBorder="1" applyAlignment="1">
      <alignment horizontal="center" vertical="center"/>
    </xf>
    <xf numFmtId="2" fontId="2" fillId="31" borderId="92" xfId="1" applyNumberFormat="1" applyFont="1" applyFill="1" applyBorder="1" applyAlignment="1">
      <alignment horizontal="center" vertical="center"/>
    </xf>
    <xf numFmtId="2" fontId="2" fillId="31" borderId="82" xfId="1" applyNumberFormat="1" applyFont="1" applyFill="1" applyBorder="1" applyAlignment="1">
      <alignment horizontal="center" vertical="center"/>
    </xf>
    <xf numFmtId="0" fontId="5" fillId="2" borderId="8" xfId="1" applyFont="1" applyFill="1" applyBorder="1" applyAlignment="1">
      <alignment horizontal="center" vertical="center"/>
    </xf>
    <xf numFmtId="0" fontId="5" fillId="2" borderId="98" xfId="1" applyFont="1" applyFill="1" applyBorder="1" applyAlignment="1">
      <alignment horizontal="center" vertical="center"/>
    </xf>
    <xf numFmtId="0" fontId="5" fillId="2" borderId="10" xfId="1" applyFont="1" applyFill="1" applyBorder="1" applyAlignment="1">
      <alignment horizontal="center" vertical="center"/>
    </xf>
    <xf numFmtId="0" fontId="2" fillId="21" borderId="11" xfId="1" applyFont="1" applyFill="1" applyBorder="1" applyAlignment="1">
      <alignment horizontal="left" vertical="center"/>
    </xf>
    <xf numFmtId="0" fontId="2" fillId="0" borderId="12" xfId="1" applyFont="1" applyFill="1" applyBorder="1" applyAlignment="1">
      <alignment horizontal="right" vertical="center"/>
    </xf>
    <xf numFmtId="0" fontId="2" fillId="0" borderId="2" xfId="1" applyFont="1" applyFill="1" applyBorder="1" applyAlignment="1">
      <alignment horizontal="right" vertical="center"/>
    </xf>
    <xf numFmtId="0" fontId="2" fillId="0" borderId="13" xfId="1" applyFont="1" applyFill="1" applyBorder="1" applyAlignment="1">
      <alignment horizontal="right" vertical="center"/>
    </xf>
    <xf numFmtId="0" fontId="2" fillId="5" borderId="11" xfId="1" applyFont="1" applyFill="1" applyBorder="1" applyAlignment="1">
      <alignment horizontal="left" vertical="center"/>
    </xf>
    <xf numFmtId="0" fontId="2" fillId="5" borderId="43" xfId="1" applyFont="1" applyFill="1" applyBorder="1" applyAlignment="1">
      <alignment horizontal="left" vertical="center"/>
    </xf>
    <xf numFmtId="0" fontId="2" fillId="5" borderId="14" xfId="1" applyFont="1" applyFill="1" applyBorder="1" applyAlignment="1">
      <alignment horizontal="left" vertical="center"/>
    </xf>
    <xf numFmtId="0" fontId="2" fillId="21" borderId="46" xfId="1" applyFont="1" applyFill="1" applyBorder="1" applyAlignment="1">
      <alignment horizontal="left" vertical="center"/>
    </xf>
    <xf numFmtId="0" fontId="2" fillId="21" borderId="20" xfId="1" applyFont="1" applyFill="1" applyBorder="1" applyAlignment="1">
      <alignment horizontal="left" vertical="center"/>
    </xf>
    <xf numFmtId="0" fontId="5" fillId="2" borderId="8" xfId="1" applyFont="1" applyFill="1" applyBorder="1" applyAlignment="1">
      <alignment horizontal="center"/>
    </xf>
    <xf numFmtId="0" fontId="5" fillId="2" borderId="98" xfId="1" applyFont="1" applyFill="1" applyBorder="1" applyAlignment="1">
      <alignment horizontal="center"/>
    </xf>
    <xf numFmtId="0" fontId="5" fillId="2" borderId="10" xfId="1" applyFont="1" applyFill="1" applyBorder="1" applyAlignment="1">
      <alignment horizontal="center"/>
    </xf>
    <xf numFmtId="0" fontId="35" fillId="0" borderId="29" xfId="1" applyFont="1" applyBorder="1" applyAlignment="1">
      <alignment horizontal="left" vertical="center" wrapText="1"/>
    </xf>
    <xf numFmtId="0" fontId="35" fillId="0" borderId="82" xfId="1" applyFont="1" applyBorder="1" applyAlignment="1">
      <alignment horizontal="left" vertical="center" wrapText="1"/>
    </xf>
    <xf numFmtId="0" fontId="2" fillId="4" borderId="12" xfId="1" applyFill="1" applyBorder="1" applyAlignment="1">
      <alignment horizontal="left" vertical="center"/>
    </xf>
    <xf numFmtId="0" fontId="2" fillId="4" borderId="13" xfId="1" applyFill="1" applyBorder="1" applyAlignment="1">
      <alignment horizontal="left" vertical="center"/>
    </xf>
    <xf numFmtId="0" fontId="2" fillId="4" borderId="7" xfId="1" applyFill="1" applyBorder="1" applyAlignment="1">
      <alignment horizontal="left" vertical="center"/>
    </xf>
    <xf numFmtId="167" fontId="2" fillId="4" borderId="25" xfId="1" applyNumberFormat="1" applyFill="1" applyBorder="1" applyAlignment="1">
      <alignment horizontal="left" vertical="center"/>
    </xf>
    <xf numFmtId="167" fontId="2" fillId="4" borderId="26" xfId="1" applyNumberFormat="1" applyFill="1" applyBorder="1" applyAlignment="1">
      <alignment horizontal="left" vertical="center"/>
    </xf>
    <xf numFmtId="0" fontId="2" fillId="0" borderId="60" xfId="1" applyBorder="1" applyAlignment="1">
      <alignment horizontal="left"/>
    </xf>
    <xf numFmtId="0" fontId="35" fillId="0" borderId="95" xfId="1" applyFont="1" applyBorder="1" applyAlignment="1">
      <alignment horizontal="left" vertical="center"/>
    </xf>
    <xf numFmtId="0" fontId="35" fillId="0" borderId="80" xfId="1" applyFont="1" applyBorder="1" applyAlignment="1">
      <alignment horizontal="left" vertical="center"/>
    </xf>
    <xf numFmtId="0" fontId="2" fillId="21" borderId="29" xfId="1" applyFill="1" applyBorder="1" applyAlignment="1">
      <alignment horizontal="left" vertical="center"/>
    </xf>
    <xf numFmtId="0" fontId="2" fillId="21" borderId="82" xfId="1" applyFill="1" applyBorder="1" applyAlignment="1">
      <alignment horizontal="left" vertical="center"/>
    </xf>
    <xf numFmtId="0" fontId="10" fillId="0" borderId="29" xfId="1" applyFont="1" applyFill="1" applyBorder="1" applyAlignment="1">
      <alignment horizontal="left" vertical="center"/>
    </xf>
    <xf numFmtId="0" fontId="10" fillId="0" borderId="82" xfId="1" applyFont="1" applyFill="1" applyBorder="1" applyAlignment="1">
      <alignment horizontal="left" vertical="center"/>
    </xf>
    <xf numFmtId="0" fontId="6" fillId="0" borderId="77" xfId="1" applyFont="1" applyBorder="1" applyAlignment="1">
      <alignment horizontal="center"/>
    </xf>
    <xf numFmtId="0" fontId="6" fillId="0" borderId="60" xfId="1" applyFont="1" applyBorder="1" applyAlignment="1">
      <alignment horizontal="center"/>
    </xf>
    <xf numFmtId="0" fontId="6" fillId="0" borderId="85" xfId="1" applyFont="1" applyBorder="1" applyAlignment="1">
      <alignment horizontal="center"/>
    </xf>
    <xf numFmtId="0" fontId="2" fillId="0" borderId="1"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10" xfId="1" applyFont="1" applyFill="1" applyBorder="1" applyAlignment="1">
      <alignment horizontal="center" vertical="center" wrapText="1"/>
    </xf>
    <xf numFmtId="0" fontId="2" fillId="0" borderId="31" xfId="1" applyFont="1" applyFill="1" applyBorder="1" applyAlignment="1">
      <alignment horizontal="center" vertical="center" wrapText="1"/>
    </xf>
    <xf numFmtId="0" fontId="2" fillId="0" borderId="105" xfId="1" applyFont="1" applyFill="1" applyBorder="1" applyAlignment="1">
      <alignment horizontal="center" vertical="center" wrapText="1"/>
    </xf>
    <xf numFmtId="164" fontId="6" fillId="0" borderId="31" xfId="1" applyNumberFormat="1" applyFont="1" applyFill="1" applyBorder="1" applyAlignment="1">
      <alignment horizontal="center" vertical="center" wrapText="1"/>
    </xf>
    <xf numFmtId="164" fontId="6" fillId="0" borderId="104" xfId="1" applyNumberFormat="1" applyFont="1" applyFill="1" applyBorder="1" applyAlignment="1">
      <alignment horizontal="center" vertical="center" wrapText="1"/>
    </xf>
    <xf numFmtId="164" fontId="6" fillId="0" borderId="105" xfId="1" applyNumberFormat="1" applyFont="1" applyFill="1" applyBorder="1" applyAlignment="1">
      <alignment horizontal="center" vertical="center" wrapText="1"/>
    </xf>
    <xf numFmtId="164" fontId="2" fillId="3" borderId="77" xfId="1" applyNumberFormat="1" applyFont="1" applyFill="1" applyBorder="1" applyAlignment="1">
      <alignment horizontal="center" vertical="center"/>
    </xf>
    <xf numFmtId="164" fontId="2" fillId="3" borderId="85" xfId="1" applyNumberFormat="1" applyFont="1" applyFill="1" applyBorder="1" applyAlignment="1">
      <alignment horizontal="center" vertical="center"/>
    </xf>
    <xf numFmtId="0" fontId="6" fillId="0" borderId="77" xfId="1" applyFont="1" applyBorder="1" applyAlignment="1">
      <alignment horizontal="center" vertical="center"/>
    </xf>
    <xf numFmtId="0" fontId="6" fillId="0" borderId="60" xfId="1" applyFont="1" applyBorder="1" applyAlignment="1">
      <alignment horizontal="center" vertical="center"/>
    </xf>
    <xf numFmtId="0" fontId="6" fillId="0" borderId="85" xfId="1" applyFont="1" applyBorder="1" applyAlignment="1">
      <alignment horizontal="center" vertical="center"/>
    </xf>
    <xf numFmtId="0" fontId="6" fillId="0" borderId="0" xfId="1" applyFont="1" applyBorder="1" applyAlignment="1">
      <alignment horizontal="center" vertical="center"/>
    </xf>
    <xf numFmtId="0" fontId="35" fillId="0" borderId="29" xfId="1" applyFont="1" applyFill="1" applyBorder="1" applyAlignment="1">
      <alignment horizontal="left" vertical="center" wrapText="1"/>
    </xf>
    <xf numFmtId="0" fontId="35" fillId="0" borderId="82" xfId="1" applyFont="1" applyFill="1" applyBorder="1" applyAlignment="1">
      <alignment horizontal="left" vertical="center" wrapText="1"/>
    </xf>
    <xf numFmtId="0" fontId="35" fillId="0" borderId="29" xfId="1" applyFont="1" applyFill="1" applyBorder="1" applyAlignment="1">
      <alignment horizontal="left" vertical="center"/>
    </xf>
    <xf numFmtId="0" fontId="35" fillId="0" borderId="82" xfId="1" applyFont="1" applyFill="1" applyBorder="1" applyAlignment="1">
      <alignment horizontal="left" vertical="center"/>
    </xf>
    <xf numFmtId="0" fontId="35" fillId="0" borderId="93" xfId="1" applyFont="1" applyFill="1" applyBorder="1" applyAlignment="1">
      <alignment horizontal="left" vertical="center" wrapText="1"/>
    </xf>
    <xf numFmtId="0" fontId="35" fillId="0" borderId="87" xfId="1" applyFont="1" applyFill="1" applyBorder="1" applyAlignment="1">
      <alignment horizontal="left" vertical="center" wrapText="1"/>
    </xf>
    <xf numFmtId="0" fontId="6" fillId="0" borderId="76" xfId="1" applyFont="1" applyBorder="1" applyAlignment="1">
      <alignment horizontal="center" vertical="center"/>
    </xf>
    <xf numFmtId="0" fontId="2" fillId="0" borderId="43" xfId="1" applyFont="1" applyBorder="1" applyAlignment="1">
      <alignment vertical="center" wrapText="1"/>
    </xf>
    <xf numFmtId="0" fontId="2" fillId="0" borderId="95" xfId="1" applyFont="1" applyBorder="1" applyAlignment="1">
      <alignment vertical="center" wrapText="1"/>
    </xf>
    <xf numFmtId="0" fontId="2" fillId="0" borderId="80" xfId="1" applyFont="1" applyBorder="1" applyAlignment="1">
      <alignment vertical="center" wrapText="1"/>
    </xf>
    <xf numFmtId="0" fontId="2" fillId="0" borderId="46" xfId="1" applyBorder="1" applyAlignment="1">
      <alignment vertical="center" wrapText="1"/>
    </xf>
    <xf numFmtId="0" fontId="2" fillId="0" borderId="29" xfId="1" applyBorder="1" applyAlignment="1">
      <alignment vertical="center" wrapText="1"/>
    </xf>
    <xf numFmtId="0" fontId="2" fillId="0" borderId="82" xfId="1" applyBorder="1" applyAlignment="1">
      <alignment vertical="center" wrapText="1"/>
    </xf>
    <xf numFmtId="0" fontId="2" fillId="0" borderId="48" xfId="1" applyFont="1" applyBorder="1" applyAlignment="1">
      <alignment vertical="center" wrapText="1"/>
    </xf>
    <xf numFmtId="0" fontId="2" fillId="0" borderId="93" xfId="1" applyFont="1" applyBorder="1" applyAlignment="1">
      <alignment vertical="center" wrapText="1"/>
    </xf>
    <xf numFmtId="0" fontId="2" fillId="0" borderId="87" xfId="1" applyFont="1" applyBorder="1" applyAlignment="1">
      <alignment vertical="center" wrapText="1"/>
    </xf>
    <xf numFmtId="0" fontId="6" fillId="0" borderId="76" xfId="1" applyFont="1" applyBorder="1" applyAlignment="1">
      <alignment vertical="center"/>
    </xf>
    <xf numFmtId="0" fontId="6" fillId="0" borderId="60" xfId="1" applyFont="1" applyBorder="1" applyAlignment="1">
      <alignment vertical="center"/>
    </xf>
    <xf numFmtId="0" fontId="6" fillId="0" borderId="85" xfId="1" applyFont="1" applyBorder="1" applyAlignment="1">
      <alignment vertical="center"/>
    </xf>
    <xf numFmtId="0" fontId="2" fillId="0" borderId="60" xfId="1" applyBorder="1" applyAlignment="1">
      <alignment horizontal="left" vertical="center"/>
    </xf>
    <xf numFmtId="167" fontId="2" fillId="4" borderId="107" xfId="1" applyNumberFormat="1" applyFill="1" applyBorder="1" applyAlignment="1">
      <alignment horizontal="left" vertical="center"/>
    </xf>
    <xf numFmtId="0" fontId="6" fillId="0" borderId="46" xfId="0" applyFont="1" applyBorder="1" applyAlignment="1">
      <alignment horizontal="center" vertical="center"/>
    </xf>
    <xf numFmtId="0" fontId="6" fillId="0" borderId="29" xfId="0" applyFont="1" applyBorder="1" applyAlignment="1">
      <alignment horizontal="center" vertical="center"/>
    </xf>
    <xf numFmtId="0" fontId="6" fillId="0" borderId="47" xfId="0" applyFont="1" applyBorder="1" applyAlignment="1">
      <alignment horizontal="center" vertical="center"/>
    </xf>
    <xf numFmtId="1" fontId="2" fillId="23" borderId="99" xfId="1" applyNumberFormat="1" applyFont="1" applyFill="1" applyBorder="1" applyAlignment="1">
      <alignment horizontal="center" vertical="center" wrapText="1"/>
    </xf>
    <xf numFmtId="1" fontId="2" fillId="23" borderId="66" xfId="1" applyNumberFormat="1" applyFont="1" applyFill="1" applyBorder="1" applyAlignment="1">
      <alignment horizontal="center" vertical="center" wrapText="1"/>
    </xf>
    <xf numFmtId="1" fontId="2" fillId="23" borderId="110" xfId="1" applyNumberFormat="1" applyFont="1" applyFill="1" applyBorder="1" applyAlignment="1">
      <alignment horizontal="center" vertical="center" wrapText="1"/>
    </xf>
    <xf numFmtId="1" fontId="2" fillId="23" borderId="18" xfId="1" applyNumberFormat="1" applyFont="1" applyFill="1" applyBorder="1" applyAlignment="1">
      <alignment horizontal="center" vertical="center" wrapText="1"/>
    </xf>
    <xf numFmtId="1" fontId="2" fillId="23" borderId="0" xfId="1" applyNumberFormat="1" applyFont="1" applyFill="1" applyBorder="1" applyAlignment="1">
      <alignment horizontal="center" vertical="center" wrapText="1"/>
    </xf>
    <xf numFmtId="1" fontId="2" fillId="23" borderId="19" xfId="1" applyNumberFormat="1" applyFont="1" applyFill="1" applyBorder="1" applyAlignment="1">
      <alignment horizontal="center" vertical="center" wrapText="1"/>
    </xf>
    <xf numFmtId="1" fontId="2" fillId="23" borderId="78" xfId="1" applyNumberFormat="1" applyFont="1" applyFill="1" applyBorder="1" applyAlignment="1">
      <alignment horizontal="center" vertical="center" wrapText="1"/>
    </xf>
    <xf numFmtId="1" fontId="2" fillId="23" borderId="4" xfId="1" applyNumberFormat="1" applyFont="1" applyFill="1" applyBorder="1" applyAlignment="1">
      <alignment horizontal="center" vertical="center" wrapText="1"/>
    </xf>
    <xf numFmtId="1" fontId="2" fillId="23" borderId="62" xfId="1" applyNumberFormat="1" applyFont="1" applyFill="1" applyBorder="1" applyAlignment="1">
      <alignment horizontal="center" vertical="center" wrapText="1"/>
    </xf>
    <xf numFmtId="1" fontId="2" fillId="27" borderId="99" xfId="1" applyNumberFormat="1" applyFont="1" applyFill="1" applyBorder="1" applyAlignment="1">
      <alignment horizontal="center" vertical="center" wrapText="1"/>
    </xf>
    <xf numFmtId="1" fontId="2" fillId="27" borderId="66" xfId="1" applyNumberFormat="1" applyFont="1" applyFill="1" applyBorder="1" applyAlignment="1">
      <alignment horizontal="center" vertical="center" wrapText="1"/>
    </xf>
    <xf numFmtId="1" fontId="2" fillId="27" borderId="110" xfId="1" applyNumberFormat="1" applyFont="1" applyFill="1" applyBorder="1" applyAlignment="1">
      <alignment horizontal="center" vertical="center" wrapText="1"/>
    </xf>
    <xf numFmtId="1" fontId="2" fillId="27" borderId="18" xfId="1" applyNumberFormat="1" applyFont="1" applyFill="1" applyBorder="1" applyAlignment="1">
      <alignment horizontal="center" vertical="center" wrapText="1"/>
    </xf>
    <xf numFmtId="1" fontId="2" fillId="27" borderId="0" xfId="1" applyNumberFormat="1" applyFont="1" applyFill="1" applyBorder="1" applyAlignment="1">
      <alignment horizontal="center" vertical="center" wrapText="1"/>
    </xf>
    <xf numFmtId="1" fontId="2" fillId="27" borderId="19" xfId="1" applyNumberFormat="1" applyFont="1" applyFill="1" applyBorder="1" applyAlignment="1">
      <alignment horizontal="center" vertical="center" wrapText="1"/>
    </xf>
    <xf numFmtId="1" fontId="2" fillId="27" borderId="78" xfId="1" applyNumberFormat="1" applyFont="1" applyFill="1" applyBorder="1" applyAlignment="1">
      <alignment horizontal="center" vertical="center" wrapText="1"/>
    </xf>
    <xf numFmtId="1" fontId="2" fillId="27" borderId="4" xfId="1" applyNumberFormat="1" applyFont="1" applyFill="1" applyBorder="1" applyAlignment="1">
      <alignment horizontal="center" vertical="center" wrapText="1"/>
    </xf>
    <xf numFmtId="1" fontId="2" fillId="27" borderId="62" xfId="1" applyNumberFormat="1" applyFont="1" applyFill="1" applyBorder="1" applyAlignment="1">
      <alignment horizontal="center" vertical="center" wrapText="1"/>
    </xf>
    <xf numFmtId="1" fontId="2" fillId="31" borderId="99" xfId="1" applyNumberFormat="1" applyFont="1" applyFill="1" applyBorder="1" applyAlignment="1">
      <alignment horizontal="center" vertical="center" wrapText="1"/>
    </xf>
    <xf numFmtId="1" fontId="2" fillId="31" borderId="66" xfId="1" applyNumberFormat="1" applyFont="1" applyFill="1" applyBorder="1" applyAlignment="1">
      <alignment horizontal="center" vertical="center" wrapText="1"/>
    </xf>
    <xf numFmtId="1" fontId="2" fillId="31" borderId="119" xfId="1" applyNumberFormat="1" applyFont="1" applyFill="1" applyBorder="1" applyAlignment="1">
      <alignment horizontal="center" vertical="center" wrapText="1"/>
    </xf>
    <xf numFmtId="1" fontId="2" fillId="31" borderId="18" xfId="1" applyNumberFormat="1" applyFont="1" applyFill="1" applyBorder="1" applyAlignment="1">
      <alignment horizontal="center" vertical="center" wrapText="1"/>
    </xf>
    <xf numFmtId="1" fontId="2" fillId="31" borderId="0" xfId="1" applyNumberFormat="1" applyFont="1" applyFill="1" applyBorder="1" applyAlignment="1">
      <alignment horizontal="center" vertical="center" wrapText="1"/>
    </xf>
    <xf numFmtId="1" fontId="2" fillId="31" borderId="57" xfId="1" applyNumberFormat="1" applyFont="1" applyFill="1" applyBorder="1" applyAlignment="1">
      <alignment horizontal="center" vertical="center" wrapText="1"/>
    </xf>
    <xf numFmtId="1" fontId="2" fillId="31" borderId="78" xfId="1" applyNumberFormat="1" applyFont="1" applyFill="1" applyBorder="1" applyAlignment="1">
      <alignment horizontal="center" vertical="center" wrapText="1"/>
    </xf>
    <xf numFmtId="1" fontId="2" fillId="31" borderId="4" xfId="1" applyNumberFormat="1" applyFont="1" applyFill="1" applyBorder="1" applyAlignment="1">
      <alignment horizontal="center" vertical="center" wrapText="1"/>
    </xf>
    <xf numFmtId="1" fontId="2" fillId="31" borderId="65" xfId="1" applyNumberFormat="1" applyFont="1" applyFill="1" applyBorder="1" applyAlignment="1">
      <alignment horizontal="center" vertical="center" wrapText="1"/>
    </xf>
    <xf numFmtId="1" fontId="2" fillId="30" borderId="99" xfId="1" applyNumberFormat="1" applyFont="1" applyFill="1" applyBorder="1" applyAlignment="1">
      <alignment horizontal="center" vertical="center" wrapText="1"/>
    </xf>
    <xf numFmtId="1" fontId="2" fillId="30" borderId="66" xfId="1" applyNumberFormat="1" applyFont="1" applyFill="1" applyBorder="1" applyAlignment="1">
      <alignment horizontal="center" vertical="center" wrapText="1"/>
    </xf>
    <xf numFmtId="1" fontId="2" fillId="30" borderId="110" xfId="1" applyNumberFormat="1" applyFont="1" applyFill="1" applyBorder="1" applyAlignment="1">
      <alignment horizontal="center" vertical="center" wrapText="1"/>
    </xf>
    <xf numFmtId="1" fontId="2" fillId="30" borderId="18" xfId="1" applyNumberFormat="1" applyFont="1" applyFill="1" applyBorder="1" applyAlignment="1">
      <alignment horizontal="center" vertical="center" wrapText="1"/>
    </xf>
    <xf numFmtId="1" fontId="2" fillId="30" borderId="0" xfId="1" applyNumberFormat="1" applyFont="1" applyFill="1" applyBorder="1" applyAlignment="1">
      <alignment horizontal="center" vertical="center" wrapText="1"/>
    </xf>
    <xf numFmtId="1" fontId="2" fillId="30" borderId="19" xfId="1" applyNumberFormat="1" applyFont="1" applyFill="1" applyBorder="1" applyAlignment="1">
      <alignment horizontal="center" vertical="center" wrapText="1"/>
    </xf>
    <xf numFmtId="1" fontId="2" fillId="30" borderId="78" xfId="1" applyNumberFormat="1" applyFont="1" applyFill="1" applyBorder="1" applyAlignment="1">
      <alignment horizontal="center" vertical="center" wrapText="1"/>
    </xf>
    <xf numFmtId="1" fontId="2" fillId="30" borderId="4" xfId="1" applyNumberFormat="1" applyFont="1" applyFill="1" applyBorder="1" applyAlignment="1">
      <alignment horizontal="center" vertical="center" wrapText="1"/>
    </xf>
    <xf numFmtId="1" fontId="2" fillId="30" borderId="62" xfId="1" applyNumberFormat="1" applyFont="1" applyFill="1" applyBorder="1" applyAlignment="1">
      <alignment horizontal="center" vertical="center" wrapText="1"/>
    </xf>
    <xf numFmtId="1" fontId="2" fillId="34" borderId="99" xfId="1" applyNumberFormat="1" applyFont="1" applyFill="1" applyBorder="1" applyAlignment="1">
      <alignment horizontal="center" vertical="center" wrapText="1"/>
    </xf>
    <xf numFmtId="1" fontId="2" fillId="34" borderId="66" xfId="1" applyNumberFormat="1" applyFont="1" applyFill="1" applyBorder="1" applyAlignment="1">
      <alignment horizontal="center" vertical="center" wrapText="1"/>
    </xf>
    <xf numFmtId="1" fontId="2" fillId="34" borderId="110" xfId="1" applyNumberFormat="1" applyFont="1" applyFill="1" applyBorder="1" applyAlignment="1">
      <alignment horizontal="center" vertical="center" wrapText="1"/>
    </xf>
    <xf numFmtId="1" fontId="2" fillId="34" borderId="18" xfId="1" applyNumberFormat="1" applyFont="1" applyFill="1" applyBorder="1" applyAlignment="1">
      <alignment horizontal="center" vertical="center" wrapText="1"/>
    </xf>
    <xf numFmtId="1" fontId="2" fillId="34" borderId="0" xfId="1" applyNumberFormat="1" applyFont="1" applyFill="1" applyBorder="1" applyAlignment="1">
      <alignment horizontal="center" vertical="center" wrapText="1"/>
    </xf>
    <xf numFmtId="1" fontId="2" fillId="34" borderId="19" xfId="1" applyNumberFormat="1" applyFont="1" applyFill="1" applyBorder="1" applyAlignment="1">
      <alignment horizontal="center" vertical="center" wrapText="1"/>
    </xf>
    <xf numFmtId="1" fontId="2" fillId="34" borderId="78" xfId="1" applyNumberFormat="1" applyFont="1" applyFill="1" applyBorder="1" applyAlignment="1">
      <alignment horizontal="center" vertical="center" wrapText="1"/>
    </xf>
    <xf numFmtId="1" fontId="2" fillId="34" borderId="4" xfId="1" applyNumberFormat="1" applyFont="1" applyFill="1" applyBorder="1" applyAlignment="1">
      <alignment horizontal="center" vertical="center" wrapText="1"/>
    </xf>
    <xf numFmtId="1" fontId="2" fillId="34" borderId="62" xfId="1" applyNumberFormat="1" applyFont="1" applyFill="1" applyBorder="1" applyAlignment="1">
      <alignment horizontal="center" vertical="center" wrapText="1"/>
    </xf>
    <xf numFmtId="1" fontId="2" fillId="33" borderId="99" xfId="1" applyNumberFormat="1" applyFont="1" applyFill="1" applyBorder="1" applyAlignment="1">
      <alignment horizontal="center" vertical="center" wrapText="1"/>
    </xf>
    <xf numFmtId="1" fontId="2" fillId="33" borderId="66" xfId="1" applyNumberFormat="1" applyFont="1" applyFill="1" applyBorder="1" applyAlignment="1">
      <alignment horizontal="center" vertical="center" wrapText="1"/>
    </xf>
    <xf numFmtId="1" fontId="2" fillId="33" borderId="110" xfId="1" applyNumberFormat="1" applyFont="1" applyFill="1" applyBorder="1" applyAlignment="1">
      <alignment horizontal="center" vertical="center" wrapText="1"/>
    </xf>
    <xf numFmtId="1" fontId="2" fillId="33" borderId="18" xfId="1" applyNumberFormat="1" applyFont="1" applyFill="1" applyBorder="1" applyAlignment="1">
      <alignment horizontal="center" vertical="center" wrapText="1"/>
    </xf>
    <xf numFmtId="1" fontId="2" fillId="33" borderId="0" xfId="1" applyNumberFormat="1" applyFont="1" applyFill="1" applyBorder="1" applyAlignment="1">
      <alignment horizontal="center" vertical="center" wrapText="1"/>
    </xf>
    <xf numFmtId="1" fontId="2" fillId="33" borderId="19" xfId="1" applyNumberFormat="1" applyFont="1" applyFill="1" applyBorder="1" applyAlignment="1">
      <alignment horizontal="center" vertical="center" wrapText="1"/>
    </xf>
    <xf numFmtId="1" fontId="2" fillId="33" borderId="78" xfId="1" applyNumberFormat="1" applyFont="1" applyFill="1" applyBorder="1" applyAlignment="1">
      <alignment horizontal="center" vertical="center" wrapText="1"/>
    </xf>
    <xf numFmtId="1" fontId="2" fillId="33" borderId="4" xfId="1" applyNumberFormat="1" applyFont="1" applyFill="1" applyBorder="1" applyAlignment="1">
      <alignment horizontal="center" vertical="center" wrapText="1"/>
    </xf>
    <xf numFmtId="1" fontId="2" fillId="33" borderId="62" xfId="1" applyNumberFormat="1" applyFont="1" applyFill="1" applyBorder="1" applyAlignment="1">
      <alignment horizontal="center" vertical="center" wrapText="1"/>
    </xf>
    <xf numFmtId="1" fontId="2" fillId="24" borderId="99" xfId="1" applyNumberFormat="1" applyFont="1" applyFill="1" applyBorder="1" applyAlignment="1">
      <alignment horizontal="center" vertical="center" wrapText="1"/>
    </xf>
    <xf numFmtId="1" fontId="2" fillId="24" borderId="66" xfId="1" applyNumberFormat="1" applyFont="1" applyFill="1" applyBorder="1" applyAlignment="1">
      <alignment horizontal="center" vertical="center" wrapText="1"/>
    </xf>
    <xf numFmtId="1" fontId="2" fillId="24" borderId="110" xfId="1" applyNumberFormat="1" applyFont="1" applyFill="1" applyBorder="1" applyAlignment="1">
      <alignment horizontal="center" vertical="center" wrapText="1"/>
    </xf>
    <xf numFmtId="1" fontId="2" fillId="24" borderId="18" xfId="1" applyNumberFormat="1" applyFont="1" applyFill="1" applyBorder="1" applyAlignment="1">
      <alignment horizontal="center" vertical="center" wrapText="1"/>
    </xf>
    <xf numFmtId="1" fontId="2" fillId="24" borderId="0" xfId="1" applyNumberFormat="1" applyFont="1" applyFill="1" applyBorder="1" applyAlignment="1">
      <alignment horizontal="center" vertical="center" wrapText="1"/>
    </xf>
    <xf numFmtId="1" fontId="2" fillId="24" borderId="19" xfId="1" applyNumberFormat="1" applyFont="1" applyFill="1" applyBorder="1" applyAlignment="1">
      <alignment horizontal="center" vertical="center" wrapText="1"/>
    </xf>
    <xf numFmtId="1" fontId="2" fillId="24" borderId="78" xfId="1" applyNumberFormat="1" applyFont="1" applyFill="1" applyBorder="1" applyAlignment="1">
      <alignment horizontal="center" vertical="center" wrapText="1"/>
    </xf>
    <xf numFmtId="1" fontId="2" fillId="24" borderId="4" xfId="1" applyNumberFormat="1" applyFont="1" applyFill="1" applyBorder="1" applyAlignment="1">
      <alignment horizontal="center" vertical="center" wrapText="1"/>
    </xf>
    <xf numFmtId="1" fontId="2" fillId="24" borderId="62" xfId="1" applyNumberFormat="1" applyFont="1" applyFill="1" applyBorder="1" applyAlignment="1">
      <alignment horizontal="center" vertical="center" wrapText="1"/>
    </xf>
    <xf numFmtId="1" fontId="2" fillId="27" borderId="118" xfId="1" applyNumberFormat="1" applyFont="1" applyFill="1" applyBorder="1" applyAlignment="1">
      <alignment horizontal="center" vertical="center" wrapText="1"/>
    </xf>
    <xf numFmtId="1" fontId="2" fillId="27" borderId="56" xfId="1" applyNumberFormat="1" applyFont="1" applyFill="1" applyBorder="1" applyAlignment="1">
      <alignment horizontal="center" vertical="center" wrapText="1"/>
    </xf>
    <xf numFmtId="1" fontId="2" fillId="27" borderId="117" xfId="1" applyNumberFormat="1" applyFont="1" applyFill="1" applyBorder="1" applyAlignment="1">
      <alignment horizontal="center" vertical="center" wrapText="1"/>
    </xf>
    <xf numFmtId="0" fontId="2" fillId="0" borderId="73" xfId="1" applyBorder="1" applyAlignment="1">
      <alignment horizontal="center" vertical="center" wrapText="1"/>
    </xf>
    <xf numFmtId="0" fontId="2" fillId="0" borderId="74" xfId="1" applyBorder="1" applyAlignment="1">
      <alignment horizontal="center" vertical="center" wrapText="1"/>
    </xf>
    <xf numFmtId="0" fontId="2" fillId="0" borderId="164" xfId="1" applyFont="1" applyFill="1" applyBorder="1" applyAlignment="1">
      <alignment horizontal="center" vertical="center" wrapText="1"/>
    </xf>
    <xf numFmtId="0" fontId="2" fillId="0" borderId="171" xfId="1" applyFont="1" applyFill="1" applyBorder="1" applyAlignment="1">
      <alignment horizontal="center" vertical="center" wrapText="1"/>
    </xf>
    <xf numFmtId="0" fontId="0" fillId="0" borderId="72" xfId="0" applyBorder="1" applyAlignment="1">
      <alignment horizontal="center" wrapText="1"/>
    </xf>
    <xf numFmtId="0" fontId="0" fillId="0" borderId="142" xfId="0" applyBorder="1" applyAlignment="1">
      <alignment horizontal="center" wrapText="1"/>
    </xf>
    <xf numFmtId="164" fontId="6" fillId="0" borderId="71" xfId="1" applyNumberFormat="1" applyFont="1" applyFill="1" applyBorder="1" applyAlignment="1">
      <alignment horizontal="center" vertical="center"/>
    </xf>
    <xf numFmtId="164" fontId="6" fillId="0" borderId="113" xfId="1" applyNumberFormat="1" applyFont="1" applyFill="1" applyBorder="1" applyAlignment="1">
      <alignment horizontal="center" vertical="center"/>
    </xf>
    <xf numFmtId="0" fontId="6" fillId="0" borderId="66" xfId="1" applyFont="1" applyBorder="1" applyAlignment="1">
      <alignment horizontal="center" vertical="center" wrapText="1"/>
    </xf>
    <xf numFmtId="0" fontId="6" fillId="0" borderId="4" xfId="1" applyFont="1" applyBorder="1" applyAlignment="1">
      <alignment horizontal="center" vertical="center" wrapText="1"/>
    </xf>
    <xf numFmtId="1" fontId="2" fillId="27" borderId="135" xfId="1" applyNumberFormat="1" applyFont="1" applyFill="1" applyBorder="1" applyAlignment="1">
      <alignment horizontal="center" vertical="center" wrapText="1"/>
    </xf>
    <xf numFmtId="1" fontId="2" fillId="27" borderId="169" xfId="1" applyNumberFormat="1" applyFont="1" applyFill="1" applyBorder="1" applyAlignment="1">
      <alignment horizontal="center" vertical="center" wrapText="1"/>
    </xf>
    <xf numFmtId="1" fontId="2" fillId="27" borderId="170" xfId="1" applyNumberFormat="1" applyFont="1" applyFill="1" applyBorder="1" applyAlignment="1">
      <alignment horizontal="center" vertical="center" wrapText="1"/>
    </xf>
    <xf numFmtId="0" fontId="6" fillId="0" borderId="128" xfId="1" applyFont="1" applyFill="1" applyBorder="1" applyAlignment="1">
      <alignment horizontal="center" vertical="center"/>
    </xf>
    <xf numFmtId="0" fontId="6" fillId="0" borderId="70" xfId="1" applyFont="1" applyFill="1" applyBorder="1" applyAlignment="1">
      <alignment horizontal="center" vertical="center"/>
    </xf>
    <xf numFmtId="0" fontId="6" fillId="0" borderId="116" xfId="1" applyFont="1" applyFill="1" applyBorder="1" applyAlignment="1">
      <alignment horizontal="center" vertical="center"/>
    </xf>
    <xf numFmtId="0" fontId="6" fillId="0" borderId="138" xfId="1" applyFont="1" applyFill="1" applyBorder="1" applyAlignment="1">
      <alignment horizontal="center" vertical="center"/>
    </xf>
    <xf numFmtId="0" fontId="6" fillId="0" borderId="169" xfId="1" applyFont="1" applyFill="1" applyBorder="1" applyAlignment="1">
      <alignment horizontal="center" vertical="center"/>
    </xf>
    <xf numFmtId="0" fontId="6" fillId="0" borderId="170" xfId="1" applyFont="1" applyFill="1" applyBorder="1" applyAlignment="1">
      <alignment horizontal="center" vertical="center"/>
    </xf>
    <xf numFmtId="1" fontId="2" fillId="33" borderId="138" xfId="1" applyNumberFormat="1" applyFont="1" applyFill="1" applyBorder="1" applyAlignment="1">
      <alignment horizontal="center" vertical="center" wrapText="1"/>
    </xf>
    <xf numFmtId="1" fontId="2" fillId="33" borderId="169" xfId="1" applyNumberFormat="1" applyFont="1" applyFill="1" applyBorder="1" applyAlignment="1">
      <alignment horizontal="center" vertical="center" wrapText="1"/>
    </xf>
    <xf numFmtId="1" fontId="2" fillId="33" borderId="170" xfId="1" applyNumberFormat="1" applyFont="1" applyFill="1" applyBorder="1" applyAlignment="1">
      <alignment horizontal="center" vertical="center" wrapText="1"/>
    </xf>
    <xf numFmtId="1" fontId="2" fillId="27" borderId="138" xfId="1" applyNumberFormat="1" applyFont="1" applyFill="1" applyBorder="1" applyAlignment="1">
      <alignment horizontal="center" vertical="center" wrapText="1"/>
    </xf>
    <xf numFmtId="0" fontId="0" fillId="0" borderId="53" xfId="0" applyBorder="1" applyAlignment="1">
      <alignment horizontal="center" wrapText="1"/>
    </xf>
    <xf numFmtId="0" fontId="5" fillId="0" borderId="78" xfId="1" applyFont="1" applyBorder="1" applyAlignment="1">
      <alignment horizontal="center" vertical="center"/>
    </xf>
    <xf numFmtId="0" fontId="5" fillId="0" borderId="4" xfId="1" applyFont="1" applyBorder="1" applyAlignment="1">
      <alignment horizontal="center" vertical="center"/>
    </xf>
    <xf numFmtId="0" fontId="5" fillId="0" borderId="62" xfId="1" applyFont="1" applyBorder="1" applyAlignment="1">
      <alignment horizontal="center" vertical="center"/>
    </xf>
    <xf numFmtId="2" fontId="5" fillId="0" borderId="78" xfId="1" applyNumberFormat="1" applyFont="1" applyFill="1" applyBorder="1" applyAlignment="1">
      <alignment horizontal="center" vertical="center"/>
    </xf>
    <xf numFmtId="2" fontId="5" fillId="0" borderId="4" xfId="1" applyNumberFormat="1" applyFont="1" applyFill="1" applyBorder="1" applyAlignment="1">
      <alignment horizontal="center" vertical="center"/>
    </xf>
    <xf numFmtId="2" fontId="5" fillId="0" borderId="62" xfId="1" applyNumberFormat="1" applyFont="1" applyFill="1" applyBorder="1" applyAlignment="1">
      <alignment horizontal="center" vertical="center"/>
    </xf>
    <xf numFmtId="0" fontId="2" fillId="0" borderId="128" xfId="1" applyBorder="1" applyAlignment="1">
      <alignment horizontal="center" vertical="center" wrapText="1"/>
    </xf>
    <xf numFmtId="0" fontId="2" fillId="0" borderId="70" xfId="1" applyBorder="1" applyAlignment="1">
      <alignment horizontal="center" vertical="center" wrapText="1"/>
    </xf>
    <xf numFmtId="0" fontId="2" fillId="0" borderId="116" xfId="1" applyBorder="1" applyAlignment="1">
      <alignment horizontal="center" vertical="center" wrapText="1"/>
    </xf>
    <xf numFmtId="0" fontId="2" fillId="0" borderId="18" xfId="1" applyBorder="1" applyAlignment="1">
      <alignment horizontal="center" vertical="center" wrapText="1"/>
    </xf>
    <xf numFmtId="0" fontId="2" fillId="0" borderId="0" xfId="1" applyBorder="1" applyAlignment="1">
      <alignment horizontal="center" vertical="center" wrapText="1"/>
    </xf>
    <xf numFmtId="0" fontId="2" fillId="0" borderId="19" xfId="1" applyBorder="1" applyAlignment="1">
      <alignment horizontal="center" vertical="center" wrapText="1"/>
    </xf>
    <xf numFmtId="0" fontId="2" fillId="0" borderId="78" xfId="1" applyBorder="1" applyAlignment="1">
      <alignment horizontal="center" vertical="center" wrapText="1"/>
    </xf>
    <xf numFmtId="0" fontId="2" fillId="0" borderId="4" xfId="1" applyBorder="1" applyAlignment="1">
      <alignment horizontal="center" vertical="center" wrapText="1"/>
    </xf>
    <xf numFmtId="0" fontId="2" fillId="0" borderId="62" xfId="1" applyBorder="1" applyAlignment="1">
      <alignment horizontal="center" vertical="center" wrapText="1"/>
    </xf>
    <xf numFmtId="0" fontId="6" fillId="0" borderId="54" xfId="66" applyFont="1" applyFill="1" applyBorder="1" applyAlignment="1">
      <alignment horizontal="center" vertical="center" wrapText="1"/>
    </xf>
    <xf numFmtId="0" fontId="6" fillId="0" borderId="2" xfId="66" applyFont="1" applyFill="1" applyBorder="1" applyAlignment="1">
      <alignment horizontal="center" vertical="center" wrapText="1"/>
    </xf>
    <xf numFmtId="0" fontId="6" fillId="0" borderId="13" xfId="66" applyFont="1" applyFill="1" applyBorder="1" applyAlignment="1">
      <alignment horizontal="center" vertical="center" wrapText="1"/>
    </xf>
    <xf numFmtId="0" fontId="6" fillId="0" borderId="58" xfId="66" applyFont="1" applyFill="1" applyBorder="1" applyAlignment="1">
      <alignment horizontal="center" vertical="center" wrapText="1"/>
    </xf>
    <xf numFmtId="0" fontId="6" fillId="0" borderId="98" xfId="66" applyFont="1" applyFill="1" applyBorder="1" applyAlignment="1">
      <alignment horizontal="center" vertical="center" wrapText="1"/>
    </xf>
    <xf numFmtId="0" fontId="6" fillId="0" borderId="26" xfId="66" applyFont="1" applyFill="1" applyBorder="1" applyAlignment="1">
      <alignment horizontal="center" vertical="center" wrapText="1"/>
    </xf>
    <xf numFmtId="0" fontId="6" fillId="0" borderId="135" xfId="66" applyFont="1" applyFill="1" applyBorder="1" applyAlignment="1">
      <alignment horizontal="center" vertical="center" wrapText="1"/>
    </xf>
    <xf numFmtId="0" fontId="6" fillId="0" borderId="169" xfId="66" applyFont="1" applyFill="1" applyBorder="1" applyAlignment="1">
      <alignment horizontal="center" vertical="center" wrapText="1"/>
    </xf>
    <xf numFmtId="0" fontId="6" fillId="0" borderId="170" xfId="66" applyFont="1" applyFill="1" applyBorder="1" applyAlignment="1">
      <alignment horizontal="center" vertical="center" wrapText="1"/>
    </xf>
    <xf numFmtId="164" fontId="6" fillId="0" borderId="161" xfId="1" applyNumberFormat="1" applyFont="1" applyFill="1" applyBorder="1" applyAlignment="1">
      <alignment horizontal="center" vertical="center" wrapText="1"/>
    </xf>
    <xf numFmtId="164" fontId="6" fillId="0" borderId="160" xfId="1" applyNumberFormat="1" applyFont="1" applyFill="1" applyBorder="1" applyAlignment="1">
      <alignment horizontal="center" vertical="center" wrapText="1"/>
    </xf>
    <xf numFmtId="0" fontId="0" fillId="0" borderId="51" xfId="0" applyBorder="1" applyAlignment="1">
      <alignment horizontal="center" wrapText="1"/>
    </xf>
    <xf numFmtId="1" fontId="2" fillId="24" borderId="138" xfId="1" applyNumberFormat="1" applyFont="1" applyFill="1" applyBorder="1" applyAlignment="1">
      <alignment horizontal="center" vertical="center" wrapText="1"/>
    </xf>
    <xf numFmtId="1" fontId="2" fillId="24" borderId="169" xfId="1" applyNumberFormat="1" applyFont="1" applyFill="1" applyBorder="1" applyAlignment="1">
      <alignment horizontal="center" vertical="center" wrapText="1"/>
    </xf>
    <xf numFmtId="1" fontId="2" fillId="24" borderId="170" xfId="1" applyNumberFormat="1" applyFont="1" applyFill="1" applyBorder="1" applyAlignment="1">
      <alignment horizontal="center" vertical="center" wrapText="1"/>
    </xf>
    <xf numFmtId="164" fontId="6" fillId="0" borderId="148" xfId="1" applyNumberFormat="1" applyFont="1" applyFill="1" applyBorder="1" applyAlignment="1">
      <alignment horizontal="center" vertical="center" wrapText="1"/>
    </xf>
    <xf numFmtId="164" fontId="6" fillId="0" borderId="149" xfId="1" applyNumberFormat="1" applyFont="1" applyFill="1" applyBorder="1" applyAlignment="1">
      <alignment horizontal="center" vertical="center" wrapText="1"/>
    </xf>
    <xf numFmtId="0" fontId="2" fillId="0" borderId="162" xfId="1" applyFont="1" applyFill="1" applyBorder="1" applyAlignment="1">
      <alignment horizontal="center" vertical="center" wrapText="1"/>
    </xf>
    <xf numFmtId="0" fontId="2" fillId="0" borderId="163" xfId="1" applyFont="1" applyFill="1" applyBorder="1" applyAlignment="1">
      <alignment horizontal="center" vertical="center" wrapText="1"/>
    </xf>
    <xf numFmtId="164" fontId="77" fillId="0" borderId="150" xfId="1" applyNumberFormat="1" applyFont="1" applyFill="1" applyBorder="1" applyAlignment="1">
      <alignment horizontal="center" vertical="center" wrapText="1"/>
    </xf>
    <xf numFmtId="164" fontId="77" fillId="0" borderId="151" xfId="1" applyNumberFormat="1" applyFont="1" applyFill="1" applyBorder="1" applyAlignment="1">
      <alignment horizontal="center" vertical="center" wrapText="1"/>
    </xf>
    <xf numFmtId="0" fontId="2" fillId="0" borderId="73" xfId="1" applyFont="1" applyFill="1" applyBorder="1" applyAlignment="1">
      <alignment horizontal="center" vertical="center" wrapText="1"/>
    </xf>
    <xf numFmtId="0" fontId="2" fillId="0" borderId="153" xfId="1" applyFont="1" applyFill="1" applyBorder="1" applyAlignment="1">
      <alignment horizontal="center" vertical="center" wrapText="1"/>
    </xf>
    <xf numFmtId="0" fontId="2" fillId="0" borderId="160" xfId="1" applyFont="1" applyFill="1" applyBorder="1" applyAlignment="1">
      <alignment horizontal="center" vertical="center" wrapText="1"/>
    </xf>
    <xf numFmtId="0" fontId="6" fillId="0" borderId="157" xfId="1" applyFont="1" applyFill="1" applyBorder="1" applyAlignment="1">
      <alignment horizontal="center" vertical="center" wrapText="1"/>
    </xf>
    <xf numFmtId="0" fontId="6" fillId="0" borderId="158" xfId="1" applyFont="1" applyFill="1" applyBorder="1" applyAlignment="1">
      <alignment horizontal="center" vertical="center" wrapText="1"/>
    </xf>
    <xf numFmtId="0" fontId="6" fillId="0" borderId="159" xfId="1" applyFont="1" applyFill="1" applyBorder="1" applyAlignment="1">
      <alignment horizontal="center" vertical="center" wrapText="1"/>
    </xf>
    <xf numFmtId="0" fontId="0" fillId="0" borderId="52" xfId="0" applyBorder="1" applyAlignment="1">
      <alignment horizontal="center" wrapText="1"/>
    </xf>
    <xf numFmtId="0" fontId="2" fillId="0" borderId="79" xfId="1" applyFont="1" applyFill="1" applyBorder="1" applyAlignment="1">
      <alignment horizontal="center" vertical="center" wrapText="1"/>
    </xf>
    <xf numFmtId="0" fontId="2" fillId="0" borderId="23" xfId="1" applyFont="1" applyFill="1" applyBorder="1" applyAlignment="1">
      <alignment horizontal="center" vertical="center" wrapText="1"/>
    </xf>
    <xf numFmtId="0" fontId="2" fillId="0" borderId="129" xfId="1" applyFont="1" applyFill="1" applyBorder="1" applyAlignment="1">
      <alignment horizontal="center" vertical="center" wrapText="1"/>
    </xf>
    <xf numFmtId="0" fontId="2" fillId="0" borderId="130" xfId="1" applyFont="1" applyFill="1" applyBorder="1" applyAlignment="1">
      <alignment horizontal="center" vertical="center" wrapText="1"/>
    </xf>
    <xf numFmtId="164" fontId="6" fillId="0" borderId="146" xfId="1" applyNumberFormat="1" applyFont="1" applyFill="1" applyBorder="1" applyAlignment="1">
      <alignment horizontal="center" vertical="center"/>
    </xf>
    <xf numFmtId="164" fontId="6" fillId="0" borderId="147" xfId="1" applyNumberFormat="1" applyFont="1" applyFill="1" applyBorder="1" applyAlignment="1">
      <alignment horizontal="center" vertical="center"/>
    </xf>
    <xf numFmtId="164" fontId="6" fillId="0" borderId="151" xfId="1" applyNumberFormat="1" applyFont="1" applyFill="1" applyBorder="1" applyAlignment="1">
      <alignment horizontal="center" vertical="center" wrapText="1"/>
    </xf>
    <xf numFmtId="2" fontId="6" fillId="0" borderId="51" xfId="66" applyNumberFormat="1" applyFont="1" applyFill="1" applyBorder="1" applyAlignment="1">
      <alignment horizontal="center" vertical="center" wrapText="1"/>
    </xf>
    <xf numFmtId="2" fontId="6" fillId="0" borderId="52" xfId="66" applyNumberFormat="1" applyFont="1" applyFill="1" applyBorder="1" applyAlignment="1">
      <alignment horizontal="center" vertical="center" wrapText="1"/>
    </xf>
    <xf numFmtId="2" fontId="6" fillId="0" borderId="53" xfId="66" applyNumberFormat="1" applyFont="1" applyFill="1" applyBorder="1" applyAlignment="1">
      <alignment horizontal="center" vertical="center" wrapText="1"/>
    </xf>
    <xf numFmtId="2" fontId="6" fillId="0" borderId="51" xfId="1" applyNumberFormat="1" applyFont="1" applyFill="1" applyBorder="1" applyAlignment="1">
      <alignment horizontal="center" vertical="center" wrapText="1"/>
    </xf>
    <xf numFmtId="2" fontId="6" fillId="0" borderId="52" xfId="1" applyNumberFormat="1" applyFont="1" applyFill="1" applyBorder="1" applyAlignment="1">
      <alignment horizontal="center" vertical="center" wrapText="1"/>
    </xf>
    <xf numFmtId="2" fontId="6" fillId="0" borderId="53" xfId="1" applyNumberFormat="1" applyFont="1" applyFill="1" applyBorder="1" applyAlignment="1">
      <alignment horizontal="center" vertical="center" wrapText="1"/>
    </xf>
    <xf numFmtId="0" fontId="6" fillId="0" borderId="51" xfId="1" applyFont="1" applyFill="1" applyBorder="1" applyAlignment="1">
      <alignment horizontal="center" vertical="center"/>
    </xf>
    <xf numFmtId="0" fontId="6" fillId="0" borderId="52" xfId="1" applyFont="1" applyFill="1" applyBorder="1" applyAlignment="1">
      <alignment horizontal="center" vertical="center"/>
    </xf>
    <xf numFmtId="0" fontId="6" fillId="0" borderId="142" xfId="1" applyFont="1" applyFill="1" applyBorder="1" applyAlignment="1">
      <alignment horizontal="center" vertical="center"/>
    </xf>
    <xf numFmtId="0" fontId="5" fillId="2" borderId="71" xfId="1" applyFont="1" applyFill="1" applyBorder="1" applyAlignment="1">
      <alignment horizontal="center" vertical="center"/>
    </xf>
    <xf numFmtId="0" fontId="5" fillId="2" borderId="70" xfId="1" applyFont="1" applyFill="1" applyBorder="1" applyAlignment="1">
      <alignment horizontal="center" vertical="center"/>
    </xf>
    <xf numFmtId="0" fontId="5" fillId="2" borderId="147" xfId="1" applyFont="1" applyFill="1" applyBorder="1" applyAlignment="1">
      <alignment horizontal="center" vertical="center"/>
    </xf>
    <xf numFmtId="0" fontId="5" fillId="2" borderId="56" xfId="1" applyFont="1" applyFill="1" applyBorder="1" applyAlignment="1">
      <alignment horizontal="center" vertical="center"/>
    </xf>
    <xf numFmtId="0" fontId="5" fillId="2" borderId="0"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135" xfId="1" applyFont="1" applyFill="1" applyBorder="1" applyAlignment="1">
      <alignment horizontal="center" vertical="center"/>
    </xf>
    <xf numFmtId="0" fontId="5" fillId="2" borderId="169" xfId="1" applyFont="1" applyFill="1" applyBorder="1" applyAlignment="1">
      <alignment horizontal="center" vertical="center"/>
    </xf>
    <xf numFmtId="0" fontId="5" fillId="2" borderId="156" xfId="1" applyFont="1" applyFill="1" applyBorder="1" applyAlignment="1">
      <alignment horizontal="center" vertical="center"/>
    </xf>
    <xf numFmtId="0" fontId="76" fillId="0" borderId="31" xfId="1" applyFont="1" applyFill="1" applyBorder="1" applyAlignment="1">
      <alignment horizontal="center" vertical="center" wrapText="1"/>
    </xf>
    <xf numFmtId="0" fontId="76" fillId="0" borderId="104" xfId="1" applyFont="1" applyFill="1" applyBorder="1" applyAlignment="1">
      <alignment horizontal="center" vertical="center" wrapText="1"/>
    </xf>
    <xf numFmtId="0" fontId="76" fillId="0" borderId="151" xfId="1" applyFont="1" applyFill="1" applyBorder="1" applyAlignment="1">
      <alignment horizontal="center" vertical="center" wrapText="1"/>
    </xf>
    <xf numFmtId="0" fontId="2" fillId="0" borderId="165" xfId="1" applyFont="1" applyFill="1" applyBorder="1" applyAlignment="1">
      <alignment horizontal="center" vertical="center" wrapText="1"/>
    </xf>
    <xf numFmtId="0" fontId="2" fillId="0" borderId="101" xfId="1" applyFont="1" applyFill="1" applyBorder="1" applyAlignment="1">
      <alignment horizontal="center" vertical="center" wrapText="1"/>
    </xf>
    <xf numFmtId="0" fontId="28" fillId="0" borderId="54" xfId="1" applyFont="1" applyBorder="1" applyAlignment="1">
      <alignment horizontal="center" vertical="center"/>
    </xf>
    <xf numFmtId="0" fontId="28" fillId="0" borderId="2" xfId="1" applyFont="1" applyBorder="1" applyAlignment="1">
      <alignment horizontal="center" vertical="center"/>
    </xf>
    <xf numFmtId="0" fontId="28" fillId="0" borderId="55" xfId="1" applyFont="1" applyBorder="1" applyAlignment="1">
      <alignment horizontal="center" vertical="center"/>
    </xf>
    <xf numFmtId="0" fontId="6" fillId="0" borderId="72" xfId="1" applyFont="1" applyBorder="1" applyAlignment="1">
      <alignment horizontal="center" vertical="center"/>
    </xf>
    <xf numFmtId="0" fontId="6" fillId="0" borderId="52" xfId="1" applyFont="1" applyBorder="1" applyAlignment="1">
      <alignment horizontal="center" vertical="center"/>
    </xf>
    <xf numFmtId="0" fontId="6" fillId="0" borderId="53" xfId="1" applyFont="1" applyBorder="1" applyAlignment="1">
      <alignment horizontal="center" vertical="center"/>
    </xf>
    <xf numFmtId="2" fontId="6" fillId="0" borderId="98" xfId="66" applyNumberFormat="1" applyFont="1" applyFill="1" applyBorder="1" applyAlignment="1">
      <alignment horizontal="center" vertical="center" wrapText="1"/>
    </xf>
    <xf numFmtId="2" fontId="6" fillId="0" borderId="172" xfId="66" applyNumberFormat="1" applyFont="1" applyFill="1" applyBorder="1" applyAlignment="1">
      <alignment horizontal="center" vertical="center" wrapText="1"/>
    </xf>
    <xf numFmtId="0" fontId="2" fillId="0" borderId="104" xfId="1" applyFont="1" applyFill="1" applyBorder="1" applyAlignment="1">
      <alignment horizontal="center" vertical="center" wrapText="1"/>
    </xf>
    <xf numFmtId="0" fontId="2" fillId="0" borderId="151" xfId="1" applyFont="1" applyFill="1" applyBorder="1" applyAlignment="1">
      <alignment horizontal="center" vertical="center" wrapText="1"/>
    </xf>
    <xf numFmtId="0" fontId="2" fillId="21" borderId="43" xfId="1" applyFill="1" applyBorder="1" applyAlignment="1">
      <alignment horizontal="left"/>
    </xf>
    <xf numFmtId="0" fontId="2" fillId="21" borderId="80" xfId="1" applyFill="1" applyBorder="1" applyAlignment="1">
      <alignment horizontal="left"/>
    </xf>
    <xf numFmtId="0" fontId="2" fillId="4" borderId="46" xfId="1" applyFill="1" applyBorder="1"/>
    <xf numFmtId="0" fontId="2" fillId="4" borderId="82" xfId="1" applyFill="1" applyBorder="1"/>
    <xf numFmtId="0" fontId="2" fillId="4" borderId="48" xfId="1" applyFill="1" applyBorder="1"/>
    <xf numFmtId="0" fontId="2" fillId="4" borderId="87" xfId="1" applyFill="1" applyBorder="1"/>
    <xf numFmtId="0" fontId="2" fillId="0" borderId="56" xfId="1" applyBorder="1" applyAlignment="1">
      <alignment vertical="center" wrapText="1"/>
    </xf>
    <xf numFmtId="0" fontId="2" fillId="0" borderId="0" xfId="1" applyBorder="1" applyAlignment="1">
      <alignment vertical="center" wrapText="1"/>
    </xf>
    <xf numFmtId="0" fontId="2" fillId="0" borderId="19" xfId="1" applyBorder="1" applyAlignment="1">
      <alignment vertical="center" wrapText="1"/>
    </xf>
    <xf numFmtId="0" fontId="2" fillId="0" borderId="58" xfId="1" applyBorder="1" applyAlignment="1">
      <alignment vertical="center" wrapText="1"/>
    </xf>
    <xf numFmtId="0" fontId="2" fillId="0" borderId="98" xfId="1" applyBorder="1" applyAlignment="1">
      <alignment vertical="center" wrapText="1"/>
    </xf>
    <xf numFmtId="0" fontId="2" fillId="0" borderId="26" xfId="1" applyBorder="1" applyAlignment="1">
      <alignment vertical="center" wrapText="1"/>
    </xf>
    <xf numFmtId="0" fontId="6" fillId="2" borderId="51" xfId="1" applyFont="1" applyFill="1" applyBorder="1" applyAlignment="1">
      <alignment horizontal="center" vertical="center"/>
    </xf>
    <xf numFmtId="0" fontId="6" fillId="2" borderId="52" xfId="1" applyFont="1" applyFill="1" applyBorder="1" applyAlignment="1">
      <alignment horizontal="center" vertical="center"/>
    </xf>
    <xf numFmtId="0" fontId="6" fillId="2" borderId="53" xfId="1" applyFont="1" applyFill="1" applyBorder="1" applyAlignment="1">
      <alignment horizontal="center" vertical="center"/>
    </xf>
    <xf numFmtId="0" fontId="6" fillId="2" borderId="59" xfId="1" applyFont="1" applyFill="1" applyBorder="1" applyAlignment="1">
      <alignment horizontal="center" vertical="center"/>
    </xf>
    <xf numFmtId="0" fontId="6" fillId="2" borderId="60" xfId="1" applyFont="1" applyFill="1" applyBorder="1" applyAlignment="1">
      <alignment horizontal="center" vertical="center"/>
    </xf>
    <xf numFmtId="0" fontId="6" fillId="2" borderId="61" xfId="1" applyFont="1" applyFill="1" applyBorder="1" applyAlignment="1">
      <alignment horizontal="center" vertical="center"/>
    </xf>
    <xf numFmtId="164" fontId="2" fillId="3" borderId="99" xfId="1" applyNumberFormat="1" applyFill="1" applyBorder="1" applyAlignment="1">
      <alignment horizontal="center" vertical="center"/>
    </xf>
    <xf numFmtId="164" fontId="2" fillId="3" borderId="18" xfId="1" applyNumberFormat="1" applyFill="1" applyBorder="1" applyAlignment="1">
      <alignment horizontal="center" vertical="center"/>
    </xf>
    <xf numFmtId="164" fontId="2" fillId="3" borderId="25" xfId="1" applyNumberFormat="1" applyFill="1" applyBorder="1" applyAlignment="1">
      <alignment horizontal="center" vertical="center"/>
    </xf>
    <xf numFmtId="0" fontId="2" fillId="4" borderId="43" xfId="1" applyFill="1" applyBorder="1" applyAlignment="1">
      <alignment horizontal="left"/>
    </xf>
    <xf numFmtId="0" fontId="2" fillId="4" borderId="44" xfId="1" applyFill="1" applyBorder="1" applyAlignment="1">
      <alignment horizontal="left"/>
    </xf>
    <xf numFmtId="0" fontId="5" fillId="0" borderId="33" xfId="1" applyFont="1" applyBorder="1" applyAlignment="1">
      <alignment horizontal="center" vertical="center"/>
    </xf>
    <xf numFmtId="1" fontId="2" fillId="30" borderId="99" xfId="0" applyNumberFormat="1" applyFont="1" applyFill="1" applyBorder="1" applyAlignment="1">
      <alignment horizontal="center" vertical="center" wrapText="1"/>
    </xf>
    <xf numFmtId="1" fontId="2" fillId="30" borderId="66" xfId="0" applyNumberFormat="1" applyFont="1" applyFill="1" applyBorder="1" applyAlignment="1">
      <alignment horizontal="center" vertical="center" wrapText="1"/>
    </xf>
    <xf numFmtId="1" fontId="2" fillId="30" borderId="110" xfId="0" applyNumberFormat="1" applyFont="1" applyFill="1" applyBorder="1" applyAlignment="1">
      <alignment horizontal="center" vertical="center" wrapText="1"/>
    </xf>
    <xf numFmtId="1" fontId="2" fillId="30" borderId="18" xfId="0" applyNumberFormat="1" applyFont="1" applyFill="1" applyBorder="1" applyAlignment="1">
      <alignment horizontal="center" vertical="center" wrapText="1"/>
    </xf>
    <xf numFmtId="1" fontId="2" fillId="30" borderId="0" xfId="0" applyNumberFormat="1" applyFont="1" applyFill="1" applyBorder="1" applyAlignment="1">
      <alignment horizontal="center" vertical="center" wrapText="1"/>
    </xf>
    <xf numFmtId="1" fontId="2" fillId="30" borderId="19" xfId="0" applyNumberFormat="1" applyFont="1" applyFill="1" applyBorder="1" applyAlignment="1">
      <alignment horizontal="center" vertical="center" wrapText="1"/>
    </xf>
    <xf numFmtId="1" fontId="2" fillId="30" borderId="78" xfId="0" applyNumberFormat="1" applyFont="1" applyFill="1" applyBorder="1" applyAlignment="1">
      <alignment horizontal="center" vertical="center" wrapText="1"/>
    </xf>
    <xf numFmtId="1" fontId="2" fillId="30" borderId="4" xfId="0" applyNumberFormat="1" applyFont="1" applyFill="1" applyBorder="1" applyAlignment="1">
      <alignment horizontal="center" vertical="center" wrapText="1"/>
    </xf>
    <xf numFmtId="1" fontId="2" fillId="30" borderId="62" xfId="0" applyNumberFormat="1" applyFont="1" applyFill="1" applyBorder="1" applyAlignment="1">
      <alignment horizontal="center" vertical="center" wrapText="1"/>
    </xf>
    <xf numFmtId="1" fontId="2" fillId="31" borderId="99" xfId="0" applyNumberFormat="1" applyFont="1" applyFill="1" applyBorder="1" applyAlignment="1">
      <alignment horizontal="center" vertical="center" wrapText="1"/>
    </xf>
    <xf numFmtId="1" fontId="2" fillId="31" borderId="66" xfId="0" applyNumberFormat="1" applyFont="1" applyFill="1" applyBorder="1" applyAlignment="1">
      <alignment horizontal="center" vertical="center" wrapText="1"/>
    </xf>
    <xf numFmtId="1" fontId="2" fillId="31" borderId="119" xfId="0" applyNumberFormat="1" applyFont="1" applyFill="1" applyBorder="1" applyAlignment="1">
      <alignment horizontal="center" vertical="center" wrapText="1"/>
    </xf>
    <xf numFmtId="1" fontId="2" fillId="31" borderId="18" xfId="0" applyNumberFormat="1" applyFont="1" applyFill="1" applyBorder="1" applyAlignment="1">
      <alignment horizontal="center" vertical="center" wrapText="1"/>
    </xf>
    <xf numFmtId="1" fontId="2" fillId="31" borderId="0" xfId="0" applyNumberFormat="1" applyFont="1" applyFill="1" applyBorder="1" applyAlignment="1">
      <alignment horizontal="center" vertical="center" wrapText="1"/>
    </xf>
    <xf numFmtId="1" fontId="2" fillId="31" borderId="57" xfId="0" applyNumberFormat="1" applyFont="1" applyFill="1" applyBorder="1" applyAlignment="1">
      <alignment horizontal="center" vertical="center" wrapText="1"/>
    </xf>
    <xf numFmtId="1" fontId="2" fillId="31" borderId="78" xfId="0" applyNumberFormat="1" applyFont="1" applyFill="1" applyBorder="1" applyAlignment="1">
      <alignment horizontal="center" vertical="center" wrapText="1"/>
    </xf>
    <xf numFmtId="1" fontId="2" fillId="31" borderId="4" xfId="0" applyNumberFormat="1" applyFont="1" applyFill="1" applyBorder="1" applyAlignment="1">
      <alignment horizontal="center" vertical="center" wrapText="1"/>
    </xf>
    <xf numFmtId="1" fontId="2" fillId="31" borderId="65" xfId="0" applyNumberFormat="1" applyFont="1" applyFill="1" applyBorder="1" applyAlignment="1">
      <alignment horizontal="center" vertical="center" wrapText="1"/>
    </xf>
    <xf numFmtId="1" fontId="8" fillId="25" borderId="99" xfId="0" applyNumberFormat="1" applyFont="1" applyFill="1" applyBorder="1" applyAlignment="1">
      <alignment horizontal="center" vertical="center" wrapText="1"/>
    </xf>
    <xf numFmtId="1" fontId="8" fillId="25" borderId="66" xfId="0" applyNumberFormat="1" applyFont="1" applyFill="1" applyBorder="1" applyAlignment="1">
      <alignment horizontal="center" vertical="center" wrapText="1"/>
    </xf>
    <xf numFmtId="1" fontId="8" fillId="25" borderId="110" xfId="0" applyNumberFormat="1" applyFont="1" applyFill="1" applyBorder="1" applyAlignment="1">
      <alignment horizontal="center" vertical="center" wrapText="1"/>
    </xf>
    <xf numFmtId="1" fontId="8" fillId="25" borderId="18" xfId="0" applyNumberFormat="1" applyFont="1" applyFill="1" applyBorder="1" applyAlignment="1">
      <alignment horizontal="center" vertical="center" wrapText="1"/>
    </xf>
    <xf numFmtId="1" fontId="8" fillId="25" borderId="0" xfId="0" applyNumberFormat="1" applyFont="1" applyFill="1" applyBorder="1" applyAlignment="1">
      <alignment horizontal="center" vertical="center" wrapText="1"/>
    </xf>
    <xf numFmtId="1" fontId="8" fillId="25" borderId="19" xfId="0" applyNumberFormat="1" applyFont="1" applyFill="1" applyBorder="1" applyAlignment="1">
      <alignment horizontal="center" vertical="center" wrapText="1"/>
    </xf>
    <xf numFmtId="1" fontId="8" fillId="25" borderId="78" xfId="0" applyNumberFormat="1" applyFont="1" applyFill="1" applyBorder="1" applyAlignment="1">
      <alignment horizontal="center" vertical="center" wrapText="1"/>
    </xf>
    <xf numFmtId="1" fontId="8" fillId="25" borderId="4" xfId="0" applyNumberFormat="1" applyFont="1" applyFill="1" applyBorder="1" applyAlignment="1">
      <alignment horizontal="center" vertical="center" wrapText="1"/>
    </xf>
    <xf numFmtId="1" fontId="8" fillId="25" borderId="62" xfId="0" applyNumberFormat="1" applyFont="1" applyFill="1" applyBorder="1" applyAlignment="1">
      <alignment horizontal="center" vertical="center" wrapText="1"/>
    </xf>
    <xf numFmtId="1" fontId="8" fillId="30" borderId="99" xfId="0" applyNumberFormat="1" applyFont="1" applyFill="1" applyBorder="1" applyAlignment="1">
      <alignment horizontal="center" vertical="center" wrapText="1"/>
    </xf>
    <xf numFmtId="1" fontId="8" fillId="30" borderId="66" xfId="0" applyNumberFormat="1" applyFont="1" applyFill="1" applyBorder="1" applyAlignment="1">
      <alignment horizontal="center" vertical="center" wrapText="1"/>
    </xf>
    <xf numFmtId="1" fontId="8" fillId="30" borderId="110" xfId="0" applyNumberFormat="1" applyFont="1" applyFill="1" applyBorder="1" applyAlignment="1">
      <alignment horizontal="center" vertical="center" wrapText="1"/>
    </xf>
    <xf numFmtId="1" fontId="8" fillId="30" borderId="18" xfId="0" applyNumberFormat="1" applyFont="1" applyFill="1" applyBorder="1" applyAlignment="1">
      <alignment horizontal="center" vertical="center" wrapText="1"/>
    </xf>
    <xf numFmtId="1" fontId="8" fillId="30" borderId="0" xfId="0" applyNumberFormat="1" applyFont="1" applyFill="1" applyBorder="1" applyAlignment="1">
      <alignment horizontal="center" vertical="center" wrapText="1"/>
    </xf>
    <xf numFmtId="1" fontId="8" fillId="30" borderId="19" xfId="0" applyNumberFormat="1" applyFont="1" applyFill="1" applyBorder="1" applyAlignment="1">
      <alignment horizontal="center" vertical="center" wrapText="1"/>
    </xf>
    <xf numFmtId="1" fontId="8" fillId="30" borderId="78" xfId="0" applyNumberFormat="1" applyFont="1" applyFill="1" applyBorder="1" applyAlignment="1">
      <alignment horizontal="center" vertical="center" wrapText="1"/>
    </xf>
    <xf numFmtId="1" fontId="8" fillId="30" borderId="4" xfId="0" applyNumberFormat="1" applyFont="1" applyFill="1" applyBorder="1" applyAlignment="1">
      <alignment horizontal="center" vertical="center" wrapText="1"/>
    </xf>
    <xf numFmtId="1" fontId="8" fillId="30" borderId="62" xfId="0" applyNumberFormat="1" applyFont="1" applyFill="1" applyBorder="1" applyAlignment="1">
      <alignment horizontal="center" vertical="center" wrapText="1"/>
    </xf>
    <xf numFmtId="1" fontId="8" fillId="26" borderId="99" xfId="0" applyNumberFormat="1" applyFont="1" applyFill="1" applyBorder="1" applyAlignment="1">
      <alignment horizontal="center" vertical="center" wrapText="1"/>
    </xf>
    <xf numFmtId="1" fontId="8" fillId="26" borderId="66" xfId="0" applyNumberFormat="1" applyFont="1" applyFill="1" applyBorder="1" applyAlignment="1">
      <alignment horizontal="center" vertical="center" wrapText="1"/>
    </xf>
    <xf numFmtId="1" fontId="8" fillId="26" borderId="119" xfId="0" applyNumberFormat="1" applyFont="1" applyFill="1" applyBorder="1" applyAlignment="1">
      <alignment horizontal="center" vertical="center" wrapText="1"/>
    </xf>
    <xf numFmtId="1" fontId="8" fillId="26" borderId="18" xfId="0" applyNumberFormat="1" applyFont="1" applyFill="1" applyBorder="1" applyAlignment="1">
      <alignment horizontal="center" vertical="center" wrapText="1"/>
    </xf>
    <xf numFmtId="1" fontId="8" fillId="26" borderId="0" xfId="0" applyNumberFormat="1" applyFont="1" applyFill="1" applyBorder="1" applyAlignment="1">
      <alignment horizontal="center" vertical="center" wrapText="1"/>
    </xf>
    <xf numFmtId="1" fontId="8" fillId="26" borderId="57" xfId="0" applyNumberFormat="1" applyFont="1" applyFill="1" applyBorder="1" applyAlignment="1">
      <alignment horizontal="center" vertical="center" wrapText="1"/>
    </xf>
    <xf numFmtId="1" fontId="8" fillId="26" borderId="78" xfId="0" applyNumberFormat="1" applyFont="1" applyFill="1" applyBorder="1" applyAlignment="1">
      <alignment horizontal="center" vertical="center" wrapText="1"/>
    </xf>
    <xf numFmtId="1" fontId="8" fillId="26" borderId="4" xfId="0" applyNumberFormat="1" applyFont="1" applyFill="1" applyBorder="1" applyAlignment="1">
      <alignment horizontal="center" vertical="center" wrapText="1"/>
    </xf>
    <xf numFmtId="1" fontId="8" fillId="26" borderId="65" xfId="0" applyNumberFormat="1" applyFont="1" applyFill="1" applyBorder="1" applyAlignment="1">
      <alignment horizontal="center" vertical="center" wrapText="1"/>
    </xf>
    <xf numFmtId="1" fontId="2" fillId="27" borderId="119" xfId="1" applyNumberFormat="1" applyFont="1" applyFill="1" applyBorder="1" applyAlignment="1">
      <alignment horizontal="center" vertical="center" wrapText="1"/>
    </xf>
    <xf numFmtId="1" fontId="2" fillId="27" borderId="57" xfId="1" applyNumberFormat="1" applyFont="1" applyFill="1" applyBorder="1" applyAlignment="1">
      <alignment horizontal="center" vertical="center" wrapText="1"/>
    </xf>
    <xf numFmtId="1" fontId="2" fillId="27" borderId="65" xfId="1" applyNumberFormat="1" applyFont="1" applyFill="1" applyBorder="1" applyAlignment="1">
      <alignment horizontal="center" vertical="center" wrapText="1"/>
    </xf>
    <xf numFmtId="0" fontId="39" fillId="0" borderId="0" xfId="1" applyFont="1" applyFill="1" applyBorder="1" applyAlignment="1">
      <alignment horizontal="center" vertical="center" wrapText="1"/>
    </xf>
    <xf numFmtId="1" fontId="2" fillId="28" borderId="99" xfId="0" applyNumberFormat="1" applyFont="1" applyFill="1" applyBorder="1" applyAlignment="1">
      <alignment horizontal="center" vertical="center" wrapText="1"/>
    </xf>
    <xf numFmtId="1" fontId="2" fillId="28" borderId="66" xfId="0" applyNumberFormat="1" applyFont="1" applyFill="1" applyBorder="1" applyAlignment="1">
      <alignment horizontal="center" vertical="center" wrapText="1"/>
    </xf>
    <xf numFmtId="1" fontId="2" fillId="28" borderId="110" xfId="0" applyNumberFormat="1" applyFont="1" applyFill="1" applyBorder="1" applyAlignment="1">
      <alignment horizontal="center" vertical="center" wrapText="1"/>
    </xf>
    <xf numFmtId="1" fontId="2" fillId="28" borderId="18" xfId="0" applyNumberFormat="1" applyFont="1" applyFill="1" applyBorder="1" applyAlignment="1">
      <alignment horizontal="center" vertical="center" wrapText="1"/>
    </xf>
    <xf numFmtId="1" fontId="2" fillId="28" borderId="0" xfId="0" applyNumberFormat="1" applyFont="1" applyFill="1" applyBorder="1" applyAlignment="1">
      <alignment horizontal="center" vertical="center" wrapText="1"/>
    </xf>
    <xf numFmtId="1" fontId="2" fillId="28" borderId="19" xfId="0" applyNumberFormat="1" applyFont="1" applyFill="1" applyBorder="1" applyAlignment="1">
      <alignment horizontal="center" vertical="center" wrapText="1"/>
    </xf>
    <xf numFmtId="1" fontId="2" fillId="28" borderId="78" xfId="0" applyNumberFormat="1" applyFont="1" applyFill="1" applyBorder="1" applyAlignment="1">
      <alignment horizontal="center" vertical="center" wrapText="1"/>
    </xf>
    <xf numFmtId="1" fontId="2" fillId="28" borderId="4" xfId="0" applyNumberFormat="1" applyFont="1" applyFill="1" applyBorder="1" applyAlignment="1">
      <alignment horizontal="center" vertical="center" wrapText="1"/>
    </xf>
    <xf numFmtId="1" fontId="2" fillId="28" borderId="62" xfId="0" applyNumberFormat="1" applyFont="1" applyFill="1" applyBorder="1" applyAlignment="1">
      <alignment horizontal="center" vertical="center" wrapText="1"/>
    </xf>
    <xf numFmtId="1" fontId="2" fillId="26" borderId="99" xfId="0" applyNumberFormat="1" applyFont="1" applyFill="1" applyBorder="1" applyAlignment="1">
      <alignment horizontal="center" vertical="center" wrapText="1"/>
    </xf>
    <xf numFmtId="1" fontId="2" fillId="26" borderId="66" xfId="0" applyNumberFormat="1" applyFont="1" applyFill="1" applyBorder="1" applyAlignment="1">
      <alignment horizontal="center" vertical="center" wrapText="1"/>
    </xf>
    <xf numFmtId="1" fontId="2" fillId="26" borderId="119" xfId="0" applyNumberFormat="1" applyFont="1" applyFill="1" applyBorder="1" applyAlignment="1">
      <alignment horizontal="center" vertical="center" wrapText="1"/>
    </xf>
    <xf numFmtId="1" fontId="2" fillId="26" borderId="18" xfId="0" applyNumberFormat="1" applyFont="1" applyFill="1" applyBorder="1" applyAlignment="1">
      <alignment horizontal="center" vertical="center" wrapText="1"/>
    </xf>
    <xf numFmtId="1" fontId="2" fillId="26" borderId="0" xfId="0" applyNumberFormat="1" applyFont="1" applyFill="1" applyBorder="1" applyAlignment="1">
      <alignment horizontal="center" vertical="center" wrapText="1"/>
    </xf>
    <xf numFmtId="1" fontId="2" fillId="26" borderId="57" xfId="0" applyNumberFormat="1" applyFont="1" applyFill="1" applyBorder="1" applyAlignment="1">
      <alignment horizontal="center" vertical="center" wrapText="1"/>
    </xf>
    <xf numFmtId="1" fontId="2" fillId="26" borderId="78" xfId="0" applyNumberFormat="1" applyFont="1" applyFill="1" applyBorder="1" applyAlignment="1">
      <alignment horizontal="center" vertical="center" wrapText="1"/>
    </xf>
    <xf numFmtId="1" fontId="2" fillId="26" borderId="4" xfId="0" applyNumberFormat="1" applyFont="1" applyFill="1" applyBorder="1" applyAlignment="1">
      <alignment horizontal="center" vertical="center" wrapText="1"/>
    </xf>
    <xf numFmtId="1" fontId="2" fillId="26" borderId="65" xfId="0" applyNumberFormat="1" applyFont="1" applyFill="1" applyBorder="1" applyAlignment="1">
      <alignment horizontal="center" vertical="center" wrapText="1"/>
    </xf>
    <xf numFmtId="1" fontId="2" fillId="25" borderId="99" xfId="0" applyNumberFormat="1" applyFont="1" applyFill="1" applyBorder="1" applyAlignment="1">
      <alignment horizontal="center" vertical="center" wrapText="1"/>
    </xf>
    <xf numFmtId="1" fontId="2" fillId="25" borderId="66" xfId="0" applyNumberFormat="1" applyFont="1" applyFill="1" applyBorder="1" applyAlignment="1">
      <alignment horizontal="center" vertical="center" wrapText="1"/>
    </xf>
    <xf numFmtId="1" fontId="2" fillId="25" borderId="110" xfId="0" applyNumberFormat="1" applyFont="1" applyFill="1" applyBorder="1" applyAlignment="1">
      <alignment horizontal="center" vertical="center" wrapText="1"/>
    </xf>
    <xf numFmtId="1" fontId="2" fillId="25" borderId="18" xfId="0" applyNumberFormat="1" applyFont="1" applyFill="1" applyBorder="1" applyAlignment="1">
      <alignment horizontal="center" vertical="center" wrapText="1"/>
    </xf>
    <xf numFmtId="1" fontId="2" fillId="25" borderId="0" xfId="0" applyNumberFormat="1" applyFont="1" applyFill="1" applyBorder="1" applyAlignment="1">
      <alignment horizontal="center" vertical="center" wrapText="1"/>
    </xf>
    <xf numFmtId="1" fontId="2" fillId="25" borderId="19" xfId="0" applyNumberFormat="1" applyFont="1" applyFill="1" applyBorder="1" applyAlignment="1">
      <alignment horizontal="center" vertical="center" wrapText="1"/>
    </xf>
    <xf numFmtId="1" fontId="2" fillId="25" borderId="78" xfId="0" applyNumberFormat="1" applyFont="1" applyFill="1" applyBorder="1" applyAlignment="1">
      <alignment horizontal="center" vertical="center" wrapText="1"/>
    </xf>
    <xf numFmtId="1" fontId="2" fillId="25" borderId="4" xfId="0" applyNumberFormat="1" applyFont="1" applyFill="1" applyBorder="1" applyAlignment="1">
      <alignment horizontal="center" vertical="center" wrapText="1"/>
    </xf>
    <xf numFmtId="1" fontId="2" fillId="25" borderId="62" xfId="0" applyNumberFormat="1" applyFont="1" applyFill="1" applyBorder="1" applyAlignment="1">
      <alignment horizontal="center" vertical="center" wrapText="1"/>
    </xf>
    <xf numFmtId="1" fontId="2" fillId="23" borderId="128" xfId="1" applyNumberFormat="1" applyFont="1" applyFill="1" applyBorder="1" applyAlignment="1">
      <alignment horizontal="center" vertical="center" wrapText="1"/>
    </xf>
    <xf numFmtId="1" fontId="2" fillId="23" borderId="70" xfId="1" applyNumberFormat="1" applyFont="1" applyFill="1" applyBorder="1" applyAlignment="1">
      <alignment horizontal="center" vertical="center" wrapText="1"/>
    </xf>
    <xf numFmtId="1" fontId="2" fillId="23" borderId="116" xfId="1" applyNumberFormat="1" applyFont="1" applyFill="1" applyBorder="1" applyAlignment="1">
      <alignment horizontal="center" vertical="center" wrapText="1"/>
    </xf>
    <xf numFmtId="0" fontId="2" fillId="0" borderId="79" xfId="1" applyBorder="1" applyAlignment="1">
      <alignment horizontal="center" vertical="center"/>
    </xf>
    <xf numFmtId="0" fontId="2" fillId="0" borderId="17" xfId="1" applyBorder="1" applyAlignment="1">
      <alignment horizontal="center" vertical="center"/>
    </xf>
    <xf numFmtId="0" fontId="2" fillId="0" borderId="23" xfId="1" applyBorder="1" applyAlignment="1">
      <alignment horizontal="center" vertical="center"/>
    </xf>
    <xf numFmtId="0" fontId="2" fillId="0" borderId="43" xfId="1" applyFont="1" applyBorder="1" applyAlignment="1">
      <alignment horizontal="center" vertical="top" wrapText="1"/>
    </xf>
    <xf numFmtId="0" fontId="2" fillId="0" borderId="44" xfId="1" applyFont="1" applyBorder="1" applyAlignment="1">
      <alignment horizontal="center" vertical="top" wrapText="1"/>
    </xf>
    <xf numFmtId="0" fontId="2" fillId="0" borderId="43" xfId="1" applyBorder="1" applyAlignment="1">
      <alignment horizontal="center" vertical="top" wrapText="1"/>
    </xf>
    <xf numFmtId="0" fontId="2" fillId="0" borderId="80" xfId="1" applyBorder="1" applyAlignment="1">
      <alignment horizontal="center" vertical="top" wrapText="1"/>
    </xf>
    <xf numFmtId="0" fontId="6" fillId="0" borderId="18" xfId="1" applyFont="1" applyBorder="1" applyAlignment="1">
      <alignment horizontal="center" vertical="center" textRotation="90"/>
    </xf>
    <xf numFmtId="0" fontId="6" fillId="0" borderId="19" xfId="1" applyFont="1" applyBorder="1" applyAlignment="1">
      <alignment horizontal="center" vertical="center" textRotation="90"/>
    </xf>
    <xf numFmtId="1" fontId="2" fillId="26" borderId="128" xfId="0" applyNumberFormat="1" applyFont="1" applyFill="1" applyBorder="1" applyAlignment="1">
      <alignment horizontal="center" vertical="center" wrapText="1"/>
    </xf>
    <xf numFmtId="1" fontId="2" fillId="26" borderId="70" xfId="0" applyNumberFormat="1" applyFont="1" applyFill="1" applyBorder="1" applyAlignment="1">
      <alignment horizontal="center" vertical="center" wrapText="1"/>
    </xf>
    <xf numFmtId="1" fontId="2" fillId="26" borderId="113" xfId="0" applyNumberFormat="1" applyFont="1" applyFill="1" applyBorder="1" applyAlignment="1">
      <alignment horizontal="center" vertical="center" wrapText="1"/>
    </xf>
    <xf numFmtId="1" fontId="2" fillId="25" borderId="128" xfId="0" applyNumberFormat="1" applyFont="1" applyFill="1" applyBorder="1" applyAlignment="1">
      <alignment horizontal="center" vertical="center" wrapText="1"/>
    </xf>
    <xf numFmtId="1" fontId="2" fillId="25" borderId="70" xfId="0" applyNumberFormat="1" applyFont="1" applyFill="1" applyBorder="1" applyAlignment="1">
      <alignment horizontal="center" vertical="center" wrapText="1"/>
    </xf>
    <xf numFmtId="1" fontId="2" fillId="25" borderId="116" xfId="0" applyNumberFormat="1" applyFont="1" applyFill="1" applyBorder="1" applyAlignment="1">
      <alignment horizontal="center" vertical="center" wrapText="1"/>
    </xf>
    <xf numFmtId="1" fontId="2" fillId="28" borderId="128" xfId="0" applyNumberFormat="1" applyFont="1" applyFill="1" applyBorder="1" applyAlignment="1">
      <alignment horizontal="center" vertical="center" wrapText="1"/>
    </xf>
    <xf numFmtId="1" fontId="2" fillId="28" borderId="70" xfId="0" applyNumberFormat="1" applyFont="1" applyFill="1" applyBorder="1" applyAlignment="1">
      <alignment horizontal="center" vertical="center" wrapText="1"/>
    </xf>
    <xf numFmtId="1" fontId="2" fillId="28" borderId="116" xfId="0" applyNumberFormat="1" applyFont="1" applyFill="1" applyBorder="1" applyAlignment="1">
      <alignment horizontal="center" vertical="center" wrapText="1"/>
    </xf>
    <xf numFmtId="1" fontId="2" fillId="27" borderId="128" xfId="1" applyNumberFormat="1" applyFont="1" applyFill="1" applyBorder="1" applyAlignment="1">
      <alignment horizontal="center" vertical="center" wrapText="1"/>
    </xf>
    <xf numFmtId="1" fontId="2" fillId="27" borderId="70" xfId="1" applyNumberFormat="1" applyFont="1" applyFill="1" applyBorder="1" applyAlignment="1">
      <alignment horizontal="center" vertical="center" wrapText="1"/>
    </xf>
    <xf numFmtId="1" fontId="2" fillId="27" borderId="116" xfId="1" applyNumberFormat="1" applyFont="1" applyFill="1" applyBorder="1" applyAlignment="1">
      <alignment horizontal="center" vertical="center" wrapText="1"/>
    </xf>
    <xf numFmtId="1" fontId="2" fillId="27" borderId="71" xfId="1" applyNumberFormat="1" applyFont="1" applyFill="1" applyBorder="1" applyAlignment="1">
      <alignment horizontal="center" vertical="center" wrapText="1"/>
    </xf>
    <xf numFmtId="1" fontId="2" fillId="24" borderId="128" xfId="1" applyNumberFormat="1" applyFont="1" applyFill="1" applyBorder="1" applyAlignment="1">
      <alignment horizontal="center" vertical="center" wrapText="1"/>
    </xf>
    <xf numFmtId="1" fontId="2" fillId="24" borderId="70" xfId="1" applyNumberFormat="1" applyFont="1" applyFill="1" applyBorder="1" applyAlignment="1">
      <alignment horizontal="center" vertical="center" wrapText="1"/>
    </xf>
    <xf numFmtId="1" fontId="2" fillId="24" borderId="116" xfId="1" applyNumberFormat="1" applyFont="1" applyFill="1" applyBorder="1" applyAlignment="1">
      <alignment horizontal="center" vertical="center" wrapText="1"/>
    </xf>
    <xf numFmtId="1" fontId="2" fillId="34" borderId="128" xfId="1" applyNumberFormat="1" applyFont="1" applyFill="1" applyBorder="1" applyAlignment="1">
      <alignment horizontal="center" vertical="center" wrapText="1"/>
    </xf>
    <xf numFmtId="1" fontId="2" fillId="34" borderId="70" xfId="1" applyNumberFormat="1" applyFont="1" applyFill="1" applyBorder="1" applyAlignment="1">
      <alignment horizontal="center" vertical="center" wrapText="1"/>
    </xf>
    <xf numFmtId="1" fontId="2" fillId="34" borderId="116" xfId="1" applyNumberFormat="1" applyFont="1" applyFill="1" applyBorder="1" applyAlignment="1">
      <alignment horizontal="center" vertical="center" wrapText="1"/>
    </xf>
    <xf numFmtId="1" fontId="2" fillId="33" borderId="128" xfId="1" applyNumberFormat="1" applyFont="1" applyFill="1" applyBorder="1" applyAlignment="1">
      <alignment horizontal="center" vertical="center" wrapText="1"/>
    </xf>
    <xf numFmtId="1" fontId="2" fillId="33" borderId="70" xfId="1" applyNumberFormat="1" applyFont="1" applyFill="1" applyBorder="1" applyAlignment="1">
      <alignment horizontal="center" vertical="center" wrapText="1"/>
    </xf>
    <xf numFmtId="1" fontId="2" fillId="33" borderId="116" xfId="1" applyNumberFormat="1" applyFont="1" applyFill="1" applyBorder="1" applyAlignment="1">
      <alignment horizontal="center" vertical="center" wrapText="1"/>
    </xf>
    <xf numFmtId="0" fontId="6" fillId="0" borderId="118" xfId="1" applyFont="1" applyFill="1" applyBorder="1" applyAlignment="1">
      <alignment horizontal="center" vertical="center" textRotation="255"/>
    </xf>
    <xf numFmtId="0" fontId="6" fillId="0" borderId="119" xfId="1" applyFont="1" applyFill="1" applyBorder="1" applyAlignment="1">
      <alignment horizontal="center" vertical="center" textRotation="255"/>
    </xf>
    <xf numFmtId="0" fontId="6" fillId="0" borderId="56" xfId="1" applyFont="1" applyFill="1" applyBorder="1" applyAlignment="1">
      <alignment horizontal="center" vertical="center" textRotation="255"/>
    </xf>
    <xf numFmtId="0" fontId="6" fillId="0" borderId="57" xfId="1" applyFont="1" applyFill="1" applyBorder="1" applyAlignment="1">
      <alignment horizontal="center" vertical="center" textRotation="255"/>
    </xf>
    <xf numFmtId="0" fontId="6" fillId="0" borderId="117" xfId="1" applyFont="1" applyFill="1" applyBorder="1" applyAlignment="1">
      <alignment horizontal="center" vertical="center" textRotation="255"/>
    </xf>
    <xf numFmtId="0" fontId="6" fillId="0" borderId="65" xfId="1" applyFont="1" applyFill="1" applyBorder="1" applyAlignment="1">
      <alignment horizontal="center" vertical="center" textRotation="255"/>
    </xf>
    <xf numFmtId="1" fontId="2" fillId="28" borderId="138" xfId="0" applyNumberFormat="1" applyFont="1" applyFill="1" applyBorder="1" applyAlignment="1">
      <alignment horizontal="center" vertical="center" wrapText="1"/>
    </xf>
    <xf numFmtId="1" fontId="2" fillId="28" borderId="169" xfId="0" applyNumberFormat="1" applyFont="1" applyFill="1" applyBorder="1" applyAlignment="1">
      <alignment horizontal="center" vertical="center" wrapText="1"/>
    </xf>
    <xf numFmtId="1" fontId="2" fillId="28" borderId="170" xfId="0" applyNumberFormat="1" applyFont="1" applyFill="1" applyBorder="1" applyAlignment="1">
      <alignment horizontal="center" vertical="center" wrapText="1"/>
    </xf>
    <xf numFmtId="0" fontId="2" fillId="0" borderId="0" xfId="1" applyFont="1" applyFill="1" applyAlignment="1">
      <alignment horizontal="left" vertical="top" wrapText="1"/>
    </xf>
    <xf numFmtId="1" fontId="2" fillId="34" borderId="138" xfId="1" applyNumberFormat="1" applyFont="1" applyFill="1" applyBorder="1" applyAlignment="1">
      <alignment horizontal="center" vertical="center" wrapText="1"/>
    </xf>
    <xf numFmtId="1" fontId="2" fillId="34" borderId="169" xfId="1" applyNumberFormat="1" applyFont="1" applyFill="1" applyBorder="1" applyAlignment="1">
      <alignment horizontal="center" vertical="center" wrapText="1"/>
    </xf>
    <xf numFmtId="1" fontId="2" fillId="34" borderId="170" xfId="1" applyNumberFormat="1" applyFont="1" applyFill="1" applyBorder="1" applyAlignment="1">
      <alignment horizontal="center" vertical="center" wrapText="1"/>
    </xf>
    <xf numFmtId="1" fontId="2" fillId="23" borderId="138" xfId="1" applyNumberFormat="1" applyFont="1" applyFill="1" applyBorder="1" applyAlignment="1">
      <alignment horizontal="center" vertical="center" wrapText="1"/>
    </xf>
    <xf numFmtId="1" fontId="2" fillId="23" borderId="169" xfId="1" applyNumberFormat="1" applyFont="1" applyFill="1" applyBorder="1" applyAlignment="1">
      <alignment horizontal="center" vertical="center" wrapText="1"/>
    </xf>
    <xf numFmtId="1" fontId="2" fillId="23" borderId="170" xfId="1" applyNumberFormat="1" applyFont="1" applyFill="1" applyBorder="1" applyAlignment="1">
      <alignment horizontal="center" vertical="center" wrapText="1"/>
    </xf>
    <xf numFmtId="1" fontId="2" fillId="28" borderId="99" xfId="1" applyNumberFormat="1" applyFont="1" applyFill="1" applyBorder="1" applyAlignment="1">
      <alignment horizontal="center" vertical="center" wrapText="1"/>
    </xf>
    <xf numFmtId="1" fontId="2" fillId="28" borderId="66" xfId="1" applyNumberFormat="1" applyFont="1" applyFill="1" applyBorder="1" applyAlignment="1">
      <alignment horizontal="center" vertical="center" wrapText="1"/>
    </xf>
    <xf numFmtId="1" fontId="2" fillId="28" borderId="110" xfId="1" applyNumberFormat="1" applyFont="1" applyFill="1" applyBorder="1" applyAlignment="1">
      <alignment horizontal="center" vertical="center" wrapText="1"/>
    </xf>
    <xf numFmtId="1" fontId="2" fillId="28" borderId="18" xfId="1" applyNumberFormat="1" applyFont="1" applyFill="1" applyBorder="1" applyAlignment="1">
      <alignment horizontal="center" vertical="center" wrapText="1"/>
    </xf>
    <xf numFmtId="1" fontId="2" fillId="28" borderId="0" xfId="1" applyNumberFormat="1" applyFont="1" applyFill="1" applyBorder="1" applyAlignment="1">
      <alignment horizontal="center" vertical="center" wrapText="1"/>
    </xf>
    <xf numFmtId="1" fontId="2" fillId="28" borderId="19" xfId="1" applyNumberFormat="1" applyFont="1" applyFill="1" applyBorder="1" applyAlignment="1">
      <alignment horizontal="center" vertical="center" wrapText="1"/>
    </xf>
    <xf numFmtId="1" fontId="2" fillId="28" borderId="78" xfId="1" applyNumberFormat="1" applyFont="1" applyFill="1" applyBorder="1" applyAlignment="1">
      <alignment horizontal="center" vertical="center" wrapText="1"/>
    </xf>
    <xf numFmtId="1" fontId="2" fillId="28" borderId="4" xfId="1" applyNumberFormat="1" applyFont="1" applyFill="1" applyBorder="1" applyAlignment="1">
      <alignment horizontal="center" vertical="center" wrapText="1"/>
    </xf>
    <xf numFmtId="1" fontId="2" fillId="28" borderId="62" xfId="1" applyNumberFormat="1" applyFont="1" applyFill="1" applyBorder="1" applyAlignment="1">
      <alignment horizontal="center" vertical="center" wrapText="1"/>
    </xf>
    <xf numFmtId="1" fontId="34" fillId="28" borderId="99" xfId="0" applyNumberFormat="1" applyFont="1" applyFill="1" applyBorder="1" applyAlignment="1">
      <alignment horizontal="center" vertical="center" wrapText="1"/>
    </xf>
    <xf numFmtId="1" fontId="34" fillId="28" borderId="66" xfId="0" applyNumberFormat="1" applyFont="1" applyFill="1" applyBorder="1" applyAlignment="1">
      <alignment horizontal="center" vertical="center" wrapText="1"/>
    </xf>
    <xf numFmtId="1" fontId="34" fillId="28" borderId="110" xfId="0" applyNumberFormat="1" applyFont="1" applyFill="1" applyBorder="1" applyAlignment="1">
      <alignment horizontal="center" vertical="center" wrapText="1"/>
    </xf>
    <xf numFmtId="1" fontId="34" fillId="28" borderId="18" xfId="0" applyNumberFormat="1" applyFont="1" applyFill="1" applyBorder="1" applyAlignment="1">
      <alignment horizontal="center" vertical="center" wrapText="1"/>
    </xf>
    <xf numFmtId="1" fontId="34" fillId="28" borderId="0" xfId="0" applyNumberFormat="1" applyFont="1" applyFill="1" applyBorder="1" applyAlignment="1">
      <alignment horizontal="center" vertical="center" wrapText="1"/>
    </xf>
    <xf numFmtId="1" fontId="34" fillId="28" borderId="19" xfId="0" applyNumberFormat="1" applyFont="1" applyFill="1" applyBorder="1" applyAlignment="1">
      <alignment horizontal="center" vertical="center" wrapText="1"/>
    </xf>
    <xf numFmtId="1" fontId="34" fillId="28" borderId="138" xfId="0" applyNumberFormat="1" applyFont="1" applyFill="1" applyBorder="1" applyAlignment="1">
      <alignment horizontal="center" vertical="center" wrapText="1"/>
    </xf>
    <xf numFmtId="1" fontId="34" fillId="28" borderId="169" xfId="0" applyNumberFormat="1" applyFont="1" applyFill="1" applyBorder="1" applyAlignment="1">
      <alignment horizontal="center" vertical="center" wrapText="1"/>
    </xf>
    <xf numFmtId="1" fontId="34" fillId="28" borderId="170" xfId="0" applyNumberFormat="1" applyFont="1" applyFill="1" applyBorder="1" applyAlignment="1">
      <alignment horizontal="center" vertical="center" wrapText="1"/>
    </xf>
    <xf numFmtId="1" fontId="43" fillId="26" borderId="118" xfId="0" applyNumberFormat="1" applyFont="1" applyFill="1" applyBorder="1" applyAlignment="1">
      <alignment horizontal="center" vertical="center" wrapText="1"/>
    </xf>
    <xf numFmtId="1" fontId="43" fillId="26" borderId="66" xfId="0" applyNumberFormat="1" applyFont="1" applyFill="1" applyBorder="1" applyAlignment="1">
      <alignment horizontal="center" vertical="center" wrapText="1"/>
    </xf>
    <xf numFmtId="1" fontId="43" fillId="26" borderId="110" xfId="0" applyNumberFormat="1" applyFont="1" applyFill="1" applyBorder="1" applyAlignment="1">
      <alignment horizontal="center" vertical="center" wrapText="1"/>
    </xf>
    <xf numFmtId="1" fontId="43" fillId="26" borderId="56" xfId="0" applyNumberFormat="1" applyFont="1" applyFill="1" applyBorder="1" applyAlignment="1">
      <alignment horizontal="center" vertical="center" wrapText="1"/>
    </xf>
    <xf numFmtId="1" fontId="43" fillId="26" borderId="0" xfId="0" applyNumberFormat="1" applyFont="1" applyFill="1" applyBorder="1" applyAlignment="1">
      <alignment horizontal="center" vertical="center" wrapText="1"/>
    </xf>
    <xf numFmtId="1" fontId="43" fillId="26" borderId="19" xfId="0" applyNumberFormat="1" applyFont="1" applyFill="1" applyBorder="1" applyAlignment="1">
      <alignment horizontal="center" vertical="center" wrapText="1"/>
    </xf>
    <xf numFmtId="1" fontId="43" fillId="26" borderId="117" xfId="0" applyNumberFormat="1" applyFont="1" applyFill="1" applyBorder="1" applyAlignment="1">
      <alignment horizontal="center" vertical="center" wrapText="1"/>
    </xf>
    <xf numFmtId="1" fontId="43" fillId="26" borderId="4" xfId="0" applyNumberFormat="1" applyFont="1" applyFill="1" applyBorder="1" applyAlignment="1">
      <alignment horizontal="center" vertical="center" wrapText="1"/>
    </xf>
    <xf numFmtId="1" fontId="43" fillId="26" borderId="62" xfId="0" applyNumberFormat="1" applyFont="1" applyFill="1" applyBorder="1" applyAlignment="1">
      <alignment horizontal="center" vertical="center" wrapText="1"/>
    </xf>
    <xf numFmtId="1" fontId="43" fillId="25" borderId="99" xfId="0" applyNumberFormat="1" applyFont="1" applyFill="1" applyBorder="1" applyAlignment="1">
      <alignment horizontal="center" vertical="center" wrapText="1"/>
    </xf>
    <xf numFmtId="1" fontId="43" fillId="25" borderId="66" xfId="0" applyNumberFormat="1" applyFont="1" applyFill="1" applyBorder="1" applyAlignment="1">
      <alignment horizontal="center" vertical="center" wrapText="1"/>
    </xf>
    <xf numFmtId="1" fontId="43" fillId="25" borderId="110" xfId="0" applyNumberFormat="1" applyFont="1" applyFill="1" applyBorder="1" applyAlignment="1">
      <alignment horizontal="center" vertical="center" wrapText="1"/>
    </xf>
    <xf numFmtId="1" fontId="43" fillId="25" borderId="18" xfId="0" applyNumberFormat="1" applyFont="1" applyFill="1" applyBorder="1" applyAlignment="1">
      <alignment horizontal="center" vertical="center" wrapText="1"/>
    </xf>
    <xf numFmtId="1" fontId="43" fillId="25" borderId="0" xfId="0" applyNumberFormat="1" applyFont="1" applyFill="1" applyBorder="1" applyAlignment="1">
      <alignment horizontal="center" vertical="center" wrapText="1"/>
    </xf>
    <xf numFmtId="1" fontId="43" fillId="25" borderId="19" xfId="0" applyNumberFormat="1" applyFont="1" applyFill="1" applyBorder="1" applyAlignment="1">
      <alignment horizontal="center" vertical="center" wrapText="1"/>
    </xf>
    <xf numFmtId="1" fontId="43" fillId="25" borderId="78" xfId="0" applyNumberFormat="1" applyFont="1" applyFill="1" applyBorder="1" applyAlignment="1">
      <alignment horizontal="center" vertical="center" wrapText="1"/>
    </xf>
    <xf numFmtId="1" fontId="43" fillId="25" borderId="4" xfId="0" applyNumberFormat="1" applyFont="1" applyFill="1" applyBorder="1" applyAlignment="1">
      <alignment horizontal="center" vertical="center" wrapText="1"/>
    </xf>
    <xf numFmtId="1" fontId="43" fillId="25" borderId="62" xfId="0" applyNumberFormat="1" applyFont="1" applyFill="1" applyBorder="1" applyAlignment="1">
      <alignment horizontal="center" vertical="center" wrapText="1"/>
    </xf>
    <xf numFmtId="1" fontId="34" fillId="28" borderId="78" xfId="0" applyNumberFormat="1" applyFont="1" applyFill="1" applyBorder="1" applyAlignment="1">
      <alignment horizontal="center" vertical="center" wrapText="1"/>
    </xf>
    <xf numFmtId="1" fontId="34" fillId="28" borderId="4" xfId="0" applyNumberFormat="1" applyFont="1" applyFill="1" applyBorder="1" applyAlignment="1">
      <alignment horizontal="center" vertical="center" wrapText="1"/>
    </xf>
    <xf numFmtId="1" fontId="34" fillId="28" borderId="62" xfId="0" applyNumberFormat="1" applyFont="1" applyFill="1" applyBorder="1" applyAlignment="1">
      <alignment horizontal="center" vertical="center" wrapText="1"/>
    </xf>
    <xf numFmtId="1" fontId="34" fillId="25" borderId="99" xfId="0" applyNumberFormat="1" applyFont="1" applyFill="1" applyBorder="1" applyAlignment="1">
      <alignment horizontal="center" vertical="center" wrapText="1"/>
    </xf>
    <xf numFmtId="1" fontId="34" fillId="25" borderId="66" xfId="0" applyNumberFormat="1" applyFont="1" applyFill="1" applyBorder="1" applyAlignment="1">
      <alignment horizontal="center" vertical="center" wrapText="1"/>
    </xf>
    <xf numFmtId="1" fontId="34" fillId="25" borderId="110" xfId="0" applyNumberFormat="1" applyFont="1" applyFill="1" applyBorder="1" applyAlignment="1">
      <alignment horizontal="center" vertical="center" wrapText="1"/>
    </xf>
    <xf numFmtId="1" fontId="34" fillId="25" borderId="18" xfId="0" applyNumberFormat="1" applyFont="1" applyFill="1" applyBorder="1" applyAlignment="1">
      <alignment horizontal="center" vertical="center" wrapText="1"/>
    </xf>
    <xf numFmtId="1" fontId="34" fillId="25" borderId="0" xfId="0" applyNumberFormat="1" applyFont="1" applyFill="1" applyBorder="1" applyAlignment="1">
      <alignment horizontal="center" vertical="center" wrapText="1"/>
    </xf>
    <xf numFmtId="1" fontId="34" fillId="25" borderId="19" xfId="0" applyNumberFormat="1" applyFont="1" applyFill="1" applyBorder="1" applyAlignment="1">
      <alignment horizontal="center" vertical="center" wrapText="1"/>
    </xf>
    <xf numFmtId="1" fontId="34" fillId="25" borderId="78" xfId="0" applyNumberFormat="1" applyFont="1" applyFill="1" applyBorder="1" applyAlignment="1">
      <alignment horizontal="center" vertical="center" wrapText="1"/>
    </xf>
    <xf numFmtId="1" fontId="34" fillId="25" borderId="4" xfId="0" applyNumberFormat="1" applyFont="1" applyFill="1" applyBorder="1" applyAlignment="1">
      <alignment horizontal="center" vertical="center" wrapText="1"/>
    </xf>
    <xf numFmtId="1" fontId="34" fillId="25" borderId="62" xfId="0" applyNumberFormat="1" applyFont="1" applyFill="1" applyBorder="1" applyAlignment="1">
      <alignment horizontal="center" vertical="center" wrapText="1"/>
    </xf>
    <xf numFmtId="1" fontId="2" fillId="30" borderId="138" xfId="1" applyNumberFormat="1" applyFont="1" applyFill="1" applyBorder="1" applyAlignment="1">
      <alignment horizontal="center" vertical="center" wrapText="1"/>
    </xf>
    <xf numFmtId="1" fontId="2" fillId="30" borderId="169" xfId="1" applyNumberFormat="1" applyFont="1" applyFill="1" applyBorder="1" applyAlignment="1">
      <alignment horizontal="center" vertical="center" wrapText="1"/>
    </xf>
    <xf numFmtId="1" fontId="2" fillId="30" borderId="170" xfId="1" applyNumberFormat="1" applyFont="1" applyFill="1" applyBorder="1" applyAlignment="1">
      <alignment horizontal="center" vertical="center" wrapText="1"/>
    </xf>
    <xf numFmtId="2" fontId="2" fillId="0" borderId="99" xfId="1" applyNumberFormat="1" applyBorder="1" applyAlignment="1">
      <alignment horizontal="center"/>
    </xf>
    <xf numFmtId="2" fontId="2" fillId="0" borderId="66" xfId="1" applyNumberFormat="1" applyBorder="1" applyAlignment="1">
      <alignment horizontal="center"/>
    </xf>
    <xf numFmtId="2" fontId="2" fillId="0" borderId="110" xfId="1" applyNumberFormat="1" applyBorder="1" applyAlignment="1">
      <alignment horizontal="center"/>
    </xf>
    <xf numFmtId="1" fontId="8" fillId="31" borderId="99" xfId="0" applyNumberFormat="1" applyFont="1" applyFill="1" applyBorder="1" applyAlignment="1">
      <alignment horizontal="center" vertical="center" wrapText="1"/>
    </xf>
    <xf numFmtId="1" fontId="8" fillId="31" borderId="66" xfId="0" applyNumberFormat="1" applyFont="1" applyFill="1" applyBorder="1" applyAlignment="1">
      <alignment horizontal="center" vertical="center" wrapText="1"/>
    </xf>
    <xf numFmtId="1" fontId="8" fillId="31" borderId="119" xfId="0" applyNumberFormat="1" applyFont="1" applyFill="1" applyBorder="1" applyAlignment="1">
      <alignment horizontal="center" vertical="center" wrapText="1"/>
    </xf>
    <xf numFmtId="1" fontId="8" fillId="31" borderId="18" xfId="0" applyNumberFormat="1" applyFont="1" applyFill="1" applyBorder="1" applyAlignment="1">
      <alignment horizontal="center" vertical="center" wrapText="1"/>
    </xf>
    <xf numFmtId="1" fontId="8" fillId="31" borderId="0" xfId="0" applyNumberFormat="1" applyFont="1" applyFill="1" applyBorder="1" applyAlignment="1">
      <alignment horizontal="center" vertical="center" wrapText="1"/>
    </xf>
    <xf numFmtId="1" fontId="8" fillId="31" borderId="57" xfId="0" applyNumberFormat="1" applyFont="1" applyFill="1" applyBorder="1" applyAlignment="1">
      <alignment horizontal="center" vertical="center" wrapText="1"/>
    </xf>
    <xf numFmtId="1" fontId="8" fillId="31" borderId="78" xfId="0" applyNumberFormat="1" applyFont="1" applyFill="1" applyBorder="1" applyAlignment="1">
      <alignment horizontal="center" vertical="center" wrapText="1"/>
    </xf>
    <xf numFmtId="1" fontId="8" fillId="31" borderId="4" xfId="0" applyNumberFormat="1" applyFont="1" applyFill="1" applyBorder="1" applyAlignment="1">
      <alignment horizontal="center" vertical="center" wrapText="1"/>
    </xf>
    <xf numFmtId="1" fontId="8" fillId="31" borderId="65" xfId="0" applyNumberFormat="1" applyFont="1" applyFill="1" applyBorder="1" applyAlignment="1">
      <alignment horizontal="center" vertical="center" wrapText="1"/>
    </xf>
    <xf numFmtId="1" fontId="2" fillId="31" borderId="138" xfId="1" applyNumberFormat="1" applyFont="1" applyFill="1" applyBorder="1" applyAlignment="1">
      <alignment horizontal="center" vertical="center" wrapText="1"/>
    </xf>
    <xf numFmtId="1" fontId="2" fillId="31" borderId="169" xfId="1" applyNumberFormat="1" applyFont="1" applyFill="1" applyBorder="1" applyAlignment="1">
      <alignment horizontal="center" vertical="center" wrapText="1"/>
    </xf>
    <xf numFmtId="1" fontId="2" fillId="31" borderId="139" xfId="1" applyNumberFormat="1" applyFont="1" applyFill="1" applyBorder="1" applyAlignment="1">
      <alignment horizontal="center" vertical="center" wrapText="1"/>
    </xf>
    <xf numFmtId="1" fontId="34" fillId="26" borderId="71" xfId="0" applyNumberFormat="1" applyFont="1" applyFill="1" applyBorder="1" applyAlignment="1">
      <alignment horizontal="center" vertical="center" wrapText="1"/>
    </xf>
    <xf numFmtId="1" fontId="34" fillId="26" borderId="70" xfId="0" applyNumberFormat="1" applyFont="1" applyFill="1" applyBorder="1" applyAlignment="1">
      <alignment horizontal="center" vertical="center" wrapText="1"/>
    </xf>
    <xf numFmtId="1" fontId="34" fillId="26" borderId="116" xfId="0" applyNumberFormat="1" applyFont="1" applyFill="1" applyBorder="1" applyAlignment="1">
      <alignment horizontal="center" vertical="center" wrapText="1"/>
    </xf>
    <xf numFmtId="1" fontId="34" fillId="26" borderId="56" xfId="0" applyNumberFormat="1" applyFont="1" applyFill="1" applyBorder="1" applyAlignment="1">
      <alignment horizontal="center" vertical="center" wrapText="1"/>
    </xf>
    <xf numFmtId="1" fontId="34" fillId="26" borderId="0" xfId="0" applyNumberFormat="1" applyFont="1" applyFill="1" applyBorder="1" applyAlignment="1">
      <alignment horizontal="center" vertical="center" wrapText="1"/>
    </xf>
    <xf numFmtId="1" fontId="34" fillId="26" borderId="19" xfId="0" applyNumberFormat="1" applyFont="1" applyFill="1" applyBorder="1" applyAlignment="1">
      <alignment horizontal="center" vertical="center" wrapText="1"/>
    </xf>
    <xf numFmtId="1" fontId="34" fillId="26" borderId="117" xfId="0" applyNumberFormat="1" applyFont="1" applyFill="1" applyBorder="1" applyAlignment="1">
      <alignment horizontal="center" vertical="center" wrapText="1"/>
    </xf>
    <xf numFmtId="1" fontId="34" fillId="26" borderId="4" xfId="0" applyNumberFormat="1" applyFont="1" applyFill="1" applyBorder="1" applyAlignment="1">
      <alignment horizontal="center" vertical="center" wrapText="1"/>
    </xf>
    <xf numFmtId="1" fontId="34" fillId="26" borderId="62" xfId="0" applyNumberFormat="1" applyFont="1" applyFill="1" applyBorder="1" applyAlignment="1">
      <alignment horizontal="center" vertical="center" wrapText="1"/>
    </xf>
    <xf numFmtId="1" fontId="34" fillId="25" borderId="128" xfId="0" applyNumberFormat="1" applyFont="1" applyFill="1" applyBorder="1" applyAlignment="1">
      <alignment horizontal="center" vertical="center" wrapText="1"/>
    </xf>
    <xf numFmtId="1" fontId="34" fillId="25" borderId="70" xfId="0" applyNumberFormat="1" applyFont="1" applyFill="1" applyBorder="1" applyAlignment="1">
      <alignment horizontal="center" vertical="center" wrapText="1"/>
    </xf>
    <xf numFmtId="1" fontId="34" fillId="25" borderId="116" xfId="0" applyNumberFormat="1" applyFont="1" applyFill="1" applyBorder="1" applyAlignment="1">
      <alignment horizontal="center" vertical="center" wrapText="1"/>
    </xf>
    <xf numFmtId="1" fontId="34" fillId="28" borderId="128" xfId="0" applyNumberFormat="1" applyFont="1" applyFill="1" applyBorder="1" applyAlignment="1">
      <alignment horizontal="center" vertical="center" wrapText="1"/>
    </xf>
    <xf numFmtId="1" fontId="34" fillId="28" borderId="70" xfId="0" applyNumberFormat="1" applyFont="1" applyFill="1" applyBorder="1" applyAlignment="1">
      <alignment horizontal="center" vertical="center" wrapText="1"/>
    </xf>
    <xf numFmtId="1" fontId="34" fillId="28" borderId="116" xfId="0" applyNumberFormat="1" applyFont="1" applyFill="1" applyBorder="1" applyAlignment="1">
      <alignment horizontal="center" vertical="center" wrapText="1"/>
    </xf>
    <xf numFmtId="1" fontId="2" fillId="27" borderId="113" xfId="1" applyNumberFormat="1" applyFont="1" applyFill="1" applyBorder="1" applyAlignment="1">
      <alignment horizontal="center" vertical="center" wrapText="1"/>
    </xf>
    <xf numFmtId="1" fontId="2" fillId="31" borderId="118" xfId="1" applyNumberFormat="1" applyFont="1" applyFill="1" applyBorder="1" applyAlignment="1">
      <alignment horizontal="center" vertical="center" wrapText="1"/>
    </xf>
    <xf numFmtId="1" fontId="2" fillId="31" borderId="110" xfId="1" applyNumberFormat="1" applyFont="1" applyFill="1" applyBorder="1" applyAlignment="1">
      <alignment horizontal="center" vertical="center" wrapText="1"/>
    </xf>
    <xf numFmtId="1" fontId="2" fillId="31" borderId="56" xfId="1" applyNumberFormat="1" applyFont="1" applyFill="1" applyBorder="1" applyAlignment="1">
      <alignment horizontal="center" vertical="center" wrapText="1"/>
    </xf>
    <xf numFmtId="1" fontId="2" fillId="31" borderId="19" xfId="1" applyNumberFormat="1" applyFont="1" applyFill="1" applyBorder="1" applyAlignment="1">
      <alignment horizontal="center" vertical="center" wrapText="1"/>
    </xf>
    <xf numFmtId="1" fontId="2" fillId="31" borderId="117" xfId="1" applyNumberFormat="1" applyFont="1" applyFill="1" applyBorder="1" applyAlignment="1">
      <alignment horizontal="center" vertical="center" wrapText="1"/>
    </xf>
    <xf numFmtId="1" fontId="2" fillId="31" borderId="62" xfId="1" applyNumberFormat="1" applyFont="1" applyFill="1" applyBorder="1" applyAlignment="1">
      <alignment horizontal="center" vertical="center" wrapText="1"/>
    </xf>
    <xf numFmtId="1" fontId="2" fillId="27" borderId="139" xfId="1" applyNumberFormat="1" applyFont="1" applyFill="1" applyBorder="1" applyAlignment="1">
      <alignment horizontal="center" vertical="center" wrapText="1"/>
    </xf>
    <xf numFmtId="1" fontId="34" fillId="26" borderId="118" xfId="0" applyNumberFormat="1" applyFont="1" applyFill="1" applyBorder="1" applyAlignment="1">
      <alignment horizontal="center" vertical="center" wrapText="1"/>
    </xf>
    <xf numFmtId="1" fontId="34" fillId="26" borderId="66" xfId="0" applyNumberFormat="1" applyFont="1" applyFill="1" applyBorder="1" applyAlignment="1">
      <alignment horizontal="center" vertical="center" wrapText="1"/>
    </xf>
    <xf numFmtId="1" fontId="34" fillId="26" borderId="110" xfId="0" applyNumberFormat="1" applyFont="1" applyFill="1" applyBorder="1" applyAlignment="1">
      <alignment horizontal="center" vertical="center" wrapText="1"/>
    </xf>
    <xf numFmtId="1" fontId="34" fillId="30" borderId="99" xfId="0" applyNumberFormat="1" applyFont="1" applyFill="1" applyBorder="1" applyAlignment="1">
      <alignment horizontal="center" vertical="center" wrapText="1"/>
    </xf>
    <xf numFmtId="1" fontId="34" fillId="30" borderId="66" xfId="0" applyNumberFormat="1" applyFont="1" applyFill="1" applyBorder="1" applyAlignment="1">
      <alignment horizontal="center" vertical="center" wrapText="1"/>
    </xf>
    <xf numFmtId="1" fontId="34" fillId="30" borderId="110" xfId="0" applyNumberFormat="1" applyFont="1" applyFill="1" applyBorder="1" applyAlignment="1">
      <alignment horizontal="center" vertical="center" wrapText="1"/>
    </xf>
    <xf numFmtId="1" fontId="34" fillId="30" borderId="18" xfId="0" applyNumberFormat="1" applyFont="1" applyFill="1" applyBorder="1" applyAlignment="1">
      <alignment horizontal="center" vertical="center" wrapText="1"/>
    </xf>
    <xf numFmtId="1" fontId="34" fillId="30" borderId="0" xfId="0" applyNumberFormat="1" applyFont="1" applyFill="1" applyBorder="1" applyAlignment="1">
      <alignment horizontal="center" vertical="center" wrapText="1"/>
    </xf>
    <xf numFmtId="1" fontId="34" fillId="30" borderId="19" xfId="0" applyNumberFormat="1" applyFont="1" applyFill="1" applyBorder="1" applyAlignment="1">
      <alignment horizontal="center" vertical="center" wrapText="1"/>
    </xf>
    <xf numFmtId="1" fontId="34" fillId="30" borderId="78" xfId="0" applyNumberFormat="1" applyFont="1" applyFill="1" applyBorder="1" applyAlignment="1">
      <alignment horizontal="center" vertical="center" wrapText="1"/>
    </xf>
    <xf numFmtId="1" fontId="34" fillId="30" borderId="4" xfId="0" applyNumberFormat="1" applyFont="1" applyFill="1" applyBorder="1" applyAlignment="1">
      <alignment horizontal="center" vertical="center" wrapText="1"/>
    </xf>
    <xf numFmtId="1" fontId="34" fillId="30" borderId="62" xfId="0" applyNumberFormat="1" applyFont="1" applyFill="1" applyBorder="1" applyAlignment="1">
      <alignment horizontal="center" vertical="center" wrapText="1"/>
    </xf>
    <xf numFmtId="1" fontId="2" fillId="31" borderId="135" xfId="1" applyNumberFormat="1" applyFont="1" applyFill="1" applyBorder="1" applyAlignment="1">
      <alignment horizontal="center" vertical="center" wrapText="1"/>
    </xf>
    <xf numFmtId="1" fontId="2" fillId="31" borderId="170" xfId="1" applyNumberFormat="1" applyFont="1" applyFill="1" applyBorder="1" applyAlignment="1">
      <alignment horizontal="center" vertical="center" wrapText="1"/>
    </xf>
    <xf numFmtId="1" fontId="43" fillId="31" borderId="118" xfId="0" applyNumberFormat="1" applyFont="1" applyFill="1" applyBorder="1" applyAlignment="1">
      <alignment horizontal="center" vertical="center" wrapText="1"/>
    </xf>
    <xf numFmtId="1" fontId="43" fillId="31" borderId="66" xfId="0" applyNumberFormat="1" applyFont="1" applyFill="1" applyBorder="1" applyAlignment="1">
      <alignment horizontal="center" vertical="center" wrapText="1"/>
    </xf>
    <xf numFmtId="1" fontId="43" fillId="31" borderId="110" xfId="0" applyNumberFormat="1" applyFont="1" applyFill="1" applyBorder="1" applyAlignment="1">
      <alignment horizontal="center" vertical="center" wrapText="1"/>
    </xf>
    <xf numFmtId="1" fontId="43" fillId="31" borderId="56" xfId="0" applyNumberFormat="1" applyFont="1" applyFill="1" applyBorder="1" applyAlignment="1">
      <alignment horizontal="center" vertical="center" wrapText="1"/>
    </xf>
    <xf numFmtId="1" fontId="43" fillId="31" borderId="0" xfId="0" applyNumberFormat="1" applyFont="1" applyFill="1" applyBorder="1" applyAlignment="1">
      <alignment horizontal="center" vertical="center" wrapText="1"/>
    </xf>
    <xf numFmtId="1" fontId="43" fillId="31" borderId="19" xfId="0" applyNumberFormat="1" applyFont="1" applyFill="1" applyBorder="1" applyAlignment="1">
      <alignment horizontal="center" vertical="center" wrapText="1"/>
    </xf>
    <xf numFmtId="1" fontId="43" fillId="31" borderId="117" xfId="0" applyNumberFormat="1" applyFont="1" applyFill="1" applyBorder="1" applyAlignment="1">
      <alignment horizontal="center" vertical="center" wrapText="1"/>
    </xf>
    <xf numFmtId="1" fontId="43" fillId="31" borderId="4" xfId="0" applyNumberFormat="1" applyFont="1" applyFill="1" applyBorder="1" applyAlignment="1">
      <alignment horizontal="center" vertical="center" wrapText="1"/>
    </xf>
    <xf numFmtId="1" fontId="43" fillId="31" borderId="62" xfId="0" applyNumberFormat="1" applyFont="1" applyFill="1" applyBorder="1" applyAlignment="1">
      <alignment horizontal="center" vertical="center" wrapText="1"/>
    </xf>
    <xf numFmtId="1" fontId="43" fillId="30" borderId="99" xfId="0" applyNumberFormat="1" applyFont="1" applyFill="1" applyBorder="1" applyAlignment="1">
      <alignment horizontal="center" vertical="center" wrapText="1"/>
    </xf>
    <xf numFmtId="1" fontId="43" fillId="30" borderId="66" xfId="0" applyNumberFormat="1" applyFont="1" applyFill="1" applyBorder="1" applyAlignment="1">
      <alignment horizontal="center" vertical="center" wrapText="1"/>
    </xf>
    <xf numFmtId="1" fontId="43" fillId="30" borderId="110" xfId="0" applyNumberFormat="1" applyFont="1" applyFill="1" applyBorder="1" applyAlignment="1">
      <alignment horizontal="center" vertical="center" wrapText="1"/>
    </xf>
    <xf numFmtId="1" fontId="43" fillId="30" borderId="18" xfId="0" applyNumberFormat="1" applyFont="1" applyFill="1" applyBorder="1" applyAlignment="1">
      <alignment horizontal="center" vertical="center" wrapText="1"/>
    </xf>
    <xf numFmtId="1" fontId="43" fillId="30" borderId="0" xfId="0" applyNumberFormat="1" applyFont="1" applyFill="1" applyBorder="1" applyAlignment="1">
      <alignment horizontal="center" vertical="center" wrapText="1"/>
    </xf>
    <xf numFmtId="1" fontId="43" fillId="30" borderId="19" xfId="0" applyNumberFormat="1" applyFont="1" applyFill="1" applyBorder="1" applyAlignment="1">
      <alignment horizontal="center" vertical="center" wrapText="1"/>
    </xf>
    <xf numFmtId="1" fontId="43" fillId="30" borderId="78" xfId="0" applyNumberFormat="1" applyFont="1" applyFill="1" applyBorder="1" applyAlignment="1">
      <alignment horizontal="center" vertical="center" wrapText="1"/>
    </xf>
    <xf numFmtId="1" fontId="43" fillId="30" borderId="4" xfId="0" applyNumberFormat="1" applyFont="1" applyFill="1" applyBorder="1" applyAlignment="1">
      <alignment horizontal="center" vertical="center" wrapText="1"/>
    </xf>
    <xf numFmtId="1" fontId="43" fillId="30" borderId="62" xfId="0" applyNumberFormat="1" applyFont="1" applyFill="1" applyBorder="1" applyAlignment="1">
      <alignment horizontal="center" vertical="center" wrapText="1"/>
    </xf>
    <xf numFmtId="1" fontId="34" fillId="31" borderId="118" xfId="0" applyNumberFormat="1" applyFont="1" applyFill="1" applyBorder="1" applyAlignment="1">
      <alignment horizontal="center" vertical="center" wrapText="1"/>
    </xf>
    <xf numFmtId="1" fontId="34" fillId="31" borderId="66" xfId="0" applyNumberFormat="1" applyFont="1" applyFill="1" applyBorder="1" applyAlignment="1">
      <alignment horizontal="center" vertical="center" wrapText="1"/>
    </xf>
    <xf numFmtId="1" fontId="34" fillId="31" borderId="110" xfId="0" applyNumberFormat="1" applyFont="1" applyFill="1" applyBorder="1" applyAlignment="1">
      <alignment horizontal="center" vertical="center" wrapText="1"/>
    </xf>
    <xf numFmtId="1" fontId="34" fillId="31" borderId="56" xfId="0" applyNumberFormat="1" applyFont="1" applyFill="1" applyBorder="1" applyAlignment="1">
      <alignment horizontal="center" vertical="center" wrapText="1"/>
    </xf>
    <xf numFmtId="1" fontId="34" fillId="31" borderId="0" xfId="0" applyNumberFormat="1" applyFont="1" applyFill="1" applyBorder="1" applyAlignment="1">
      <alignment horizontal="center" vertical="center" wrapText="1"/>
    </xf>
    <xf numFmtId="1" fontId="34" fillId="31" borderId="19" xfId="0" applyNumberFormat="1" applyFont="1" applyFill="1" applyBorder="1" applyAlignment="1">
      <alignment horizontal="center" vertical="center" wrapText="1"/>
    </xf>
    <xf numFmtId="1" fontId="34" fillId="31" borderId="117" xfId="0" applyNumberFormat="1" applyFont="1" applyFill="1" applyBorder="1" applyAlignment="1">
      <alignment horizontal="center" vertical="center" wrapText="1"/>
    </xf>
    <xf numFmtId="1" fontId="34" fillId="31" borderId="4" xfId="0" applyNumberFormat="1" applyFont="1" applyFill="1" applyBorder="1" applyAlignment="1">
      <alignment horizontal="center" vertical="center" wrapText="1"/>
    </xf>
    <xf numFmtId="1" fontId="34" fillId="31" borderId="62" xfId="0" applyNumberFormat="1" applyFont="1" applyFill="1" applyBorder="1" applyAlignment="1">
      <alignment horizontal="center" vertical="center" wrapText="1"/>
    </xf>
    <xf numFmtId="0" fontId="5" fillId="0" borderId="78" xfId="1" applyFont="1" applyFill="1" applyBorder="1" applyAlignment="1">
      <alignment horizontal="center" vertical="center"/>
    </xf>
    <xf numFmtId="0" fontId="5" fillId="0" borderId="4" xfId="1" applyFont="1" applyFill="1" applyBorder="1" applyAlignment="1">
      <alignment horizontal="center" vertical="center"/>
    </xf>
    <xf numFmtId="0" fontId="5" fillId="0" borderId="62" xfId="1" applyFont="1" applyFill="1" applyBorder="1" applyAlignment="1">
      <alignment horizontal="center" vertical="center"/>
    </xf>
    <xf numFmtId="0" fontId="2" fillId="0" borderId="18" xfId="1" applyFont="1" applyFill="1" applyBorder="1" applyAlignment="1">
      <alignment horizontal="center" vertical="top"/>
    </xf>
    <xf numFmtId="0" fontId="2" fillId="0" borderId="0" xfId="1" applyFont="1" applyFill="1" applyBorder="1" applyAlignment="1">
      <alignment horizontal="center" vertical="top"/>
    </xf>
    <xf numFmtId="0" fontId="2" fillId="0" borderId="19" xfId="1" applyFont="1" applyFill="1" applyBorder="1" applyAlignment="1">
      <alignment horizontal="center" vertical="top"/>
    </xf>
    <xf numFmtId="2" fontId="2" fillId="0" borderId="99" xfId="1" applyNumberFormat="1" applyFont="1" applyFill="1" applyBorder="1" applyAlignment="1">
      <alignment horizontal="center"/>
    </xf>
    <xf numFmtId="2" fontId="2" fillId="0" borderId="66" xfId="1" applyNumberFormat="1" applyFont="1" applyFill="1" applyBorder="1" applyAlignment="1">
      <alignment horizontal="center"/>
    </xf>
    <xf numFmtId="2" fontId="2" fillId="0" borderId="110" xfId="1" applyNumberFormat="1" applyFont="1" applyFill="1" applyBorder="1" applyAlignment="1">
      <alignment horizontal="center"/>
    </xf>
    <xf numFmtId="2" fontId="2" fillId="0" borderId="99" xfId="1" applyNumberFormat="1" applyFont="1" applyFill="1" applyBorder="1" applyAlignment="1">
      <alignment horizontal="center" vertical="center"/>
    </xf>
    <xf numFmtId="2" fontId="2" fillId="0" borderId="66" xfId="1" applyNumberFormat="1" applyFont="1" applyFill="1" applyBorder="1" applyAlignment="1">
      <alignment horizontal="center" vertical="center"/>
    </xf>
    <xf numFmtId="2" fontId="2" fillId="0" borderId="110" xfId="1" applyNumberFormat="1" applyFont="1" applyFill="1" applyBorder="1" applyAlignment="1">
      <alignment horizontal="center" vertical="center"/>
    </xf>
    <xf numFmtId="2" fontId="2" fillId="0" borderId="18" xfId="1" applyNumberFormat="1" applyFont="1" applyFill="1" applyBorder="1" applyAlignment="1">
      <alignment horizontal="center" vertical="top"/>
    </xf>
    <xf numFmtId="2" fontId="2" fillId="0" borderId="0" xfId="1" applyNumberFormat="1" applyFont="1" applyFill="1" applyBorder="1" applyAlignment="1">
      <alignment horizontal="center" vertical="top"/>
    </xf>
    <xf numFmtId="2" fontId="2" fillId="0" borderId="19" xfId="1" applyNumberFormat="1" applyFont="1" applyFill="1" applyBorder="1" applyAlignment="1">
      <alignment horizontal="center" vertical="top"/>
    </xf>
    <xf numFmtId="0" fontId="2" fillId="0" borderId="18" xfId="1" applyBorder="1" applyAlignment="1">
      <alignment horizontal="center" vertical="top"/>
    </xf>
    <xf numFmtId="0" fontId="2" fillId="0" borderId="0" xfId="1" applyBorder="1" applyAlignment="1">
      <alignment horizontal="center" vertical="top"/>
    </xf>
    <xf numFmtId="0" fontId="2" fillId="0" borderId="19" xfId="1" applyBorder="1" applyAlignment="1">
      <alignment horizontal="center" vertical="top"/>
    </xf>
    <xf numFmtId="2" fontId="45" fillId="0" borderId="5" xfId="0" applyNumberFormat="1" applyFont="1" applyBorder="1" applyAlignment="1">
      <alignment horizontal="center" vertical="center"/>
    </xf>
    <xf numFmtId="2" fontId="45" fillId="0" borderId="6" xfId="0" applyNumberFormat="1" applyFont="1" applyBorder="1" applyAlignment="1">
      <alignment horizontal="center" vertical="center"/>
    </xf>
    <xf numFmtId="2" fontId="45" fillId="0" borderId="8"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2" fillId="0" borderId="77" xfId="59" applyNumberFormat="1" applyFont="1" applyBorder="1" applyAlignment="1">
      <alignment horizontal="center" vertical="center"/>
    </xf>
    <xf numFmtId="0" fontId="2" fillId="0" borderId="85" xfId="59" applyFon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86" xfId="0" applyNumberFormat="1" applyBorder="1" applyAlignment="1">
      <alignment horizontal="center" vertical="center"/>
    </xf>
    <xf numFmtId="2" fontId="0" fillId="0" borderId="95" xfId="0" applyNumberFormat="1" applyBorder="1" applyAlignment="1">
      <alignment horizontal="center" vertical="center"/>
    </xf>
    <xf numFmtId="2" fontId="0" fillId="0" borderId="80" xfId="0" applyNumberFormat="1" applyBorder="1" applyAlignment="1">
      <alignment horizontal="center" vertical="center"/>
    </xf>
    <xf numFmtId="0" fontId="6" fillId="0" borderId="79" xfId="0" applyFont="1" applyBorder="1" applyAlignment="1">
      <alignment horizontal="center" vertical="center"/>
    </xf>
    <xf numFmtId="0" fontId="6" fillId="0" borderId="17" xfId="0" applyFont="1" applyBorder="1" applyAlignment="1">
      <alignment horizontal="center" vertical="center"/>
    </xf>
    <xf numFmtId="0" fontId="6" fillId="0" borderId="23" xfId="0" applyFont="1" applyBorder="1" applyAlignment="1">
      <alignment horizontal="center" vertical="center"/>
    </xf>
    <xf numFmtId="2" fontId="0" fillId="0" borderId="86" xfId="0" applyNumberFormat="1" applyBorder="1" applyAlignment="1">
      <alignment horizontal="center" vertical="center" wrapText="1"/>
    </xf>
    <xf numFmtId="2" fontId="0" fillId="0" borderId="95" xfId="0" applyNumberFormat="1" applyBorder="1" applyAlignment="1">
      <alignment horizontal="center" vertical="center" wrapText="1"/>
    </xf>
    <xf numFmtId="2" fontId="0" fillId="0" borderId="80" xfId="0" applyNumberFormat="1" applyBorder="1" applyAlignment="1">
      <alignment horizontal="center" vertical="center" wrapText="1"/>
    </xf>
    <xf numFmtId="2" fontId="2" fillId="0" borderId="60" xfId="59" applyNumberFormat="1" applyFont="1" applyBorder="1" applyAlignment="1">
      <alignment horizontal="center" vertical="center"/>
    </xf>
    <xf numFmtId="2" fontId="2" fillId="0" borderId="85" xfId="59" applyNumberFormat="1" applyFont="1" applyBorder="1" applyAlignment="1">
      <alignment horizontal="center" vertical="center"/>
    </xf>
    <xf numFmtId="0" fontId="6" fillId="2" borderId="8" xfId="59" applyFont="1" applyFill="1" applyBorder="1" applyAlignment="1">
      <alignment horizontal="center" vertical="center"/>
    </xf>
    <xf numFmtId="0" fontId="6" fillId="2" borderId="98" xfId="59" applyFont="1" applyFill="1" applyBorder="1" applyAlignment="1">
      <alignment horizontal="center" vertical="center"/>
    </xf>
    <xf numFmtId="0" fontId="2" fillId="4" borderId="11" xfId="59" applyFont="1" applyFill="1" applyBorder="1" applyAlignment="1">
      <alignment horizontal="left" vertical="center"/>
    </xf>
    <xf numFmtId="0" fontId="2" fillId="4" borderId="7" xfId="59" applyFont="1" applyFill="1" applyBorder="1" applyAlignment="1">
      <alignment horizontal="left" vertical="center"/>
    </xf>
    <xf numFmtId="14" fontId="2" fillId="4" borderId="24" xfId="59" applyNumberFormat="1" applyFont="1" applyFill="1" applyBorder="1" applyAlignment="1">
      <alignment horizontal="left" vertical="center"/>
    </xf>
    <xf numFmtId="0" fontId="2" fillId="4" borderId="48" xfId="59" applyFont="1" applyFill="1" applyBorder="1" applyAlignment="1">
      <alignment horizontal="left" vertical="center"/>
    </xf>
    <xf numFmtId="0" fontId="2" fillId="4" borderId="87" xfId="59" applyFont="1" applyFill="1" applyBorder="1" applyAlignment="1">
      <alignment horizontal="left" vertical="center"/>
    </xf>
    <xf numFmtId="0" fontId="2" fillId="4" borderId="46" xfId="59" applyFont="1" applyFill="1" applyBorder="1" applyAlignment="1">
      <alignment horizontal="left" vertical="center"/>
    </xf>
    <xf numFmtId="0" fontId="2" fillId="4" borderId="82" xfId="59" applyFont="1" applyFill="1" applyBorder="1" applyAlignment="1">
      <alignment horizontal="left" vertical="center"/>
    </xf>
    <xf numFmtId="0" fontId="6" fillId="0" borderId="136" xfId="1" applyFont="1" applyFill="1" applyBorder="1" applyAlignment="1">
      <alignment horizontal="center" vertical="center"/>
    </xf>
    <xf numFmtId="0" fontId="6" fillId="0" borderId="137" xfId="1" applyFont="1" applyFill="1" applyBorder="1" applyAlignment="1">
      <alignment horizontal="center" vertical="center"/>
    </xf>
    <xf numFmtId="1" fontId="34" fillId="26" borderId="124" xfId="0" applyNumberFormat="1" applyFont="1" applyFill="1" applyBorder="1" applyAlignment="1">
      <alignment horizontal="center" vertical="center" wrapText="1"/>
    </xf>
    <xf numFmtId="1" fontId="34" fillId="26" borderId="7" xfId="0" applyNumberFormat="1" applyFont="1" applyFill="1" applyBorder="1" applyAlignment="1">
      <alignment horizontal="center" vertical="center" wrapText="1"/>
    </xf>
    <xf numFmtId="1" fontId="34" fillId="25" borderId="7" xfId="0" applyNumberFormat="1" applyFont="1" applyFill="1" applyBorder="1" applyAlignment="1">
      <alignment horizontal="center" vertical="center" wrapText="1"/>
    </xf>
    <xf numFmtId="1" fontId="34" fillId="28" borderId="7" xfId="0" applyNumberFormat="1" applyFont="1" applyFill="1" applyBorder="1" applyAlignment="1">
      <alignment horizontal="center" vertical="center" wrapText="1"/>
    </xf>
    <xf numFmtId="1" fontId="2" fillId="24" borderId="7" xfId="1" applyNumberFormat="1" applyFont="1" applyFill="1" applyBorder="1" applyAlignment="1">
      <alignment horizontal="center" vertical="center" wrapText="1"/>
    </xf>
    <xf numFmtId="1" fontId="2" fillId="23" borderId="122" xfId="1" applyNumberFormat="1" applyFont="1" applyFill="1" applyBorder="1" applyAlignment="1">
      <alignment horizontal="center" vertical="center" wrapText="1"/>
    </xf>
    <xf numFmtId="1" fontId="2" fillId="23" borderId="7" xfId="1" applyNumberFormat="1" applyFont="1" applyFill="1" applyBorder="1" applyAlignment="1">
      <alignment horizontal="center" vertical="center" wrapText="1"/>
    </xf>
    <xf numFmtId="1" fontId="2" fillId="27" borderId="122" xfId="1" applyNumberFormat="1" applyFont="1" applyFill="1" applyBorder="1" applyAlignment="1">
      <alignment horizontal="center" vertical="center" wrapText="1"/>
    </xf>
    <xf numFmtId="1" fontId="2" fillId="27" borderId="7" xfId="1" applyNumberFormat="1" applyFont="1" applyFill="1" applyBorder="1" applyAlignment="1">
      <alignment horizontal="center" vertical="center" wrapText="1"/>
    </xf>
    <xf numFmtId="1" fontId="2" fillId="27" borderId="123" xfId="1" applyNumberFormat="1" applyFont="1" applyFill="1" applyBorder="1" applyAlignment="1">
      <alignment horizontal="center" vertical="center" wrapText="1"/>
    </xf>
    <xf numFmtId="1" fontId="2" fillId="27" borderId="125" xfId="1" applyNumberFormat="1" applyFont="1" applyFill="1" applyBorder="1" applyAlignment="1">
      <alignment horizontal="center" vertical="center" wrapText="1"/>
    </xf>
    <xf numFmtId="1" fontId="2" fillId="24" borderId="122" xfId="1" applyNumberFormat="1" applyFont="1" applyFill="1" applyBorder="1" applyAlignment="1">
      <alignment horizontal="center" vertical="center" wrapText="1"/>
    </xf>
    <xf numFmtId="1" fontId="2" fillId="33" borderId="122" xfId="1" applyNumberFormat="1" applyFont="1" applyFill="1" applyBorder="1" applyAlignment="1">
      <alignment horizontal="center" vertical="center" wrapText="1"/>
    </xf>
    <xf numFmtId="1" fontId="2" fillId="33" borderId="7" xfId="1" applyNumberFormat="1" applyFont="1" applyFill="1" applyBorder="1" applyAlignment="1">
      <alignment horizontal="center" vertical="center" wrapText="1"/>
    </xf>
    <xf numFmtId="1" fontId="2" fillId="34" borderId="122" xfId="1" applyNumberFormat="1" applyFont="1" applyFill="1" applyBorder="1" applyAlignment="1">
      <alignment horizontal="center" vertical="center" wrapText="1"/>
    </xf>
    <xf numFmtId="1" fontId="2" fillId="34" borderId="7" xfId="1" applyNumberFormat="1" applyFont="1" applyFill="1" applyBorder="1" applyAlignment="1">
      <alignment horizontal="center" vertical="center" wrapText="1"/>
    </xf>
    <xf numFmtId="1" fontId="2" fillId="27" borderId="81" xfId="1" applyNumberFormat="1" applyFont="1" applyFill="1" applyBorder="1" applyAlignment="1">
      <alignment horizontal="center" vertical="center" wrapText="1"/>
    </xf>
    <xf numFmtId="1" fontId="2" fillId="27" borderId="109" xfId="1" applyNumberFormat="1" applyFont="1" applyFill="1" applyBorder="1" applyAlignment="1">
      <alignment horizontal="center" vertical="center" wrapText="1"/>
    </xf>
    <xf numFmtId="1" fontId="2" fillId="24" borderId="81" xfId="1" applyNumberFormat="1" applyFont="1" applyFill="1" applyBorder="1" applyAlignment="1">
      <alignment horizontal="center" vertical="center" wrapText="1"/>
    </xf>
    <xf numFmtId="1" fontId="2" fillId="33" borderId="81" xfId="1" applyNumberFormat="1" applyFont="1" applyFill="1" applyBorder="1" applyAlignment="1">
      <alignment horizontal="center" vertical="center" wrapText="1"/>
    </xf>
    <xf numFmtId="1" fontId="2" fillId="34" borderId="81" xfId="1" applyNumberFormat="1" applyFont="1" applyFill="1" applyBorder="1" applyAlignment="1">
      <alignment horizontal="center" vertical="center" wrapText="1"/>
    </xf>
    <xf numFmtId="1" fontId="2" fillId="23" borderId="81" xfId="1" applyNumberFormat="1" applyFont="1" applyFill="1" applyBorder="1" applyAlignment="1">
      <alignment horizontal="center" vertical="center" wrapText="1"/>
    </xf>
    <xf numFmtId="0" fontId="2" fillId="0" borderId="56" xfId="1" applyBorder="1" applyAlignment="1">
      <alignment horizontal="left" vertical="center" wrapText="1"/>
    </xf>
    <xf numFmtId="0" fontId="2" fillId="0" borderId="0" xfId="1" applyBorder="1" applyAlignment="1">
      <alignment horizontal="left" vertical="center" wrapText="1"/>
    </xf>
    <xf numFmtId="0" fontId="2" fillId="0" borderId="19" xfId="1" applyBorder="1" applyAlignment="1">
      <alignment horizontal="left" vertical="center" wrapText="1"/>
    </xf>
    <xf numFmtId="0" fontId="2" fillId="0" borderId="58" xfId="1" applyBorder="1" applyAlignment="1">
      <alignment horizontal="left" vertical="center" wrapText="1"/>
    </xf>
    <xf numFmtId="0" fontId="2" fillId="0" borderId="98" xfId="1" applyBorder="1" applyAlignment="1">
      <alignment horizontal="left" vertical="center" wrapText="1"/>
    </xf>
    <xf numFmtId="0" fontId="2" fillId="0" borderId="26" xfId="1" applyBorder="1" applyAlignment="1">
      <alignment horizontal="left" vertical="center" wrapText="1"/>
    </xf>
    <xf numFmtId="164" fontId="2" fillId="3" borderId="68" xfId="1" applyNumberFormat="1" applyFill="1" applyBorder="1" applyAlignment="1">
      <alignment horizontal="center" vertical="center"/>
    </xf>
    <xf numFmtId="164" fontId="2" fillId="3" borderId="69" xfId="1" applyNumberFormat="1" applyFill="1" applyBorder="1" applyAlignment="1">
      <alignment horizontal="center" vertical="center"/>
    </xf>
    <xf numFmtId="164" fontId="2" fillId="3" borderId="101" xfId="1" applyNumberFormat="1" applyFill="1" applyBorder="1" applyAlignment="1">
      <alignment horizontal="center" vertical="center"/>
    </xf>
    <xf numFmtId="1" fontId="34" fillId="26" borderId="121" xfId="0" applyNumberFormat="1" applyFont="1" applyFill="1" applyBorder="1" applyAlignment="1">
      <alignment horizontal="center" vertical="center" wrapText="1"/>
    </xf>
    <xf numFmtId="1" fontId="34" fillId="26" borderId="122" xfId="0" applyNumberFormat="1" applyFont="1" applyFill="1" applyBorder="1" applyAlignment="1">
      <alignment horizontal="center" vertical="center" wrapText="1"/>
    </xf>
    <xf numFmtId="1" fontId="34" fillId="25" borderId="122" xfId="0" applyNumberFormat="1" applyFont="1" applyFill="1" applyBorder="1" applyAlignment="1">
      <alignment horizontal="center" vertical="center" wrapText="1"/>
    </xf>
    <xf numFmtId="1" fontId="34" fillId="28" borderId="122" xfId="0" applyNumberFormat="1" applyFont="1" applyFill="1" applyBorder="1" applyAlignment="1">
      <alignment horizontal="center" vertical="center" wrapText="1"/>
    </xf>
    <xf numFmtId="1" fontId="34" fillId="28" borderId="81" xfId="0" applyNumberFormat="1" applyFont="1" applyFill="1" applyBorder="1" applyAlignment="1">
      <alignment horizontal="center" vertical="center" wrapText="1"/>
    </xf>
    <xf numFmtId="1" fontId="2" fillId="31" borderId="124" xfId="1" applyNumberFormat="1" applyFont="1" applyFill="1" applyBorder="1" applyAlignment="1">
      <alignment horizontal="center" vertical="center" wrapText="1"/>
    </xf>
    <xf numFmtId="1" fontId="2" fillId="31" borderId="7" xfId="1" applyNumberFormat="1" applyFont="1" applyFill="1" applyBorder="1" applyAlignment="1">
      <alignment horizontal="center" vertical="center" wrapText="1"/>
    </xf>
    <xf numFmtId="1" fontId="2" fillId="30" borderId="7" xfId="1" applyNumberFormat="1" applyFont="1" applyFill="1" applyBorder="1" applyAlignment="1">
      <alignment horizontal="center" vertical="center" wrapText="1"/>
    </xf>
    <xf numFmtId="1" fontId="2" fillId="28" borderId="7" xfId="1" applyNumberFormat="1" applyFont="1" applyFill="1" applyBorder="1" applyAlignment="1">
      <alignment horizontal="center" vertical="center" wrapText="1"/>
    </xf>
    <xf numFmtId="0" fontId="5" fillId="2" borderId="136" xfId="1" applyFont="1" applyFill="1" applyBorder="1" applyAlignment="1">
      <alignment horizontal="center" vertical="center"/>
    </xf>
    <xf numFmtId="164" fontId="6" fillId="0" borderId="153" xfId="1" applyNumberFormat="1" applyFont="1" applyFill="1" applyBorder="1" applyAlignment="1">
      <alignment horizontal="center" vertical="center" wrapText="1"/>
    </xf>
    <xf numFmtId="0" fontId="6" fillId="0" borderId="56" xfId="66" applyFont="1" applyFill="1" applyBorder="1" applyAlignment="1">
      <alignment horizontal="center" vertical="center" wrapText="1"/>
    </xf>
    <xf numFmtId="0" fontId="6" fillId="0" borderId="0" xfId="66" applyFont="1" applyFill="1" applyBorder="1" applyAlignment="1">
      <alignment horizontal="center" vertical="center" wrapText="1"/>
    </xf>
    <xf numFmtId="0" fontId="6" fillId="0" borderId="19" xfId="66" applyFont="1" applyFill="1" applyBorder="1" applyAlignment="1">
      <alignment horizontal="center" vertical="center" wrapText="1"/>
    </xf>
    <xf numFmtId="1" fontId="2" fillId="33" borderId="127" xfId="1" applyNumberFormat="1" applyFont="1" applyFill="1" applyBorder="1" applyAlignment="1">
      <alignment horizontal="center" vertical="center" wrapText="1"/>
    </xf>
    <xf numFmtId="1" fontId="2" fillId="34" borderId="127" xfId="1" applyNumberFormat="1" applyFont="1" applyFill="1" applyBorder="1" applyAlignment="1">
      <alignment horizontal="center" vertical="center" wrapText="1"/>
    </xf>
    <xf numFmtId="1" fontId="2" fillId="23" borderId="127" xfId="1" applyNumberFormat="1" applyFont="1" applyFill="1" applyBorder="1" applyAlignment="1">
      <alignment horizontal="center" vertical="center" wrapText="1"/>
    </xf>
    <xf numFmtId="1" fontId="2" fillId="27" borderId="127" xfId="1" applyNumberFormat="1" applyFont="1" applyFill="1" applyBorder="1" applyAlignment="1">
      <alignment horizontal="center" vertical="center" wrapText="1"/>
    </xf>
    <xf numFmtId="0" fontId="2" fillId="27" borderId="7" xfId="1" applyFont="1" applyFill="1" applyBorder="1" applyAlignment="1">
      <alignment horizontal="center" vertical="center" wrapText="1"/>
    </xf>
    <xf numFmtId="0" fontId="2" fillId="27" borderId="125" xfId="1" applyFont="1" applyFill="1" applyBorder="1" applyAlignment="1">
      <alignment horizontal="center" vertical="center" wrapText="1"/>
    </xf>
    <xf numFmtId="0" fontId="2" fillId="27" borderId="127" xfId="1" applyFont="1" applyFill="1" applyBorder="1" applyAlignment="1">
      <alignment horizontal="center" vertical="center" wrapText="1"/>
    </xf>
    <xf numFmtId="0" fontId="2" fillId="27" borderId="97" xfId="1" applyFont="1" applyFill="1" applyBorder="1" applyAlignment="1">
      <alignment horizontal="center" vertical="center" wrapText="1"/>
    </xf>
    <xf numFmtId="1" fontId="2" fillId="30" borderId="136" xfId="1" applyNumberFormat="1" applyFont="1" applyFill="1" applyBorder="1" applyAlignment="1">
      <alignment horizontal="center" vertical="center" wrapText="1"/>
    </xf>
    <xf numFmtId="1" fontId="2" fillId="30" borderId="137" xfId="1" applyNumberFormat="1" applyFont="1" applyFill="1" applyBorder="1" applyAlignment="1">
      <alignment horizontal="center" vertical="center" wrapText="1"/>
    </xf>
    <xf numFmtId="1" fontId="2" fillId="31" borderId="136" xfId="1" applyNumberFormat="1" applyFont="1" applyFill="1" applyBorder="1" applyAlignment="1">
      <alignment horizontal="center" vertical="center" wrapText="1"/>
    </xf>
    <xf numFmtId="1" fontId="2" fillId="31" borderId="126" xfId="1" applyNumberFormat="1" applyFont="1" applyFill="1" applyBorder="1" applyAlignment="1">
      <alignment horizontal="center" vertical="center" wrapText="1"/>
    </xf>
    <xf numFmtId="1" fontId="2" fillId="31" borderId="127" xfId="1" applyNumberFormat="1" applyFont="1" applyFill="1" applyBorder="1" applyAlignment="1">
      <alignment horizontal="center" vertical="center" wrapText="1"/>
    </xf>
    <xf numFmtId="1" fontId="2" fillId="30" borderId="127" xfId="1" applyNumberFormat="1" applyFont="1" applyFill="1" applyBorder="1" applyAlignment="1">
      <alignment horizontal="center" vertical="center" wrapText="1"/>
    </xf>
    <xf numFmtId="0" fontId="34" fillId="28" borderId="7" xfId="0" applyFont="1" applyFill="1" applyBorder="1" applyAlignment="1">
      <alignment horizontal="center" vertical="center" wrapText="1"/>
    </xf>
    <xf numFmtId="0" fontId="34" fillId="28" borderId="127" xfId="0" applyFont="1" applyFill="1" applyBorder="1" applyAlignment="1">
      <alignment horizontal="center" vertical="center" wrapText="1"/>
    </xf>
    <xf numFmtId="1" fontId="2" fillId="24" borderId="127" xfId="1" applyNumberFormat="1" applyFont="1" applyFill="1" applyBorder="1" applyAlignment="1">
      <alignment horizontal="center" vertical="center" wrapText="1"/>
    </xf>
    <xf numFmtId="1" fontId="2" fillId="27" borderId="136" xfId="1" applyNumberFormat="1" applyFont="1" applyFill="1" applyBorder="1" applyAlignment="1">
      <alignment horizontal="center" vertical="center" wrapText="1"/>
    </xf>
    <xf numFmtId="1" fontId="2" fillId="27" borderId="137" xfId="1" applyNumberFormat="1" applyFont="1" applyFill="1" applyBorder="1" applyAlignment="1">
      <alignment horizontal="center" vertical="center" wrapText="1"/>
    </xf>
    <xf numFmtId="0" fontId="2" fillId="27" borderId="66" xfId="1" applyFont="1" applyFill="1" applyBorder="1" applyAlignment="1">
      <alignment horizontal="center" vertical="center" wrapText="1"/>
    </xf>
    <xf numFmtId="0" fontId="2" fillId="27" borderId="110" xfId="1" applyFont="1" applyFill="1" applyBorder="1" applyAlignment="1">
      <alignment horizontal="center" vertical="center" wrapText="1"/>
    </xf>
    <xf numFmtId="0" fontId="2" fillId="27" borderId="18" xfId="1" applyFont="1" applyFill="1" applyBorder="1" applyAlignment="1">
      <alignment horizontal="center" vertical="center" wrapText="1"/>
    </xf>
    <xf numFmtId="0" fontId="2" fillId="27" borderId="0" xfId="1" applyFont="1" applyFill="1" applyBorder="1" applyAlignment="1">
      <alignment horizontal="center" vertical="center" wrapText="1"/>
    </xf>
    <xf numFmtId="0" fontId="2" fillId="27" borderId="19" xfId="1" applyFont="1" applyFill="1" applyBorder="1" applyAlignment="1">
      <alignment horizontal="center" vertical="center" wrapText="1"/>
    </xf>
    <xf numFmtId="0" fontId="2" fillId="27" borderId="138" xfId="1" applyFont="1" applyFill="1" applyBorder="1" applyAlignment="1">
      <alignment horizontal="center" vertical="center" wrapText="1"/>
    </xf>
    <xf numFmtId="0" fontId="2" fillId="27" borderId="136" xfId="1" applyFont="1" applyFill="1" applyBorder="1" applyAlignment="1">
      <alignment horizontal="center" vertical="center" wrapText="1"/>
    </xf>
    <xf numFmtId="0" fontId="2" fillId="27" borderId="137" xfId="1" applyFont="1" applyFill="1" applyBorder="1" applyAlignment="1">
      <alignment horizontal="center" vertical="center" wrapText="1"/>
    </xf>
    <xf numFmtId="1" fontId="2" fillId="23" borderId="136" xfId="1" applyNumberFormat="1" applyFont="1" applyFill="1" applyBorder="1" applyAlignment="1">
      <alignment horizontal="center" vertical="center" wrapText="1"/>
    </xf>
    <xf numFmtId="1" fontId="2" fillId="23" borderId="137" xfId="1" applyNumberFormat="1" applyFont="1" applyFill="1" applyBorder="1" applyAlignment="1">
      <alignment horizontal="center" vertical="center" wrapText="1"/>
    </xf>
    <xf numFmtId="0" fontId="2" fillId="34" borderId="66" xfId="1" applyFont="1" applyFill="1" applyBorder="1" applyAlignment="1">
      <alignment horizontal="center" vertical="center" wrapText="1"/>
    </xf>
    <xf numFmtId="0" fontId="2" fillId="34" borderId="110" xfId="1" applyFont="1" applyFill="1" applyBorder="1" applyAlignment="1">
      <alignment horizontal="center" vertical="center" wrapText="1"/>
    </xf>
    <xf numFmtId="0" fontId="2" fillId="34" borderId="18" xfId="1" applyFont="1" applyFill="1" applyBorder="1" applyAlignment="1">
      <alignment horizontal="center" vertical="center" wrapText="1"/>
    </xf>
    <xf numFmtId="0" fontId="2" fillId="34" borderId="0" xfId="1" applyFont="1" applyFill="1" applyBorder="1" applyAlignment="1">
      <alignment horizontal="center" vertical="center" wrapText="1"/>
    </xf>
    <xf numFmtId="0" fontId="2" fillId="34" borderId="19" xfId="1" applyFont="1" applyFill="1" applyBorder="1" applyAlignment="1">
      <alignment horizontal="center" vertical="center" wrapText="1"/>
    </xf>
    <xf numFmtId="0" fontId="2" fillId="34" borderId="138" xfId="1" applyFont="1" applyFill="1" applyBorder="1" applyAlignment="1">
      <alignment horizontal="center" vertical="center" wrapText="1"/>
    </xf>
    <xf numFmtId="0" fontId="2" fillId="34" borderId="136" xfId="1" applyFont="1" applyFill="1" applyBorder="1" applyAlignment="1">
      <alignment horizontal="center" vertical="center" wrapText="1"/>
    </xf>
    <xf numFmtId="0" fontId="2" fillId="34" borderId="137" xfId="1" applyFont="1" applyFill="1" applyBorder="1" applyAlignment="1">
      <alignment horizontal="center" vertical="center" wrapText="1"/>
    </xf>
    <xf numFmtId="1" fontId="2" fillId="33" borderId="136" xfId="1" applyNumberFormat="1" applyFont="1" applyFill="1" applyBorder="1" applyAlignment="1">
      <alignment horizontal="center" vertical="center" wrapText="1"/>
    </xf>
    <xf numFmtId="1" fontId="2" fillId="33" borderId="137" xfId="1" applyNumberFormat="1" applyFont="1" applyFill="1" applyBorder="1" applyAlignment="1">
      <alignment horizontal="center" vertical="center" wrapText="1"/>
    </xf>
    <xf numFmtId="1" fontId="2" fillId="24" borderId="136" xfId="1" applyNumberFormat="1" applyFont="1" applyFill="1" applyBorder="1" applyAlignment="1">
      <alignment horizontal="center" vertical="center" wrapText="1"/>
    </xf>
    <xf numFmtId="1" fontId="2" fillId="24" borderId="137" xfId="1" applyNumberFormat="1" applyFont="1" applyFill="1" applyBorder="1" applyAlignment="1">
      <alignment horizontal="center" vertical="center" wrapText="1"/>
    </xf>
    <xf numFmtId="0" fontId="2" fillId="28" borderId="66" xfId="0" applyFont="1" applyFill="1" applyBorder="1" applyAlignment="1">
      <alignment horizontal="center" vertical="center" wrapText="1"/>
    </xf>
    <xf numFmtId="0" fontId="2" fillId="28" borderId="110" xfId="0" applyFont="1" applyFill="1" applyBorder="1" applyAlignment="1">
      <alignment horizontal="center" vertical="center" wrapText="1"/>
    </xf>
    <xf numFmtId="0" fontId="2" fillId="28" borderId="18" xfId="0" applyFont="1" applyFill="1" applyBorder="1" applyAlignment="1">
      <alignment horizontal="center" vertical="center" wrapText="1"/>
    </xf>
    <xf numFmtId="0" fontId="2" fillId="28" borderId="0" xfId="0" applyFont="1" applyFill="1" applyBorder="1" applyAlignment="1">
      <alignment horizontal="center" vertical="center" wrapText="1"/>
    </xf>
    <xf numFmtId="0" fontId="2" fillId="28" borderId="19" xfId="0" applyFont="1" applyFill="1" applyBorder="1" applyAlignment="1">
      <alignment horizontal="center" vertical="center" wrapText="1"/>
    </xf>
    <xf numFmtId="0" fontId="2" fillId="28" borderId="138" xfId="0" applyFont="1" applyFill="1" applyBorder="1" applyAlignment="1">
      <alignment horizontal="center" vertical="center" wrapText="1"/>
    </xf>
    <xf numFmtId="0" fontId="2" fillId="28" borderId="136" xfId="0" applyFont="1" applyFill="1" applyBorder="1" applyAlignment="1">
      <alignment horizontal="center" vertical="center" wrapText="1"/>
    </xf>
    <xf numFmtId="0" fontId="2" fillId="28" borderId="137" xfId="0" applyFont="1" applyFill="1" applyBorder="1" applyAlignment="1">
      <alignment horizontal="center" vertical="center" wrapText="1"/>
    </xf>
    <xf numFmtId="0" fontId="0" fillId="0" borderId="0" xfId="0" applyAlignment="1">
      <alignment horizontal="center" vertical="top"/>
    </xf>
    <xf numFmtId="0" fontId="0" fillId="0" borderId="19" xfId="0" applyBorder="1" applyAlignment="1">
      <alignment horizontal="center" vertical="top"/>
    </xf>
    <xf numFmtId="0" fontId="0" fillId="0" borderId="66" xfId="0" applyBorder="1" applyAlignment="1">
      <alignment horizontal="center" vertical="center"/>
    </xf>
    <xf numFmtId="0" fontId="0" fillId="0" borderId="110" xfId="0" applyBorder="1" applyAlignment="1">
      <alignment horizontal="center" vertical="center"/>
    </xf>
    <xf numFmtId="0" fontId="46" fillId="0" borderId="4" xfId="0" applyFont="1" applyBorder="1" applyAlignment="1">
      <alignment horizontal="center" vertical="center"/>
    </xf>
    <xf numFmtId="0" fontId="46" fillId="0" borderId="62" xfId="0" applyFont="1" applyBorder="1" applyAlignment="1">
      <alignment horizontal="center" vertical="center"/>
    </xf>
    <xf numFmtId="0" fontId="6" fillId="0" borderId="0" xfId="1" applyFont="1" applyBorder="1" applyAlignment="1">
      <alignment horizontal="center" vertical="center" wrapText="1"/>
    </xf>
    <xf numFmtId="0" fontId="0" fillId="0" borderId="4" xfId="0" applyBorder="1" applyAlignment="1">
      <alignment horizontal="center" vertical="center" wrapText="1"/>
    </xf>
    <xf numFmtId="0" fontId="0" fillId="0" borderId="66" xfId="0" applyBorder="1" applyAlignment="1">
      <alignment horizontal="center"/>
    </xf>
    <xf numFmtId="0" fontId="0" fillId="0" borderId="110" xfId="0" applyBorder="1" applyAlignment="1">
      <alignment horizontal="center"/>
    </xf>
    <xf numFmtId="0" fontId="6" fillId="0" borderId="136" xfId="66" applyFont="1" applyFill="1" applyBorder="1" applyAlignment="1">
      <alignment horizontal="center" vertical="center" wrapText="1"/>
    </xf>
    <xf numFmtId="0" fontId="6" fillId="0" borderId="137" xfId="66" applyFont="1" applyFill="1" applyBorder="1" applyAlignment="1">
      <alignment horizontal="center" vertical="center" wrapText="1"/>
    </xf>
  </cellXfs>
  <cellStyles count="88">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uro" xfId="29"/>
    <cellStyle name="Euro 2" xfId="30"/>
    <cellStyle name="Euro 2 2" xfId="70"/>
    <cellStyle name="Euro 2 3" xfId="71"/>
    <cellStyle name="Euro 3" xfId="31"/>
    <cellStyle name="Explanatory Text" xfId="32"/>
    <cellStyle name="Good" xfId="33"/>
    <cellStyle name="Heading 1" xfId="34"/>
    <cellStyle name="Heading 2" xfId="35"/>
    <cellStyle name="Heading 3" xfId="36"/>
    <cellStyle name="Heading 4" xfId="37"/>
    <cellStyle name="Hyperlink" xfId="86" builtinId="8"/>
    <cellStyle name="Input" xfId="38"/>
    <cellStyle name="Komma 2" xfId="39"/>
    <cellStyle name="Linked Cell" xfId="40"/>
    <cellStyle name="Normal" xfId="0" builtinId="0"/>
    <cellStyle name="Normal 2" xfId="87"/>
    <cellStyle name="Note" xfId="41"/>
    <cellStyle name="Note 2" xfId="72"/>
    <cellStyle name="Note 3" xfId="73"/>
    <cellStyle name="Note 4" xfId="74"/>
    <cellStyle name="Output" xfId="42"/>
    <cellStyle name="Prozent 2" xfId="43"/>
    <cellStyle name="Prozent 2 2" xfId="44"/>
    <cellStyle name="Prozent 2 2 2" xfId="85"/>
    <cellStyle name="Prozent 2 3" xfId="67"/>
    <cellStyle name="Standard 2" xfId="1"/>
    <cellStyle name="Standard 2 2" xfId="45"/>
    <cellStyle name="Standard 2 2 2" xfId="59"/>
    <cellStyle name="Standard 2 3" xfId="68"/>
    <cellStyle name="Standard 3" xfId="46"/>
    <cellStyle name="Standard 3 2" xfId="47"/>
    <cellStyle name="Standard 3 2 2" xfId="62"/>
    <cellStyle name="Standard 3 3" xfId="48"/>
    <cellStyle name="Standard 3 3 2" xfId="65"/>
    <cellStyle name="Standard 3 3 3" xfId="64"/>
    <cellStyle name="Standard 3 3 4" xfId="75"/>
    <cellStyle name="Standard 3 4" xfId="49"/>
    <cellStyle name="Standard 3 4 2" xfId="76"/>
    <cellStyle name="Standard 3 4 3" xfId="77"/>
    <cellStyle name="Standard 3 4 4" xfId="78"/>
    <cellStyle name="Standard 3 5" xfId="50"/>
    <cellStyle name="Standard 3 5 2" xfId="79"/>
    <cellStyle name="Standard 3 5 3" xfId="80"/>
    <cellStyle name="Standard 3 5 4" xfId="81"/>
    <cellStyle name="Standard 3 6" xfId="51"/>
    <cellStyle name="Standard 3 6 2" xfId="82"/>
    <cellStyle name="Standard 3 6 3" xfId="83"/>
    <cellStyle name="Standard 3 6 4" xfId="84"/>
    <cellStyle name="Standard 4" xfId="52"/>
    <cellStyle name="Standard 4 2" xfId="63"/>
    <cellStyle name="Standard 5" xfId="53"/>
    <cellStyle name="Standard 5 2" xfId="54"/>
    <cellStyle name="Standard 5 2 2" xfId="60"/>
    <cellStyle name="Standard 6" xfId="58"/>
    <cellStyle name="Standard 6 2" xfId="69"/>
    <cellStyle name="Standard 7" xfId="61"/>
    <cellStyle name="Standard_Endergebnisse 00°Rb" xfId="66"/>
    <cellStyle name="Title" xfId="55"/>
    <cellStyle name="Total" xfId="56"/>
    <cellStyle name="Warning Text" xfId="57"/>
  </cellStyles>
  <dxfs count="7">
    <dxf>
      <font>
        <color theme="0" tint="-0.14996795556505021"/>
      </font>
    </dxf>
    <dxf>
      <font>
        <color theme="0" tint="-0.14996795556505021"/>
      </font>
    </dxf>
    <dxf>
      <font>
        <color theme="0" tint="-0.14996795556505021"/>
      </font>
    </dxf>
    <dxf>
      <fill>
        <patternFill patternType="none">
          <bgColor auto="1"/>
        </patternFill>
      </fill>
    </dxf>
    <dxf>
      <fill>
        <patternFill patternType="none">
          <bgColor auto="1"/>
        </patternFill>
      </fill>
    </dxf>
    <dxf>
      <fill>
        <patternFill>
          <bgColor rgb="FFFF0000"/>
        </patternFill>
      </fill>
    </dxf>
    <dxf>
      <fill>
        <patternFill>
          <bgColor rgb="FFFF0000"/>
        </patternFill>
      </fill>
    </dxf>
  </dxfs>
  <tableStyles count="0" defaultTableStyle="TableStyleMedium2" defaultPivotStyle="PivotStyleLight16"/>
  <colors>
    <mruColors>
      <color rgb="FF9933FF"/>
      <color rgb="FFFF5050"/>
      <color rgb="FFFFCC00"/>
      <color rgb="FFFFFF99"/>
      <color rgb="FFCC99FF"/>
      <color rgb="FFCCFFFF"/>
      <color rgb="FF87C67C"/>
      <color rgb="FF8AC37C"/>
      <color rgb="FF64B656"/>
      <color rgb="FFF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30</xdr:row>
      <xdr:rowOff>38100</xdr:rowOff>
    </xdr:from>
    <xdr:to>
      <xdr:col>10</xdr:col>
      <xdr:colOff>634365</xdr:colOff>
      <xdr:row>32</xdr:row>
      <xdr:rowOff>251512</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9880" y="11841480"/>
          <a:ext cx="2150745" cy="76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923925</xdr:colOff>
      <xdr:row>0</xdr:row>
      <xdr:rowOff>590550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8575"/>
          <a:ext cx="8953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10</xdr:row>
      <xdr:rowOff>95250</xdr:rowOff>
    </xdr:from>
    <xdr:to>
      <xdr:col>15</xdr:col>
      <xdr:colOff>419100</xdr:colOff>
      <xdr:row>10</xdr:row>
      <xdr:rowOff>95250</xdr:rowOff>
    </xdr:to>
    <xdr:cxnSp macro="">
      <xdr:nvCxnSpPr>
        <xdr:cNvPr id="2" name="Gerade Verbindung mit Pfeil 1"/>
        <xdr:cNvCxnSpPr/>
      </xdr:nvCxnSpPr>
      <xdr:spPr>
        <a:xfrm flipH="1">
          <a:off x="7048500" y="2019300"/>
          <a:ext cx="1009650" cy="0"/>
        </a:xfrm>
        <a:prstGeom prst="straightConnector1">
          <a:avLst/>
        </a:prstGeom>
        <a:ln w="19050">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57150</xdr:rowOff>
        </xdr:from>
        <xdr:to>
          <xdr:col>2</xdr:col>
          <xdr:colOff>200025</xdr:colOff>
          <xdr:row>31</xdr:row>
          <xdr:rowOff>276225</xdr:rowOff>
        </xdr:to>
        <xdr:sp macro="" textlink="">
          <xdr:nvSpPr>
            <xdr:cNvPr id="29698" name="Object 2" hidden="1">
              <a:extLst>
                <a:ext uri="{63B3BB69-23CF-44E3-9099-C40C66FF867C}">
                  <a14:compatExt spid="_x0000_s29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1714500</xdr:colOff>
          <xdr:row>29</xdr:row>
          <xdr:rowOff>314325</xdr:rowOff>
        </xdr:from>
        <xdr:to>
          <xdr:col>2</xdr:col>
          <xdr:colOff>152400</xdr:colOff>
          <xdr:row>31</xdr:row>
          <xdr:rowOff>38100</xdr:rowOff>
        </xdr:to>
        <xdr:sp macro="" textlink="">
          <xdr:nvSpPr>
            <xdr:cNvPr id="29700" name="Object 4" hidden="1">
              <a:extLst>
                <a:ext uri="{63B3BB69-23CF-44E3-9099-C40C66FF867C}">
                  <a14:compatExt spid="_x0000_s29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29701" name="Object 5" hidden="1">
              <a:extLst>
                <a:ext uri="{63B3BB69-23CF-44E3-9099-C40C66FF867C}">
                  <a14:compatExt spid="_x0000_s29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29</xdr:row>
          <xdr:rowOff>85725</xdr:rowOff>
        </xdr:from>
        <xdr:to>
          <xdr:col>2</xdr:col>
          <xdr:colOff>95250</xdr:colOff>
          <xdr:row>29</xdr:row>
          <xdr:rowOff>247650</xdr:rowOff>
        </xdr:to>
        <xdr:sp macro="" textlink="">
          <xdr:nvSpPr>
            <xdr:cNvPr id="29702" name="Object 6" hidden="1">
              <a:extLst>
                <a:ext uri="{63B3BB69-23CF-44E3-9099-C40C66FF867C}">
                  <a14:compatExt spid="_x0000_s29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29705" name="Object 9" hidden="1">
              <a:extLst>
                <a:ext uri="{63B3BB69-23CF-44E3-9099-C40C66FF867C}">
                  <a14:compatExt spid="_x0000_s29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18</xdr:row>
          <xdr:rowOff>0</xdr:rowOff>
        </xdr:from>
        <xdr:to>
          <xdr:col>2</xdr:col>
          <xdr:colOff>190500</xdr:colOff>
          <xdr:row>18</xdr:row>
          <xdr:rowOff>200025</xdr:rowOff>
        </xdr:to>
        <xdr:sp macro="" textlink="">
          <xdr:nvSpPr>
            <xdr:cNvPr id="56321" name="Object 1" hidden="1">
              <a:extLst>
                <a:ext uri="{63B3BB69-23CF-44E3-9099-C40C66FF867C}">
                  <a14:compatExt spid="_x0000_s56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30</xdr:row>
          <xdr:rowOff>57150</xdr:rowOff>
        </xdr:from>
        <xdr:to>
          <xdr:col>2</xdr:col>
          <xdr:colOff>200025</xdr:colOff>
          <xdr:row>30</xdr:row>
          <xdr:rowOff>276225</xdr:rowOff>
        </xdr:to>
        <xdr:sp macro="" textlink="">
          <xdr:nvSpPr>
            <xdr:cNvPr id="56322" name="Object 2" hidden="1">
              <a:extLst>
                <a:ext uri="{63B3BB69-23CF-44E3-9099-C40C66FF867C}">
                  <a14:compatExt spid="_x0000_s56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26</xdr:row>
          <xdr:rowOff>28575</xdr:rowOff>
        </xdr:from>
        <xdr:to>
          <xdr:col>2</xdr:col>
          <xdr:colOff>133350</xdr:colOff>
          <xdr:row>26</xdr:row>
          <xdr:rowOff>152400</xdr:rowOff>
        </xdr:to>
        <xdr:sp macro="" textlink="">
          <xdr:nvSpPr>
            <xdr:cNvPr id="56323" name="Object 3" hidden="1">
              <a:extLst>
                <a:ext uri="{63B3BB69-23CF-44E3-9099-C40C66FF867C}">
                  <a14:compatExt spid="_x0000_s56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28</xdr:row>
          <xdr:rowOff>361950</xdr:rowOff>
        </xdr:from>
        <xdr:to>
          <xdr:col>2</xdr:col>
          <xdr:colOff>180975</xdr:colOff>
          <xdr:row>30</xdr:row>
          <xdr:rowOff>28575</xdr:rowOff>
        </xdr:to>
        <xdr:sp macro="" textlink="">
          <xdr:nvSpPr>
            <xdr:cNvPr id="56324" name="Object 4" hidden="1">
              <a:extLst>
                <a:ext uri="{63B3BB69-23CF-44E3-9099-C40C66FF867C}">
                  <a14:compatExt spid="_x0000_s56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27</xdr:row>
          <xdr:rowOff>66675</xdr:rowOff>
        </xdr:from>
        <xdr:to>
          <xdr:col>2</xdr:col>
          <xdr:colOff>180975</xdr:colOff>
          <xdr:row>27</xdr:row>
          <xdr:rowOff>285750</xdr:rowOff>
        </xdr:to>
        <xdr:sp macro="" textlink="">
          <xdr:nvSpPr>
            <xdr:cNvPr id="56325" name="Object 5" hidden="1">
              <a:extLst>
                <a:ext uri="{63B3BB69-23CF-44E3-9099-C40C66FF867C}">
                  <a14:compatExt spid="_x0000_s56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1</xdr:row>
          <xdr:rowOff>171450</xdr:rowOff>
        </xdr:from>
        <xdr:to>
          <xdr:col>4</xdr:col>
          <xdr:colOff>400050</xdr:colOff>
          <xdr:row>2</xdr:row>
          <xdr:rowOff>171450</xdr:rowOff>
        </xdr:to>
        <xdr:sp macro="" textlink="">
          <xdr:nvSpPr>
            <xdr:cNvPr id="68609" name="Object 1" hidden="1">
              <a:extLst>
                <a:ext uri="{63B3BB69-23CF-44E3-9099-C40C66FF867C}">
                  <a14:compatExt spid="_x0000_s68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54273" name="Object 1" hidden="1">
              <a:extLst>
                <a:ext uri="{63B3BB69-23CF-44E3-9099-C40C66FF867C}">
                  <a14:compatExt spid="_x0000_s5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79</xdr:col>
      <xdr:colOff>57151</xdr:colOff>
      <xdr:row>28</xdr:row>
      <xdr:rowOff>9525</xdr:rowOff>
    </xdr:from>
    <xdr:to>
      <xdr:col>79</xdr:col>
      <xdr:colOff>266280</xdr:colOff>
      <xdr:row>61</xdr:row>
      <xdr:rowOff>127688</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66676</xdr:colOff>
      <xdr:row>28</xdr:row>
      <xdr:rowOff>0</xdr:rowOff>
    </xdr:from>
    <xdr:to>
      <xdr:col>133</xdr:col>
      <xdr:colOff>275805</xdr:colOff>
      <xdr:row>61</xdr:row>
      <xdr:rowOff>122925</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76051" y="4905375"/>
          <a:ext cx="209129"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28</xdr:row>
          <xdr:rowOff>161925</xdr:rowOff>
        </xdr:from>
        <xdr:to>
          <xdr:col>2</xdr:col>
          <xdr:colOff>161925</xdr:colOff>
          <xdr:row>30</xdr:row>
          <xdr:rowOff>9525</xdr:rowOff>
        </xdr:to>
        <xdr:sp macro="" textlink="">
          <xdr:nvSpPr>
            <xdr:cNvPr id="60417" name="Object 1" hidden="1">
              <a:extLst>
                <a:ext uri="{63B3BB69-23CF-44E3-9099-C40C66FF867C}">
                  <a14:compatExt spid="_x0000_s60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63</xdr:col>
      <xdr:colOff>57151</xdr:colOff>
      <xdr:row>28</xdr:row>
      <xdr:rowOff>9525</xdr:rowOff>
    </xdr:from>
    <xdr:to>
      <xdr:col>63</xdr:col>
      <xdr:colOff>195381</xdr:colOff>
      <xdr:row>68</xdr:row>
      <xdr:rowOff>8625</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07901" y="4914900"/>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47625</xdr:colOff>
      <xdr:row>28</xdr:row>
      <xdr:rowOff>0</xdr:rowOff>
    </xdr:from>
    <xdr:to>
      <xdr:col>117</xdr:col>
      <xdr:colOff>185855</xdr:colOff>
      <xdr:row>68</xdr:row>
      <xdr:rowOff>3862</xdr:rowOff>
    </xdr:to>
    <xdr:pic>
      <xdr:nvPicPr>
        <xdr:cNvPr id="7" name="Grafik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0" y="4905375"/>
          <a:ext cx="138230" cy="72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e%20I/IHS01/7%20Messungen%20Windkanal/73%20Auswertungen/Windlastauslegung_Ilioflex%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welkstr\Projekte\Users\RodieLieb\Documents\Exceltabellen\Wind\Version%202.1\hbs-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angenscheidt/AppData/Local/Microsoft/Windows/Temporary%20Internet%20Files/Content.Outlook/YUQXDL35/All%20In%20One%20(Point%20Load%20EU%20Polar%20South-Syste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kte%20M/MSR03/7%20Messungen%20Windkanal/73%20Auswertungen/Windlastauslegung_MSR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ruckbereiche"/>
      <sheetName val="DIN EN 1991-1-4 (DE)"/>
      <sheetName val="Auflastberechnung"/>
      <sheetName val="Interne Berechnungsvorgaben"/>
      <sheetName val="Bilder"/>
    </sheetNames>
    <sheetDataSet>
      <sheetData sheetId="0"/>
      <sheetData sheetId="1"/>
      <sheetData sheetId="2">
        <row r="202">
          <cell r="B202">
            <v>1</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Lamellentypen"/>
      <sheetName val="Windzonen"/>
      <sheetName val="Drucken"/>
      <sheetName val="Beiwerte"/>
    </sheetNames>
    <sheetDataSet>
      <sheetData sheetId="0" refreshError="1">
        <row r="17">
          <cell r="E17">
            <v>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S PB10deg genII"/>
      <sheetName val="Tool Description"/>
      <sheetName val="REF"/>
      <sheetName val="Master Matrix"/>
      <sheetName val="(PB&amp;GB) With Friction"/>
      <sheetName val="(PB&amp;GB) Without Friction"/>
      <sheetName val="MA Calcs"/>
      <sheetName val="Main Input Page"/>
      <sheetName val="ACAD TABLES"/>
      <sheetName val="PSF Compensation"/>
      <sheetName val="Net Pressure-DownForce"/>
      <sheetName val="Array Breakdown"/>
      <sheetName val="Revision History"/>
      <sheetName val="PLS PANDA"/>
      <sheetName val="PLS GB10deg genII"/>
      <sheetName val="PLS PB5deg genII"/>
      <sheetName val="PLS KB 10deg"/>
      <sheetName val="PLS KB 15deg"/>
      <sheetName val="PLS KB 20deg"/>
      <sheetName val="Polar Bear 10"/>
      <sheetName val="Grizzly Bear 10"/>
      <sheetName val="Polar Bear 5"/>
      <sheetName val="Kodiak 10"/>
      <sheetName val="Kodiak 15"/>
      <sheetName val="Kodiak 20"/>
      <sheetName val="Sheet1"/>
    </sheetNames>
    <sheetDataSet>
      <sheetData sheetId="0" refreshError="1"/>
      <sheetData sheetId="1" refreshError="1"/>
      <sheetData sheetId="2" refreshError="1"/>
      <sheetData sheetId="3" refreshError="1">
        <row r="4">
          <cell r="C4" t="str">
            <v>1Soltech - 1STH-230-260_S</v>
          </cell>
          <cell r="D4" t="str">
            <v>Standard Claw</v>
          </cell>
          <cell r="E4">
            <v>5000005</v>
          </cell>
          <cell r="F4">
            <v>38.976377952755911</v>
          </cell>
          <cell r="G4">
            <v>65.039370078740163</v>
          </cell>
          <cell r="H4">
            <v>1.9685039370078741</v>
          </cell>
          <cell r="I4">
            <v>200010704</v>
          </cell>
          <cell r="J4">
            <v>200010804</v>
          </cell>
          <cell r="K4">
            <v>200013804</v>
          </cell>
          <cell r="L4">
            <v>200016304</v>
          </cell>
          <cell r="M4">
            <v>500012569</v>
          </cell>
          <cell r="N4">
            <v>500012669</v>
          </cell>
          <cell r="O4">
            <v>500012569</v>
          </cell>
          <cell r="P4">
            <v>500012669</v>
          </cell>
          <cell r="Q4">
            <v>11.725279318414811</v>
          </cell>
          <cell r="R4">
            <v>10.478642249707667</v>
          </cell>
          <cell r="S4">
            <v>4.9440996728708777</v>
          </cell>
          <cell r="T4">
            <v>4.9440996728708777</v>
          </cell>
          <cell r="U4">
            <v>11.725279318414811</v>
          </cell>
          <cell r="V4">
            <v>10.478642249707667</v>
          </cell>
          <cell r="W4">
            <v>50</v>
          </cell>
          <cell r="X4">
            <v>35.220472440944881</v>
          </cell>
          <cell r="Y4">
            <v>66.510826771653541</v>
          </cell>
          <cell r="Z4">
            <v>35.220472440944881</v>
          </cell>
          <cell r="AA4">
            <v>66.510826771653541</v>
          </cell>
          <cell r="AB4">
            <v>35.220472440944881</v>
          </cell>
          <cell r="AC4">
            <v>66.510826771653541</v>
          </cell>
          <cell r="AD4">
            <v>66.510826771653541</v>
          </cell>
          <cell r="AE4">
            <v>65.539370078740163</v>
          </cell>
          <cell r="AF4">
            <v>23.539370078740163</v>
          </cell>
          <cell r="AG4">
            <v>39.846456692913392</v>
          </cell>
          <cell r="AH4" t="str">
            <v>N</v>
          </cell>
          <cell r="AI4">
            <v>52.92</v>
          </cell>
          <cell r="AJ4">
            <v>24</v>
          </cell>
          <cell r="AK4" t="str">
            <v>TBD</v>
          </cell>
          <cell r="AL4" t="str">
            <v>Y</v>
          </cell>
          <cell r="AM4">
            <v>200018403</v>
          </cell>
          <cell r="AN4">
            <v>200028403</v>
          </cell>
          <cell r="AO4">
            <v>200018303</v>
          </cell>
          <cell r="AP4">
            <v>200028303</v>
          </cell>
          <cell r="AQ4">
            <v>200018203</v>
          </cell>
          <cell r="AR4">
            <v>200028203</v>
          </cell>
          <cell r="AS4">
            <v>14.555555555555557</v>
          </cell>
          <cell r="AT4">
            <v>20.110973161651764</v>
          </cell>
          <cell r="AU4">
            <v>15.002886128524771</v>
          </cell>
          <cell r="AV4">
            <v>10.244439167746933</v>
          </cell>
          <cell r="AW4">
            <v>41317</v>
          </cell>
        </row>
        <row r="5">
          <cell r="C5" t="str">
            <v>Aleo - S18 U 225-250_M</v>
          </cell>
          <cell r="D5" t="str">
            <v>Short Clamp Multi Claw</v>
          </cell>
          <cell r="E5">
            <v>500000701</v>
          </cell>
          <cell r="F5">
            <v>38.976377952755911</v>
          </cell>
          <cell r="G5">
            <v>65.354330708661422</v>
          </cell>
          <cell r="H5">
            <v>1.9685039370078741</v>
          </cell>
          <cell r="I5">
            <v>200010704</v>
          </cell>
          <cell r="J5">
            <v>200010804</v>
          </cell>
          <cell r="K5">
            <v>200013804</v>
          </cell>
          <cell r="L5">
            <v>200016304</v>
          </cell>
          <cell r="M5">
            <v>500012568</v>
          </cell>
          <cell r="N5">
            <v>500012668</v>
          </cell>
          <cell r="O5">
            <v>500012569</v>
          </cell>
          <cell r="P5">
            <v>500012669</v>
          </cell>
          <cell r="Q5">
            <v>11.033360048162105</v>
          </cell>
          <cell r="R5">
            <v>9.8618989223878799</v>
          </cell>
          <cell r="S5">
            <v>4.655419330639778</v>
          </cell>
          <cell r="T5">
            <v>4.655419330639778</v>
          </cell>
          <cell r="U5">
            <v>11.033360048162105</v>
          </cell>
          <cell r="V5">
            <v>9.8618989223878799</v>
          </cell>
          <cell r="W5">
            <v>40</v>
          </cell>
          <cell r="X5">
            <v>37.399212598425201</v>
          </cell>
          <cell r="Y5">
            <v>65.929724409448824</v>
          </cell>
          <cell r="Z5">
            <v>37.399212598425201</v>
          </cell>
          <cell r="AA5">
            <v>65.929724409448824</v>
          </cell>
          <cell r="AB5">
            <v>37.399212598425201</v>
          </cell>
          <cell r="AC5">
            <v>65.929724409448824</v>
          </cell>
          <cell r="AD5">
            <v>65.929724409448824</v>
          </cell>
          <cell r="AE5">
            <v>65.854330708661422</v>
          </cell>
          <cell r="AF5">
            <v>23.854330708661422</v>
          </cell>
          <cell r="AG5">
            <v>40.240157480314963</v>
          </cell>
          <cell r="AH5" t="str">
            <v>Y</v>
          </cell>
          <cell r="AI5">
            <v>46.305</v>
          </cell>
          <cell r="AJ5">
            <v>21</v>
          </cell>
          <cell r="AK5" t="str">
            <v>TBD</v>
          </cell>
          <cell r="AL5" t="str">
            <v>Y</v>
          </cell>
          <cell r="AM5">
            <v>200018403</v>
          </cell>
          <cell r="AN5">
            <v>200028403</v>
          </cell>
          <cell r="AO5">
            <v>200018303</v>
          </cell>
          <cell r="AP5">
            <v>200028303</v>
          </cell>
          <cell r="AQ5">
            <v>200018203</v>
          </cell>
          <cell r="AR5">
            <v>200028203</v>
          </cell>
          <cell r="AS5">
            <v>14.555555555555557</v>
          </cell>
          <cell r="AT5">
            <v>19.905846229389603</v>
          </cell>
          <cell r="AU5">
            <v>14.852704372847956</v>
          </cell>
          <cell r="AV5">
            <v>10.143144054640397</v>
          </cell>
          <cell r="AW5">
            <v>41190</v>
          </cell>
        </row>
        <row r="6">
          <cell r="C6" t="str">
            <v>Aleo - S79 U 235-245_M</v>
          </cell>
          <cell r="D6" t="str">
            <v>Short Clamp Multi Claw</v>
          </cell>
          <cell r="E6">
            <v>500000701</v>
          </cell>
          <cell r="F6">
            <v>38.976377952755911</v>
          </cell>
          <cell r="G6">
            <v>65.354330708661422</v>
          </cell>
          <cell r="H6">
            <v>1.9685039370078741</v>
          </cell>
          <cell r="I6">
            <v>200010704</v>
          </cell>
          <cell r="J6">
            <v>200010804</v>
          </cell>
          <cell r="K6">
            <v>200013804</v>
          </cell>
          <cell r="L6">
            <v>200016304</v>
          </cell>
          <cell r="M6">
            <v>500012568</v>
          </cell>
          <cell r="N6">
            <v>500012668</v>
          </cell>
          <cell r="O6">
            <v>500012569</v>
          </cell>
          <cell r="P6">
            <v>500012669</v>
          </cell>
          <cell r="Q6">
            <v>11.033360048162105</v>
          </cell>
          <cell r="R6">
            <v>9.8618989223878799</v>
          </cell>
          <cell r="S6">
            <v>4.655419330639778</v>
          </cell>
          <cell r="T6">
            <v>4.655419330639778</v>
          </cell>
          <cell r="U6">
            <v>11.033360048162105</v>
          </cell>
          <cell r="V6">
            <v>9.8618989223878799</v>
          </cell>
          <cell r="W6">
            <v>40</v>
          </cell>
          <cell r="X6">
            <v>37.399212598425201</v>
          </cell>
          <cell r="Y6">
            <v>65.929724409448824</v>
          </cell>
          <cell r="Z6">
            <v>37.399212598425201</v>
          </cell>
          <cell r="AA6">
            <v>65.929724409448824</v>
          </cell>
          <cell r="AB6">
            <v>37.399212598425201</v>
          </cell>
          <cell r="AC6">
            <v>65.929724409448824</v>
          </cell>
          <cell r="AD6">
            <v>65.929724409448824</v>
          </cell>
          <cell r="AE6">
            <v>65.854330708661422</v>
          </cell>
          <cell r="AF6">
            <v>23.854330708661422</v>
          </cell>
          <cell r="AG6">
            <v>40.240157480314963</v>
          </cell>
          <cell r="AH6" t="str">
            <v>Y</v>
          </cell>
          <cell r="AI6">
            <v>46.305</v>
          </cell>
          <cell r="AJ6">
            <v>21</v>
          </cell>
          <cell r="AK6" t="str">
            <v>TBD</v>
          </cell>
          <cell r="AL6" t="str">
            <v>Y</v>
          </cell>
          <cell r="AM6">
            <v>200018403</v>
          </cell>
          <cell r="AN6">
            <v>200028403</v>
          </cell>
          <cell r="AO6">
            <v>200018303</v>
          </cell>
          <cell r="AP6">
            <v>200028303</v>
          </cell>
          <cell r="AQ6">
            <v>200018203</v>
          </cell>
          <cell r="AR6">
            <v>200028203</v>
          </cell>
          <cell r="AS6">
            <v>14.555555555555557</v>
          </cell>
          <cell r="AT6">
            <v>19.905846229389603</v>
          </cell>
          <cell r="AU6">
            <v>14.852704372847956</v>
          </cell>
          <cell r="AV6">
            <v>10.143144054640397</v>
          </cell>
          <cell r="AW6">
            <v>41190</v>
          </cell>
        </row>
        <row r="7">
          <cell r="C7" t="str">
            <v>Avim - A18 U 225-250_M</v>
          </cell>
          <cell r="D7" t="str">
            <v>Short Clamp Multi Claw</v>
          </cell>
          <cell r="E7">
            <v>500000701</v>
          </cell>
          <cell r="F7">
            <v>38.976377952755911</v>
          </cell>
          <cell r="G7">
            <v>65.354330708661422</v>
          </cell>
          <cell r="H7">
            <v>1.9685039370078741</v>
          </cell>
          <cell r="I7">
            <v>200010704</v>
          </cell>
          <cell r="J7">
            <v>200010804</v>
          </cell>
          <cell r="K7">
            <v>200013804</v>
          </cell>
          <cell r="L7">
            <v>200016304</v>
          </cell>
          <cell r="M7">
            <v>500012568</v>
          </cell>
          <cell r="N7">
            <v>500012668</v>
          </cell>
          <cell r="O7">
            <v>500012569</v>
          </cell>
          <cell r="P7">
            <v>500012669</v>
          </cell>
          <cell r="Q7">
            <v>11.033360048162105</v>
          </cell>
          <cell r="R7">
            <v>9.8618989223878799</v>
          </cell>
          <cell r="S7">
            <v>4.655419330639778</v>
          </cell>
          <cell r="T7">
            <v>4.655419330639778</v>
          </cell>
          <cell r="U7">
            <v>11.033360048162105</v>
          </cell>
          <cell r="V7">
            <v>9.8618989223878799</v>
          </cell>
          <cell r="W7">
            <v>40</v>
          </cell>
          <cell r="X7">
            <v>37.399212598425201</v>
          </cell>
          <cell r="Y7">
            <v>65.929724409448824</v>
          </cell>
          <cell r="Z7">
            <v>37.399212598425201</v>
          </cell>
          <cell r="AA7">
            <v>65.929724409448824</v>
          </cell>
          <cell r="AB7">
            <v>37.399212598425201</v>
          </cell>
          <cell r="AC7">
            <v>65.929724409448824</v>
          </cell>
          <cell r="AD7">
            <v>65.929724409448824</v>
          </cell>
          <cell r="AE7">
            <v>65.854330708661422</v>
          </cell>
          <cell r="AF7">
            <v>23.854330708661422</v>
          </cell>
          <cell r="AG7">
            <v>40.240157480314963</v>
          </cell>
          <cell r="AH7" t="str">
            <v>Y</v>
          </cell>
          <cell r="AI7">
            <v>46.305</v>
          </cell>
          <cell r="AJ7">
            <v>21</v>
          </cell>
          <cell r="AK7" t="str">
            <v>TBD</v>
          </cell>
          <cell r="AL7" t="str">
            <v>Y</v>
          </cell>
          <cell r="AM7">
            <v>200018403</v>
          </cell>
          <cell r="AN7">
            <v>200028403</v>
          </cell>
          <cell r="AO7">
            <v>200018303</v>
          </cell>
          <cell r="AP7">
            <v>200028303</v>
          </cell>
          <cell r="AQ7">
            <v>200018203</v>
          </cell>
          <cell r="AR7">
            <v>200028203</v>
          </cell>
          <cell r="AS7">
            <v>14.555555555555557</v>
          </cell>
          <cell r="AT7">
            <v>19.905846229389603</v>
          </cell>
          <cell r="AU7">
            <v>14.852704372847956</v>
          </cell>
          <cell r="AV7">
            <v>10.143144054640397</v>
          </cell>
          <cell r="AW7">
            <v>41317</v>
          </cell>
        </row>
        <row r="8">
          <cell r="C8" t="str">
            <v>ASW (American Solar Wholesale) - AWS 230-250 M-P_S</v>
          </cell>
          <cell r="D8" t="str">
            <v>Standard Claw</v>
          </cell>
          <cell r="E8">
            <v>5000005</v>
          </cell>
          <cell r="F8">
            <v>38.976377952755911</v>
          </cell>
          <cell r="G8">
            <v>64.960629921259851</v>
          </cell>
          <cell r="H8">
            <v>1.9685039370078741</v>
          </cell>
          <cell r="I8">
            <v>200010704</v>
          </cell>
          <cell r="J8">
            <v>200010804</v>
          </cell>
          <cell r="K8">
            <v>200013804</v>
          </cell>
          <cell r="L8">
            <v>200016304</v>
          </cell>
          <cell r="M8">
            <v>500012569</v>
          </cell>
          <cell r="N8">
            <v>500012669</v>
          </cell>
          <cell r="O8">
            <v>500012569</v>
          </cell>
          <cell r="P8">
            <v>500012669</v>
          </cell>
          <cell r="Q8">
            <v>11.725279318414811</v>
          </cell>
          <cell r="R8">
            <v>10.478642249707667</v>
          </cell>
          <cell r="S8">
            <v>4.9440996728708777</v>
          </cell>
          <cell r="T8">
            <v>4.9440996728708777</v>
          </cell>
          <cell r="U8">
            <v>11.725279318414811</v>
          </cell>
          <cell r="V8">
            <v>10.478642249707667</v>
          </cell>
          <cell r="W8">
            <v>50</v>
          </cell>
          <cell r="X8">
            <v>35.220472440944881</v>
          </cell>
          <cell r="Y8">
            <v>66.43208661417323</v>
          </cell>
          <cell r="Z8">
            <v>35.220472440944881</v>
          </cell>
          <cell r="AA8">
            <v>66.43208661417323</v>
          </cell>
          <cell r="AB8">
            <v>35.220472440944881</v>
          </cell>
          <cell r="AC8">
            <v>66.43208661417323</v>
          </cell>
          <cell r="AD8">
            <v>66.43208661417323</v>
          </cell>
          <cell r="AE8">
            <v>65.460629921259851</v>
          </cell>
          <cell r="AF8">
            <v>23.460629921259848</v>
          </cell>
          <cell r="AG8">
            <v>39.846456692913392</v>
          </cell>
          <cell r="AH8" t="str">
            <v>Y</v>
          </cell>
          <cell r="AI8">
            <v>41.895000000000003</v>
          </cell>
          <cell r="AJ8">
            <v>19</v>
          </cell>
          <cell r="AK8" t="str">
            <v>TBD</v>
          </cell>
          <cell r="AL8" t="str">
            <v>Y</v>
          </cell>
          <cell r="AM8">
            <v>200018403</v>
          </cell>
          <cell r="AN8">
            <v>200028403</v>
          </cell>
          <cell r="AO8">
            <v>200018303</v>
          </cell>
          <cell r="AP8">
            <v>200028303</v>
          </cell>
          <cell r="AQ8">
            <v>200018203</v>
          </cell>
          <cell r="AR8">
            <v>200028203</v>
          </cell>
          <cell r="AS8">
            <v>14.555555555555557</v>
          </cell>
          <cell r="AT8">
            <v>20.110973161651764</v>
          </cell>
          <cell r="AU8">
            <v>15.002886128524771</v>
          </cell>
          <cell r="AV8">
            <v>10.244439167746933</v>
          </cell>
          <cell r="AW8">
            <v>41122</v>
          </cell>
        </row>
        <row r="9">
          <cell r="C9" t="str">
            <v>ASW (American Solar Wholesale) - AWS 260-280 M-P_S</v>
          </cell>
          <cell r="D9" t="str">
            <v>Standard Claw</v>
          </cell>
          <cell r="E9">
            <v>5000005</v>
          </cell>
          <cell r="F9">
            <v>38.976377952755911</v>
          </cell>
          <cell r="G9">
            <v>76.929133858267718</v>
          </cell>
          <cell r="H9">
            <v>1.9685039370078741</v>
          </cell>
          <cell r="I9">
            <v>200010707</v>
          </cell>
          <cell r="J9">
            <v>200010807</v>
          </cell>
          <cell r="K9">
            <v>200013807</v>
          </cell>
          <cell r="L9">
            <v>200016307</v>
          </cell>
          <cell r="M9">
            <v>500012581</v>
          </cell>
          <cell r="N9">
            <v>500012681</v>
          </cell>
          <cell r="O9">
            <v>500012581</v>
          </cell>
          <cell r="P9">
            <v>500012681</v>
          </cell>
          <cell r="Q9">
            <v>11.725279318414811</v>
          </cell>
          <cell r="R9">
            <v>10.478642249707667</v>
          </cell>
          <cell r="S9">
            <v>4.9440996728708777</v>
          </cell>
          <cell r="T9">
            <v>4.9440996728708777</v>
          </cell>
          <cell r="U9">
            <v>11.725279318414811</v>
          </cell>
          <cell r="V9">
            <v>10.478642249707667</v>
          </cell>
          <cell r="W9">
            <v>40</v>
          </cell>
          <cell r="X9">
            <v>35.220472440944881</v>
          </cell>
          <cell r="Y9">
            <v>78.400590551181111</v>
          </cell>
          <cell r="Z9">
            <v>35.220472440944881</v>
          </cell>
          <cell r="AA9">
            <v>78.400590551181111</v>
          </cell>
          <cell r="AB9">
            <v>35.220472440944881</v>
          </cell>
          <cell r="AC9">
            <v>78.400590551181111</v>
          </cell>
          <cell r="AD9">
            <v>78.400590551181111</v>
          </cell>
          <cell r="AE9">
            <v>77.429133858267718</v>
          </cell>
          <cell r="AF9">
            <v>35.429133858267726</v>
          </cell>
          <cell r="AG9">
            <v>39.846456692913392</v>
          </cell>
          <cell r="AH9" t="str">
            <v>Y</v>
          </cell>
          <cell r="AI9">
            <v>50.715000000000003</v>
          </cell>
          <cell r="AJ9">
            <v>23</v>
          </cell>
          <cell r="AK9" t="str">
            <v>TBD</v>
          </cell>
          <cell r="AL9" t="str">
            <v>Y</v>
          </cell>
          <cell r="AM9">
            <v>200018407</v>
          </cell>
          <cell r="AN9">
            <v>200028407</v>
          </cell>
          <cell r="AO9">
            <v>200018307</v>
          </cell>
          <cell r="AP9">
            <v>200028307</v>
          </cell>
          <cell r="AQ9">
            <v>200018207</v>
          </cell>
          <cell r="AR9">
            <v>200028207</v>
          </cell>
          <cell r="AS9">
            <v>17.222222222222221</v>
          </cell>
          <cell r="AT9">
            <v>20.110973161651764</v>
          </cell>
          <cell r="AU9">
            <v>15.002886128524771</v>
          </cell>
          <cell r="AV9">
            <v>10.244439167746933</v>
          </cell>
          <cell r="AW9">
            <v>41122</v>
          </cell>
        </row>
        <row r="10">
          <cell r="C10" t="str">
            <v>AUO Solar - BenQ - PM 225-245 P_L</v>
          </cell>
          <cell r="D10" t="str">
            <v>2nd Gen Long Claw (Conergy PM / AUO PM)</v>
          </cell>
          <cell r="E10">
            <v>500014410</v>
          </cell>
          <cell r="F10">
            <v>39.370078740157481</v>
          </cell>
          <cell r="G10">
            <v>65.669291338582681</v>
          </cell>
          <cell r="H10">
            <v>1.5748031496062993</v>
          </cell>
          <cell r="I10">
            <v>200010704</v>
          </cell>
          <cell r="J10">
            <v>200010804</v>
          </cell>
          <cell r="K10">
            <v>200013804</v>
          </cell>
          <cell r="L10">
            <v>200016304</v>
          </cell>
          <cell r="M10">
            <v>500012569</v>
          </cell>
          <cell r="N10">
            <v>500012669</v>
          </cell>
          <cell r="O10">
            <v>500012569</v>
          </cell>
          <cell r="P10">
            <v>500012669</v>
          </cell>
          <cell r="Q10">
            <v>10.41563801751966</v>
          </cell>
          <cell r="R10">
            <v>9.3110390770937794</v>
          </cell>
          <cell r="S10">
            <v>4.3972196268899051</v>
          </cell>
          <cell r="T10">
            <v>4.3972196268899051</v>
          </cell>
          <cell r="U10">
            <v>10.41563801751966</v>
          </cell>
          <cell r="V10">
            <v>9.3110390770937794</v>
          </cell>
          <cell r="W10">
            <v>50</v>
          </cell>
          <cell r="X10">
            <v>39.590551181102363</v>
          </cell>
          <cell r="Y10">
            <v>66.4242125984252</v>
          </cell>
          <cell r="Z10">
            <v>39.590551181102363</v>
          </cell>
          <cell r="AA10">
            <v>66.4242125984252</v>
          </cell>
          <cell r="AB10">
            <v>39.590551181102363</v>
          </cell>
          <cell r="AC10">
            <v>66.4242125984252</v>
          </cell>
          <cell r="AD10">
            <v>66.4242125984252</v>
          </cell>
          <cell r="AE10">
            <v>66.169291338582681</v>
          </cell>
          <cell r="AF10">
            <v>24.169291338582681</v>
          </cell>
          <cell r="AG10">
            <v>40.240157480314963</v>
          </cell>
          <cell r="AH10" t="str">
            <v>Y</v>
          </cell>
          <cell r="AI10">
            <v>44.1</v>
          </cell>
          <cell r="AJ10">
            <v>20</v>
          </cell>
          <cell r="AK10" t="str">
            <v>TBD</v>
          </cell>
          <cell r="AL10" t="str">
            <v>Y</v>
          </cell>
          <cell r="AM10">
            <v>200018403</v>
          </cell>
          <cell r="AN10">
            <v>200028403</v>
          </cell>
          <cell r="AO10">
            <v>200018303</v>
          </cell>
          <cell r="AP10">
            <v>200028303</v>
          </cell>
          <cell r="AQ10">
            <v>200018203</v>
          </cell>
          <cell r="AR10">
            <v>200028203</v>
          </cell>
          <cell r="AS10">
            <v>14.555555555555557</v>
          </cell>
          <cell r="AT10">
            <v>19.905846229389603</v>
          </cell>
          <cell r="AU10">
            <v>14.852704372847956</v>
          </cell>
          <cell r="AV10">
            <v>10.143144054640397</v>
          </cell>
          <cell r="AW10">
            <v>41122</v>
          </cell>
        </row>
        <row r="11">
          <cell r="C11" t="str">
            <v>Bosch - c-Si M60 220-240 _S</v>
          </cell>
          <cell r="D11" t="str">
            <v>Standard Claw</v>
          </cell>
          <cell r="E11">
            <v>5000005</v>
          </cell>
          <cell r="F11">
            <v>39.370078740157481</v>
          </cell>
          <cell r="G11">
            <v>64.566929133858267</v>
          </cell>
          <cell r="H11">
            <v>1.6535433070866143</v>
          </cell>
          <cell r="I11">
            <v>200010704</v>
          </cell>
          <cell r="J11">
            <v>200010804</v>
          </cell>
          <cell r="K11">
            <v>200013804</v>
          </cell>
          <cell r="L11">
            <v>200016304</v>
          </cell>
          <cell r="M11">
            <v>500012568</v>
          </cell>
          <cell r="N11">
            <v>500012668</v>
          </cell>
          <cell r="O11">
            <v>500012568</v>
          </cell>
          <cell r="P11">
            <v>500012668</v>
          </cell>
          <cell r="Q11">
            <v>11.619899404426564</v>
          </cell>
          <cell r="R11">
            <v>10.384731734052414</v>
          </cell>
          <cell r="S11">
            <v>4.9001710764679141</v>
          </cell>
          <cell r="T11">
            <v>4.9001710764679141</v>
          </cell>
          <cell r="U11">
            <v>11.619899404426564</v>
          </cell>
          <cell r="V11">
            <v>10.384731734052414</v>
          </cell>
          <cell r="W11">
            <v>50</v>
          </cell>
          <cell r="X11">
            <v>35.535433070866148</v>
          </cell>
          <cell r="Y11">
            <v>65.325000000000003</v>
          </cell>
          <cell r="Z11">
            <v>35.535433070866148</v>
          </cell>
          <cell r="AA11">
            <v>65.325000000000003</v>
          </cell>
          <cell r="AB11">
            <v>35.535433070866148</v>
          </cell>
          <cell r="AC11">
            <v>65.325000000000003</v>
          </cell>
          <cell r="AD11">
            <v>65.325000000000003</v>
          </cell>
          <cell r="AE11">
            <v>65.066929133858267</v>
          </cell>
          <cell r="AF11">
            <v>23.066929133858274</v>
          </cell>
          <cell r="AG11">
            <v>39.523622047244096</v>
          </cell>
          <cell r="AH11" t="str">
            <v>N</v>
          </cell>
          <cell r="AI11">
            <v>51.817500000000003</v>
          </cell>
          <cell r="AJ11">
            <v>23.5</v>
          </cell>
          <cell r="AK11" t="str">
            <v>TBD</v>
          </cell>
          <cell r="AL11" t="str">
            <v>Y</v>
          </cell>
          <cell r="AM11">
            <v>200018403</v>
          </cell>
          <cell r="AN11">
            <v>200028403</v>
          </cell>
          <cell r="AO11">
            <v>200018303</v>
          </cell>
          <cell r="AP11">
            <v>200028303</v>
          </cell>
          <cell r="AQ11">
            <v>200018203</v>
          </cell>
          <cell r="AR11">
            <v>200028203</v>
          </cell>
          <cell r="AS11">
            <v>14.555555555555557</v>
          </cell>
          <cell r="AT11">
            <v>20.282432747096749</v>
          </cell>
          <cell r="AU11">
            <v>15.12834858345393</v>
          </cell>
          <cell r="AV11">
            <v>10.329031799061514</v>
          </cell>
          <cell r="AW11">
            <v>40800</v>
          </cell>
        </row>
        <row r="12">
          <cell r="C12" t="str">
            <v>Bosch - c-Si M60 US30117 235-250_M</v>
          </cell>
          <cell r="D12" t="str">
            <v>Short Clamp Multi Claw</v>
          </cell>
          <cell r="E12">
            <v>500000701</v>
          </cell>
          <cell r="F12">
            <v>38.976377952755911</v>
          </cell>
          <cell r="G12">
            <v>65.354330708661422</v>
          </cell>
          <cell r="H12">
            <v>1.9685039370078741</v>
          </cell>
          <cell r="I12">
            <v>200010704</v>
          </cell>
          <cell r="J12">
            <v>200010804</v>
          </cell>
          <cell r="K12">
            <v>200013804</v>
          </cell>
          <cell r="L12">
            <v>200016304</v>
          </cell>
          <cell r="M12">
            <v>500012568</v>
          </cell>
          <cell r="N12">
            <v>500012668</v>
          </cell>
          <cell r="O12">
            <v>500012569</v>
          </cell>
          <cell r="P12">
            <v>500012669</v>
          </cell>
          <cell r="Q12">
            <v>11.033360048162105</v>
          </cell>
          <cell r="R12">
            <v>9.8618989223878799</v>
          </cell>
          <cell r="S12">
            <v>4.655419330639778</v>
          </cell>
          <cell r="T12">
            <v>4.655419330639778</v>
          </cell>
          <cell r="U12">
            <v>11.033360048162105</v>
          </cell>
          <cell r="V12">
            <v>9.8618989223878799</v>
          </cell>
          <cell r="W12">
            <v>40</v>
          </cell>
          <cell r="X12">
            <v>37.399212598425201</v>
          </cell>
          <cell r="Y12">
            <v>65.929724409448824</v>
          </cell>
          <cell r="Z12">
            <v>37.399212598425201</v>
          </cell>
          <cell r="AA12">
            <v>65.929724409448824</v>
          </cell>
          <cell r="AB12">
            <v>37.399212598425201</v>
          </cell>
          <cell r="AC12">
            <v>65.929724409448824</v>
          </cell>
          <cell r="AD12">
            <v>65.929724409448824</v>
          </cell>
          <cell r="AE12">
            <v>65.854330708661422</v>
          </cell>
          <cell r="AF12">
            <v>23.854330708661422</v>
          </cell>
          <cell r="AG12">
            <v>40.240157480314963</v>
          </cell>
          <cell r="AH12" t="str">
            <v>Y</v>
          </cell>
          <cell r="AI12">
            <v>46.305</v>
          </cell>
          <cell r="AJ12">
            <v>21</v>
          </cell>
          <cell r="AK12" t="str">
            <v>TBD</v>
          </cell>
          <cell r="AL12" t="str">
            <v>Y</v>
          </cell>
          <cell r="AM12">
            <v>200018403</v>
          </cell>
          <cell r="AN12">
            <v>200028403</v>
          </cell>
          <cell r="AO12">
            <v>200018303</v>
          </cell>
          <cell r="AP12">
            <v>200028303</v>
          </cell>
          <cell r="AQ12">
            <v>200018203</v>
          </cell>
          <cell r="AR12">
            <v>200028203</v>
          </cell>
          <cell r="AS12">
            <v>14.555555555555557</v>
          </cell>
          <cell r="AT12">
            <v>19.905846229389603</v>
          </cell>
          <cell r="AU12">
            <v>14.852704372847956</v>
          </cell>
          <cell r="AV12">
            <v>10.143144054640397</v>
          </cell>
          <cell r="AW12">
            <v>41190</v>
          </cell>
        </row>
        <row r="13">
          <cell r="C13" t="str">
            <v>BP Solar - BP-3215B_S</v>
          </cell>
          <cell r="D13" t="str">
            <v>Standard Claw</v>
          </cell>
          <cell r="E13">
            <v>5000005</v>
          </cell>
          <cell r="F13">
            <v>39.370078740157481</v>
          </cell>
          <cell r="G13">
            <v>65.629921259842519</v>
          </cell>
          <cell r="H13">
            <v>1.9685039370078741</v>
          </cell>
          <cell r="I13">
            <v>200010705</v>
          </cell>
          <cell r="J13">
            <v>200010805</v>
          </cell>
          <cell r="K13">
            <v>200013805</v>
          </cell>
          <cell r="L13">
            <v>200016305</v>
          </cell>
          <cell r="M13">
            <v>500012570</v>
          </cell>
          <cell r="N13">
            <v>500012670</v>
          </cell>
          <cell r="O13">
            <v>500012570</v>
          </cell>
          <cell r="P13">
            <v>500012670</v>
          </cell>
          <cell r="Q13">
            <v>11.389629250601068</v>
          </cell>
          <cell r="R13">
            <v>10.17949851730765</v>
          </cell>
          <cell r="S13">
            <v>4.8041332214318873</v>
          </cell>
          <cell r="T13">
            <v>4.8041332214318873</v>
          </cell>
          <cell r="U13">
            <v>11.389629250601068</v>
          </cell>
          <cell r="V13">
            <v>10.17949851730765</v>
          </cell>
          <cell r="W13">
            <v>30</v>
          </cell>
          <cell r="X13">
            <v>36.244094488188978</v>
          </cell>
          <cell r="Y13">
            <v>67.647834645669292</v>
          </cell>
          <cell r="Z13">
            <v>36.244094488188978</v>
          </cell>
          <cell r="AA13">
            <v>67.647834645669292</v>
          </cell>
          <cell r="AB13">
            <v>36.244094488188978</v>
          </cell>
          <cell r="AC13">
            <v>67.647834645669292</v>
          </cell>
          <cell r="AD13">
            <v>67.647834645669292</v>
          </cell>
          <cell r="AE13">
            <v>66.129921259842519</v>
          </cell>
          <cell r="AF13">
            <v>24.129921259842526</v>
          </cell>
          <cell r="AG13">
            <v>40.78346456692914</v>
          </cell>
          <cell r="AH13" t="str">
            <v>N</v>
          </cell>
          <cell r="AI13">
            <v>42.777000000000001</v>
          </cell>
          <cell r="AJ13">
            <v>19.399999999999999</v>
          </cell>
          <cell r="AK13" t="str">
            <v>TBD</v>
          </cell>
          <cell r="AL13" t="str">
            <v>Y</v>
          </cell>
          <cell r="AM13">
            <v>200018403</v>
          </cell>
          <cell r="AN13">
            <v>200028403</v>
          </cell>
          <cell r="AO13">
            <v>200018303</v>
          </cell>
          <cell r="AP13">
            <v>200028303</v>
          </cell>
          <cell r="AQ13">
            <v>200018203</v>
          </cell>
          <cell r="AR13">
            <v>200028203</v>
          </cell>
          <cell r="AS13">
            <v>14.555555555555557</v>
          </cell>
          <cell r="AT13">
            <v>19.629694545723975</v>
          </cell>
          <cell r="AU13">
            <v>14.650380100644853</v>
          </cell>
          <cell r="AV13">
            <v>10.006619078067976</v>
          </cell>
          <cell r="AW13">
            <v>40725</v>
          </cell>
        </row>
        <row r="14">
          <cell r="C14" t="str">
            <v>BP Solar - BP-3230T_S</v>
          </cell>
          <cell r="D14" t="str">
            <v>Standard Claw</v>
          </cell>
          <cell r="E14">
            <v>5000005</v>
          </cell>
          <cell r="F14">
            <v>39.370078740157481</v>
          </cell>
          <cell r="G14">
            <v>65.629921259842519</v>
          </cell>
          <cell r="H14">
            <v>1.9685039370078741</v>
          </cell>
          <cell r="I14">
            <v>200010705</v>
          </cell>
          <cell r="J14">
            <v>200010805</v>
          </cell>
          <cell r="K14">
            <v>200013805</v>
          </cell>
          <cell r="L14">
            <v>200016305</v>
          </cell>
          <cell r="M14">
            <v>500012570</v>
          </cell>
          <cell r="N14">
            <v>500012670</v>
          </cell>
          <cell r="O14">
            <v>500012570</v>
          </cell>
          <cell r="P14">
            <v>500012670</v>
          </cell>
          <cell r="Q14">
            <v>11.389629250601068</v>
          </cell>
          <cell r="R14">
            <v>10.17949851730765</v>
          </cell>
          <cell r="S14">
            <v>4.8041332214318873</v>
          </cell>
          <cell r="T14">
            <v>4.8041332214318873</v>
          </cell>
          <cell r="U14">
            <v>11.389629250601068</v>
          </cell>
          <cell r="V14">
            <v>10.17949851730765</v>
          </cell>
          <cell r="W14">
            <v>30</v>
          </cell>
          <cell r="X14">
            <v>36.244094488188978</v>
          </cell>
          <cell r="Y14">
            <v>67.647834645669292</v>
          </cell>
          <cell r="Z14">
            <v>36.244094488188978</v>
          </cell>
          <cell r="AA14">
            <v>67.647834645669292</v>
          </cell>
          <cell r="AB14">
            <v>36.244094488188978</v>
          </cell>
          <cell r="AC14">
            <v>67.647834645669292</v>
          </cell>
          <cell r="AD14">
            <v>67.647834645669292</v>
          </cell>
          <cell r="AE14">
            <v>66.129921259842519</v>
          </cell>
          <cell r="AF14">
            <v>24.129921259842526</v>
          </cell>
          <cell r="AG14">
            <v>40.78346456692914</v>
          </cell>
          <cell r="AH14" t="str">
            <v>N</v>
          </cell>
          <cell r="AI14">
            <v>42.777000000000001</v>
          </cell>
          <cell r="AJ14">
            <v>19.399999999999999</v>
          </cell>
          <cell r="AK14" t="str">
            <v>TBD</v>
          </cell>
          <cell r="AL14" t="str">
            <v>Y</v>
          </cell>
          <cell r="AM14">
            <v>200018403</v>
          </cell>
          <cell r="AN14">
            <v>200028403</v>
          </cell>
          <cell r="AO14">
            <v>200018303</v>
          </cell>
          <cell r="AP14">
            <v>200028303</v>
          </cell>
          <cell r="AQ14">
            <v>200018203</v>
          </cell>
          <cell r="AR14">
            <v>200028203</v>
          </cell>
          <cell r="AS14">
            <v>14.555555555555557</v>
          </cell>
          <cell r="AT14">
            <v>19.629694545723975</v>
          </cell>
          <cell r="AU14">
            <v>14.650380100644853</v>
          </cell>
          <cell r="AV14">
            <v>10.006619078067976</v>
          </cell>
          <cell r="AW14">
            <v>40725</v>
          </cell>
        </row>
        <row r="15">
          <cell r="C15" t="str">
            <v>BP Solar - BP-175B_S</v>
          </cell>
          <cell r="D15" t="str">
            <v>Standard Claw</v>
          </cell>
          <cell r="E15">
            <v>5000005</v>
          </cell>
          <cell r="F15">
            <v>31.102362204724411</v>
          </cell>
          <cell r="G15">
            <v>62.716535433070867</v>
          </cell>
          <cell r="H15">
            <v>1.9685039370078741</v>
          </cell>
          <cell r="I15">
            <v>200010704</v>
          </cell>
          <cell r="J15">
            <v>200010804</v>
          </cell>
          <cell r="K15">
            <v>200013804</v>
          </cell>
          <cell r="L15">
            <v>200016304</v>
          </cell>
          <cell r="M15">
            <v>500012567</v>
          </cell>
          <cell r="N15">
            <v>500012667</v>
          </cell>
          <cell r="O15">
            <v>500012567</v>
          </cell>
          <cell r="P15">
            <v>500012667</v>
          </cell>
          <cell r="Q15">
            <v>14.823372795433404</v>
          </cell>
          <cell r="R15">
            <v>13.235935159013833</v>
          </cell>
          <cell r="S15">
            <v>6.2288462502734054</v>
          </cell>
          <cell r="T15">
            <v>6.2288462502734054</v>
          </cell>
          <cell r="U15">
            <v>14.823372795433404</v>
          </cell>
          <cell r="V15">
            <v>13.235935159013833</v>
          </cell>
          <cell r="W15">
            <v>30</v>
          </cell>
          <cell r="X15">
            <v>27.976377952755907</v>
          </cell>
          <cell r="Y15">
            <v>64.734448818897633</v>
          </cell>
          <cell r="Z15">
            <v>27.976377952755907</v>
          </cell>
          <cell r="AA15">
            <v>64.734448818897633</v>
          </cell>
          <cell r="AB15">
            <v>27.976377952755907</v>
          </cell>
          <cell r="AC15">
            <v>64.734448818897633</v>
          </cell>
          <cell r="AD15">
            <v>64.734448818897633</v>
          </cell>
          <cell r="AE15">
            <v>63.216535433070874</v>
          </cell>
          <cell r="AF15">
            <v>21.21653543307087</v>
          </cell>
          <cell r="AG15">
            <v>32.515748031496067</v>
          </cell>
          <cell r="AH15" t="str">
            <v>N</v>
          </cell>
          <cell r="AI15">
            <v>33.075000000000003</v>
          </cell>
          <cell r="AJ15">
            <v>15</v>
          </cell>
          <cell r="AK15" t="str">
            <v>TBD</v>
          </cell>
          <cell r="AL15" t="str">
            <v>Y</v>
          </cell>
          <cell r="AM15">
            <v>200018402</v>
          </cell>
          <cell r="AN15">
            <v>200028402</v>
          </cell>
          <cell r="AO15">
            <v>200018302</v>
          </cell>
          <cell r="AP15">
            <v>200028302</v>
          </cell>
          <cell r="AQ15">
            <v>200018202</v>
          </cell>
          <cell r="AR15">
            <v>200028202</v>
          </cell>
          <cell r="AS15">
            <v>13.888888888888888</v>
          </cell>
          <cell r="AT15">
            <v>24.920386154850288</v>
          </cell>
          <cell r="AU15">
            <v>18.495470671690814</v>
          </cell>
          <cell r="AV15">
            <v>12.58830644691356</v>
          </cell>
          <cell r="AW15">
            <v>40725</v>
          </cell>
        </row>
        <row r="16">
          <cell r="C16" t="str">
            <v>BP Solar - BP 3280T_S</v>
          </cell>
          <cell r="D16" t="str">
            <v>Standard Claw</v>
          </cell>
          <cell r="E16">
            <v>5000005</v>
          </cell>
          <cell r="F16">
            <v>39.370078740157481</v>
          </cell>
          <cell r="G16">
            <v>78.188976377952756</v>
          </cell>
          <cell r="H16">
            <v>1.9685039370078741</v>
          </cell>
          <cell r="I16">
            <v>200010708</v>
          </cell>
          <cell r="J16">
            <v>200010808</v>
          </cell>
          <cell r="K16">
            <v>200013808</v>
          </cell>
          <cell r="L16">
            <v>200016308</v>
          </cell>
          <cell r="M16">
            <v>500012582</v>
          </cell>
          <cell r="N16">
            <v>500012682</v>
          </cell>
          <cell r="O16">
            <v>500012583</v>
          </cell>
          <cell r="P16">
            <v>500012683</v>
          </cell>
          <cell r="Q16">
            <v>11.47044277917194</v>
          </cell>
          <cell r="R16">
            <v>10.251529236755868</v>
          </cell>
          <cell r="S16">
            <v>4.837845181295938</v>
          </cell>
          <cell r="T16">
            <v>4.837845181295938</v>
          </cell>
          <cell r="U16">
            <v>11.47044277917194</v>
          </cell>
          <cell r="V16">
            <v>10.251529236755868</v>
          </cell>
          <cell r="W16">
            <v>30</v>
          </cell>
          <cell r="X16">
            <v>35.99212598425197</v>
          </cell>
          <cell r="Y16">
            <v>80.038385826771659</v>
          </cell>
          <cell r="Z16">
            <v>35.99212598425197</v>
          </cell>
          <cell r="AA16">
            <v>80.038385826771659</v>
          </cell>
          <cell r="AB16">
            <v>35.99212598425197</v>
          </cell>
          <cell r="AC16">
            <v>80.038385826771659</v>
          </cell>
          <cell r="AD16">
            <v>80.038385826771659</v>
          </cell>
          <cell r="AE16">
            <v>78.688976377952756</v>
          </cell>
          <cell r="AF16">
            <v>36.688976377952763</v>
          </cell>
          <cell r="AG16">
            <v>40.618110236220474</v>
          </cell>
          <cell r="AH16" t="str">
            <v>N</v>
          </cell>
          <cell r="AI16">
            <v>48.730500000000006</v>
          </cell>
          <cell r="AJ16">
            <v>22.1</v>
          </cell>
          <cell r="AK16" t="str">
            <v>TBD</v>
          </cell>
          <cell r="AL16" t="str">
            <v>Y</v>
          </cell>
          <cell r="AM16">
            <v>200018407</v>
          </cell>
          <cell r="AN16">
            <v>200028407</v>
          </cell>
          <cell r="AO16">
            <v>200018307</v>
          </cell>
          <cell r="AP16">
            <v>200028307</v>
          </cell>
          <cell r="AQ16">
            <v>200018207</v>
          </cell>
          <cell r="AR16">
            <v>200028207</v>
          </cell>
          <cell r="AS16">
            <v>17.222222222222221</v>
          </cell>
          <cell r="AT16">
            <v>19.712908350225494</v>
          </cell>
          <cell r="AU16">
            <v>14.711364289425134</v>
          </cell>
          <cell r="AV16">
            <v>10.047777443286531</v>
          </cell>
          <cell r="AW16">
            <v>40725</v>
          </cell>
        </row>
        <row r="17">
          <cell r="C17" t="str">
            <v>BP Solar - BP 3235T_S</v>
          </cell>
          <cell r="D17" t="str">
            <v>Standard Claw</v>
          </cell>
          <cell r="E17">
            <v>5000005</v>
          </cell>
          <cell r="F17">
            <v>39.370078740157481</v>
          </cell>
          <cell r="G17">
            <v>65.629921259842519</v>
          </cell>
          <cell r="H17">
            <v>1.9685039370078741</v>
          </cell>
          <cell r="I17">
            <v>200010705</v>
          </cell>
          <cell r="J17">
            <v>200010805</v>
          </cell>
          <cell r="K17">
            <v>200013805</v>
          </cell>
          <cell r="L17">
            <v>200016305</v>
          </cell>
          <cell r="M17">
            <v>500012570</v>
          </cell>
          <cell r="N17">
            <v>500012670</v>
          </cell>
          <cell r="O17">
            <v>500012570</v>
          </cell>
          <cell r="P17">
            <v>500012670</v>
          </cell>
          <cell r="Q17">
            <v>11.389629250601068</v>
          </cell>
          <cell r="R17">
            <v>10.17949851730765</v>
          </cell>
          <cell r="S17">
            <v>4.8041332214318873</v>
          </cell>
          <cell r="T17">
            <v>4.8041332214318873</v>
          </cell>
          <cell r="U17">
            <v>11.389629250601068</v>
          </cell>
          <cell r="V17">
            <v>10.17949851730765</v>
          </cell>
          <cell r="W17">
            <v>30</v>
          </cell>
          <cell r="X17">
            <v>36.244094488188978</v>
          </cell>
          <cell r="Y17">
            <v>67.647834645669292</v>
          </cell>
          <cell r="Z17">
            <v>36.244094488188978</v>
          </cell>
          <cell r="AA17">
            <v>67.647834645669292</v>
          </cell>
          <cell r="AB17">
            <v>36.244094488188978</v>
          </cell>
          <cell r="AC17">
            <v>67.647834645669292</v>
          </cell>
          <cell r="AD17">
            <v>67.647834645669292</v>
          </cell>
          <cell r="AE17">
            <v>66.129921259842519</v>
          </cell>
          <cell r="AF17">
            <v>24.129921259842526</v>
          </cell>
          <cell r="AG17">
            <v>40.78346456692914</v>
          </cell>
          <cell r="AH17" t="str">
            <v>N</v>
          </cell>
          <cell r="AI17">
            <v>42.777000000000001</v>
          </cell>
          <cell r="AJ17">
            <v>19.399999999999999</v>
          </cell>
          <cell r="AK17" t="str">
            <v>TBD</v>
          </cell>
          <cell r="AL17" t="str">
            <v>Y</v>
          </cell>
          <cell r="AM17">
            <v>200018403</v>
          </cell>
          <cell r="AN17">
            <v>200028403</v>
          </cell>
          <cell r="AO17">
            <v>200018303</v>
          </cell>
          <cell r="AP17">
            <v>200028303</v>
          </cell>
          <cell r="AQ17">
            <v>200018203</v>
          </cell>
          <cell r="AR17">
            <v>200028203</v>
          </cell>
          <cell r="AS17">
            <v>14.555555555555557</v>
          </cell>
          <cell r="AT17">
            <v>19.629694545723975</v>
          </cell>
          <cell r="AU17">
            <v>14.650380100644853</v>
          </cell>
          <cell r="AV17">
            <v>10.006619078067976</v>
          </cell>
          <cell r="AW17">
            <v>40725</v>
          </cell>
        </row>
        <row r="18">
          <cell r="C18" t="str">
            <v>BYD - 125-145 P6-18 Series _S</v>
          </cell>
          <cell r="D18" t="str">
            <v>Standard Claw</v>
          </cell>
          <cell r="E18">
            <v>5000005</v>
          </cell>
          <cell r="F18">
            <v>26.614173228346459</v>
          </cell>
          <cell r="G18">
            <v>58.346456692913392</v>
          </cell>
          <cell r="H18">
            <v>1.9685039370078741</v>
          </cell>
          <cell r="I18">
            <v>200010703</v>
          </cell>
          <cell r="J18">
            <v>200010803</v>
          </cell>
          <cell r="K18">
            <v>200013803</v>
          </cell>
          <cell r="L18">
            <v>200016303</v>
          </cell>
          <cell r="M18">
            <v>500012562</v>
          </cell>
          <cell r="N18">
            <v>500012662</v>
          </cell>
          <cell r="O18">
            <v>500012563</v>
          </cell>
          <cell r="P18">
            <v>500012663</v>
          </cell>
          <cell r="Q18">
            <v>18.247619837067095</v>
          </cell>
          <cell r="R18">
            <v>16.273774191368283</v>
          </cell>
          <cell r="S18">
            <v>7.6310573243773048</v>
          </cell>
          <cell r="T18">
            <v>7.6310573243773048</v>
          </cell>
          <cell r="U18">
            <v>18.247619837067095</v>
          </cell>
          <cell r="V18">
            <v>16.273774191368283</v>
          </cell>
          <cell r="W18">
            <v>30</v>
          </cell>
          <cell r="X18">
            <v>22.858267716535437</v>
          </cell>
          <cell r="Y18">
            <v>59.817913385826778</v>
          </cell>
          <cell r="Z18">
            <v>22.858267716535437</v>
          </cell>
          <cell r="AA18">
            <v>59.817913385826778</v>
          </cell>
          <cell r="AB18">
            <v>22.858267716535437</v>
          </cell>
          <cell r="AC18">
            <v>59.817913385826778</v>
          </cell>
          <cell r="AD18">
            <v>59.817913385826778</v>
          </cell>
          <cell r="AE18">
            <v>58.846456692913392</v>
          </cell>
          <cell r="AF18">
            <v>16.846456692913389</v>
          </cell>
          <cell r="AG18">
            <v>27.484251968503941</v>
          </cell>
          <cell r="AH18" t="str">
            <v>Y</v>
          </cell>
          <cell r="AI18">
            <v>28.664999999999999</v>
          </cell>
          <cell r="AJ18">
            <v>13</v>
          </cell>
          <cell r="AK18" t="str">
            <v>TBD</v>
          </cell>
          <cell r="AL18" t="str">
            <v>Y</v>
          </cell>
          <cell r="AM18">
            <v>200018401</v>
          </cell>
          <cell r="AN18">
            <v>200028401</v>
          </cell>
          <cell r="AO18">
            <v>200018301</v>
          </cell>
          <cell r="AP18">
            <v>200028301</v>
          </cell>
          <cell r="AQ18">
            <v>200018201</v>
          </cell>
          <cell r="AR18">
            <v>200028201</v>
          </cell>
          <cell r="AS18">
            <v>13.22222222222222</v>
          </cell>
          <cell r="AT18">
            <v>29.900540492346806</v>
          </cell>
          <cell r="AU18">
            <v>22.043127715837667</v>
          </cell>
          <cell r="AV18">
            <v>14.942094956886809</v>
          </cell>
          <cell r="AW18">
            <v>40966</v>
          </cell>
        </row>
        <row r="19">
          <cell r="C19" t="str">
            <v>BYD - 225-245 P6A-30 Series_S</v>
          </cell>
          <cell r="D19" t="str">
            <v>Standard Claw</v>
          </cell>
          <cell r="E19">
            <v>5000005</v>
          </cell>
          <cell r="F19">
            <v>39.055118110236222</v>
          </cell>
          <cell r="G19">
            <v>64.566929133858267</v>
          </cell>
          <cell r="H19">
            <v>1.9685039370078741</v>
          </cell>
          <cell r="I19">
            <v>200010704</v>
          </cell>
          <cell r="J19">
            <v>200010804</v>
          </cell>
          <cell r="K19">
            <v>200013804</v>
          </cell>
          <cell r="L19">
            <v>200016304</v>
          </cell>
          <cell r="M19">
            <v>500012568</v>
          </cell>
          <cell r="N19">
            <v>500012668</v>
          </cell>
          <cell r="O19">
            <v>500012569</v>
          </cell>
          <cell r="P19">
            <v>500012669</v>
          </cell>
          <cell r="Q19">
            <v>11.698754267040043</v>
          </cell>
          <cell r="R19">
            <v>10.455004839041191</v>
          </cell>
          <cell r="S19">
            <v>4.9330437584696041</v>
          </cell>
          <cell r="T19">
            <v>4.9330437584696041</v>
          </cell>
          <cell r="U19">
            <v>11.698754267040043</v>
          </cell>
          <cell r="V19">
            <v>10.455004839041191</v>
          </cell>
          <cell r="W19">
            <v>30</v>
          </cell>
          <cell r="X19">
            <v>35.2992125984252</v>
          </cell>
          <cell r="Y19">
            <v>66.038385826771659</v>
          </cell>
          <cell r="Z19">
            <v>35.2992125984252</v>
          </cell>
          <cell r="AA19">
            <v>66.038385826771659</v>
          </cell>
          <cell r="AB19">
            <v>35.2992125984252</v>
          </cell>
          <cell r="AC19">
            <v>66.038385826771659</v>
          </cell>
          <cell r="AD19">
            <v>66.038385826771659</v>
          </cell>
          <cell r="AE19">
            <v>65.066929133858267</v>
          </cell>
          <cell r="AF19">
            <v>23.066929133858274</v>
          </cell>
          <cell r="AG19">
            <v>39.925196850393704</v>
          </cell>
          <cell r="AH19" t="str">
            <v>Y</v>
          </cell>
          <cell r="AI19">
            <v>43.218000000000004</v>
          </cell>
          <cell r="AJ19">
            <v>19.600000000000001</v>
          </cell>
          <cell r="AK19" t="str">
            <v>TBD</v>
          </cell>
          <cell r="AL19" t="str">
            <v>Y</v>
          </cell>
          <cell r="AM19">
            <v>200018403</v>
          </cell>
          <cell r="AN19">
            <v>200028403</v>
          </cell>
          <cell r="AO19">
            <v>200018303</v>
          </cell>
          <cell r="AP19">
            <v>200028303</v>
          </cell>
          <cell r="AQ19">
            <v>200018203</v>
          </cell>
          <cell r="AR19">
            <v>200028203</v>
          </cell>
          <cell r="AS19">
            <v>14.555555555555557</v>
          </cell>
          <cell r="AT19">
            <v>20.069602586497279</v>
          </cell>
          <cell r="AU19">
            <v>14.97260437224279</v>
          </cell>
          <cell r="AV19">
            <v>10.224017732239455</v>
          </cell>
          <cell r="AW19">
            <v>40966</v>
          </cell>
        </row>
        <row r="20">
          <cell r="C20" t="str">
            <v>BYD - 260-300 P6-36 Series_S</v>
          </cell>
          <cell r="D20" t="str">
            <v>Standard Claw</v>
          </cell>
          <cell r="E20">
            <v>5000005</v>
          </cell>
          <cell r="F20">
            <v>39.055118110236222</v>
          </cell>
          <cell r="G20">
            <v>77.00787401574803</v>
          </cell>
          <cell r="H20">
            <v>1.9685039370078741</v>
          </cell>
          <cell r="I20">
            <v>200010707</v>
          </cell>
          <cell r="J20">
            <v>200010807</v>
          </cell>
          <cell r="K20">
            <v>200013807</v>
          </cell>
          <cell r="L20">
            <v>200016307</v>
          </cell>
          <cell r="M20">
            <v>500012581</v>
          </cell>
          <cell r="N20">
            <v>500012681</v>
          </cell>
          <cell r="O20">
            <v>500012581</v>
          </cell>
          <cell r="P20">
            <v>500012681</v>
          </cell>
          <cell r="Q20">
            <v>11.698754267040043</v>
          </cell>
          <cell r="R20">
            <v>10.455004839041191</v>
          </cell>
          <cell r="S20">
            <v>4.9330437584696041</v>
          </cell>
          <cell r="T20">
            <v>4.9330437584696041</v>
          </cell>
          <cell r="U20">
            <v>11.698754267040043</v>
          </cell>
          <cell r="V20">
            <v>10.455004839041191</v>
          </cell>
          <cell r="W20">
            <v>30</v>
          </cell>
          <cell r="X20">
            <v>35.2992125984252</v>
          </cell>
          <cell r="Y20">
            <v>78.479330708661422</v>
          </cell>
          <cell r="Z20">
            <v>35.2992125984252</v>
          </cell>
          <cell r="AA20">
            <v>78.479330708661422</v>
          </cell>
          <cell r="AB20">
            <v>35.2992125984252</v>
          </cell>
          <cell r="AC20">
            <v>78.479330708661422</v>
          </cell>
          <cell r="AD20">
            <v>78.479330708661422</v>
          </cell>
          <cell r="AE20">
            <v>77.507874015748044</v>
          </cell>
          <cell r="AF20">
            <v>35.507874015748037</v>
          </cell>
          <cell r="AG20">
            <v>39.925196850393704</v>
          </cell>
          <cell r="AH20" t="str">
            <v>Y</v>
          </cell>
          <cell r="AI20">
            <v>50.935500000000005</v>
          </cell>
          <cell r="AJ20">
            <v>23.1</v>
          </cell>
          <cell r="AK20" t="str">
            <v>TBD</v>
          </cell>
          <cell r="AL20" t="str">
            <v>Y</v>
          </cell>
          <cell r="AM20">
            <v>200018407</v>
          </cell>
          <cell r="AN20">
            <v>200028407</v>
          </cell>
          <cell r="AO20">
            <v>200018307</v>
          </cell>
          <cell r="AP20">
            <v>200028307</v>
          </cell>
          <cell r="AQ20">
            <v>200018207</v>
          </cell>
          <cell r="AR20">
            <v>200028207</v>
          </cell>
          <cell r="AS20">
            <v>17.222222222222221</v>
          </cell>
          <cell r="AT20">
            <v>20.069602586497279</v>
          </cell>
          <cell r="AU20">
            <v>14.97260437224279</v>
          </cell>
          <cell r="AV20">
            <v>10.224017732239455</v>
          </cell>
          <cell r="AW20">
            <v>40966</v>
          </cell>
        </row>
        <row r="21">
          <cell r="C21" t="str">
            <v>Canadian Solar - CS5P-M-P 215-260_S</v>
          </cell>
          <cell r="D21" t="str">
            <v>Standard Claw</v>
          </cell>
          <cell r="E21">
            <v>5000005</v>
          </cell>
          <cell r="F21">
            <v>41.771653543307089</v>
          </cell>
          <cell r="G21">
            <v>63.031496062992133</v>
          </cell>
          <cell r="H21">
            <v>1.5748031496062993</v>
          </cell>
          <cell r="I21">
            <v>200010704</v>
          </cell>
          <cell r="J21">
            <v>200010804</v>
          </cell>
          <cell r="K21">
            <v>200013804</v>
          </cell>
          <cell r="L21">
            <v>200016304</v>
          </cell>
          <cell r="M21">
            <v>500012567</v>
          </cell>
          <cell r="N21">
            <v>500012667</v>
          </cell>
          <cell r="O21">
            <v>500012567</v>
          </cell>
          <cell r="P21">
            <v>500012667</v>
          </cell>
          <cell r="Q21">
            <v>10.852232552277188</v>
          </cell>
          <cell r="R21">
            <v>9.7004006207277769</v>
          </cell>
          <cell r="S21">
            <v>4.5797556807533004</v>
          </cell>
          <cell r="T21">
            <v>4.5797556807533004</v>
          </cell>
          <cell r="U21">
            <v>10.852232552277188</v>
          </cell>
          <cell r="V21">
            <v>9.7004006207277769</v>
          </cell>
          <cell r="W21">
            <v>50</v>
          </cell>
          <cell r="X21">
            <v>38.015748031496067</v>
          </cell>
          <cell r="Y21">
            <v>64.502952755905511</v>
          </cell>
          <cell r="Z21">
            <v>38.015748031496067</v>
          </cell>
          <cell r="AA21">
            <v>64.502952755905511</v>
          </cell>
          <cell r="AB21">
            <v>38.015748031496067</v>
          </cell>
          <cell r="AC21">
            <v>64.502952755905511</v>
          </cell>
          <cell r="AD21">
            <v>64.502952755905511</v>
          </cell>
          <cell r="AE21">
            <v>63.531496062992133</v>
          </cell>
          <cell r="AF21">
            <v>21.531496062992129</v>
          </cell>
          <cell r="AG21">
            <v>42.641732283464563</v>
          </cell>
          <cell r="AH21" t="str">
            <v>Y</v>
          </cell>
          <cell r="AI21">
            <v>41.9</v>
          </cell>
          <cell r="AJ21">
            <v>19.010000000000002</v>
          </cell>
          <cell r="AK21" t="str">
            <v>TBD</v>
          </cell>
          <cell r="AL21" t="str">
            <v>Y</v>
          </cell>
          <cell r="AM21">
            <v>200018402</v>
          </cell>
          <cell r="AN21">
            <v>200028402</v>
          </cell>
          <cell r="AO21">
            <v>200018302</v>
          </cell>
          <cell r="AP21">
            <v>200028302</v>
          </cell>
          <cell r="AQ21">
            <v>200018202</v>
          </cell>
          <cell r="AR21">
            <v>200028202</v>
          </cell>
          <cell r="AS21">
            <v>13.888888888888888</v>
          </cell>
          <cell r="AT21">
            <v>18.741559925897658</v>
          </cell>
          <cell r="AU21">
            <v>13.998604031809133</v>
          </cell>
          <cell r="AV21">
            <v>9.5663500916554796</v>
          </cell>
          <cell r="AW21">
            <v>41228</v>
          </cell>
        </row>
        <row r="22">
          <cell r="C22" t="str">
            <v>Canadian Solar - CS6P-M-P 200-250_S</v>
          </cell>
          <cell r="D22" t="str">
            <v>Standard Claw</v>
          </cell>
          <cell r="E22">
            <v>5000005</v>
          </cell>
          <cell r="F22">
            <v>38.661417322834644</v>
          </cell>
          <cell r="G22">
            <v>64.488188976377955</v>
          </cell>
          <cell r="H22">
            <v>1.5748031496062993</v>
          </cell>
          <cell r="I22">
            <v>200010704</v>
          </cell>
          <cell r="J22">
            <v>200010804</v>
          </cell>
          <cell r="K22">
            <v>200013804</v>
          </cell>
          <cell r="L22">
            <v>200016304</v>
          </cell>
          <cell r="M22">
            <v>500012568</v>
          </cell>
          <cell r="N22">
            <v>500012668</v>
          </cell>
          <cell r="O22">
            <v>500012569</v>
          </cell>
          <cell r="P22">
            <v>500012669</v>
          </cell>
          <cell r="Q22">
            <v>11.832602308505239</v>
          </cell>
          <cell r="R22">
            <v>10.574276773282593</v>
          </cell>
          <cell r="S22">
            <v>4.9888240185700683</v>
          </cell>
          <cell r="T22">
            <v>4.9888240185700683</v>
          </cell>
          <cell r="U22">
            <v>11.832602308505239</v>
          </cell>
          <cell r="V22">
            <v>10.574276773282593</v>
          </cell>
          <cell r="W22">
            <v>50</v>
          </cell>
          <cell r="X22">
            <v>34.905511811023622</v>
          </cell>
          <cell r="Y22">
            <v>65.959645669291348</v>
          </cell>
          <cell r="Z22">
            <v>34.905511811023622</v>
          </cell>
          <cell r="AA22">
            <v>65.959645669291348</v>
          </cell>
          <cell r="AB22">
            <v>34.905511811023622</v>
          </cell>
          <cell r="AC22">
            <v>65.959645669291348</v>
          </cell>
          <cell r="AD22">
            <v>65.959645669291348</v>
          </cell>
          <cell r="AE22">
            <v>64.988188976377955</v>
          </cell>
          <cell r="AF22">
            <v>22.988188976377959</v>
          </cell>
          <cell r="AG22">
            <v>39.531496062992126</v>
          </cell>
          <cell r="AH22" t="str">
            <v>Y</v>
          </cell>
          <cell r="AI22">
            <v>41.9</v>
          </cell>
          <cell r="AJ22">
            <v>19.010000000000002</v>
          </cell>
          <cell r="AK22" t="str">
            <v>TBD</v>
          </cell>
          <cell r="AL22" t="str">
            <v>Y</v>
          </cell>
          <cell r="AM22">
            <v>200018403</v>
          </cell>
          <cell r="AN22">
            <v>200028403</v>
          </cell>
          <cell r="AO22">
            <v>200018303</v>
          </cell>
          <cell r="AP22">
            <v>200028303</v>
          </cell>
          <cell r="AQ22">
            <v>200018203</v>
          </cell>
          <cell r="AR22">
            <v>200028203</v>
          </cell>
          <cell r="AS22">
            <v>14.555555555555557</v>
          </cell>
          <cell r="AT22">
            <v>20.278215219832653</v>
          </cell>
          <cell r="AU22">
            <v>15.125263254990072</v>
          </cell>
          <cell r="AV22">
            <v>10.326951853502411</v>
          </cell>
          <cell r="AW22">
            <v>41317</v>
          </cell>
        </row>
        <row r="23">
          <cell r="C23" t="str">
            <v>Canadian Solar - CS6X-265-295_X</v>
          </cell>
          <cell r="D23" t="str">
            <v>Long Claw (Canadian Solar CS6X)</v>
          </cell>
          <cell r="E23">
            <v>500003905</v>
          </cell>
          <cell r="F23">
            <v>38.661417322834644</v>
          </cell>
          <cell r="G23">
            <v>76.929133858267718</v>
          </cell>
          <cell r="H23">
            <v>1.5748031496062993</v>
          </cell>
          <cell r="I23">
            <v>200010707</v>
          </cell>
          <cell r="J23">
            <v>200010807</v>
          </cell>
          <cell r="K23">
            <v>200013807</v>
          </cell>
          <cell r="L23">
            <v>200016307</v>
          </cell>
          <cell r="M23">
            <v>500012580</v>
          </cell>
          <cell r="N23">
            <v>500012680</v>
          </cell>
          <cell r="O23">
            <v>500012580</v>
          </cell>
          <cell r="P23">
            <v>500012680</v>
          </cell>
          <cell r="Q23">
            <v>11.042069752569891</v>
          </cell>
          <cell r="R23">
            <v>9.8696642249551303</v>
          </cell>
          <cell r="S23">
            <v>4.6590567311554425</v>
          </cell>
          <cell r="T23">
            <v>4.6590567311554425</v>
          </cell>
          <cell r="U23">
            <v>11.042069752569891</v>
          </cell>
          <cell r="V23">
            <v>9.8696642249551303</v>
          </cell>
          <cell r="W23">
            <v>55</v>
          </cell>
          <cell r="X23">
            <v>37.370078740157481</v>
          </cell>
          <cell r="Y23">
            <v>77.684055118110237</v>
          </cell>
          <cell r="Z23">
            <v>37.370078740157481</v>
          </cell>
          <cell r="AA23">
            <v>77.684055118110237</v>
          </cell>
          <cell r="AB23">
            <v>37.370078740157481</v>
          </cell>
          <cell r="AC23">
            <v>77.684055118110237</v>
          </cell>
          <cell r="AD23">
            <v>77.684055118110237</v>
          </cell>
          <cell r="AE23">
            <v>77.429133858267718</v>
          </cell>
          <cell r="AF23">
            <v>35.429133858267726</v>
          </cell>
          <cell r="AG23">
            <v>39.531496062992126</v>
          </cell>
          <cell r="AH23" t="str">
            <v>Y</v>
          </cell>
          <cell r="AI23">
            <v>50.7</v>
          </cell>
          <cell r="AJ23">
            <v>23</v>
          </cell>
          <cell r="AK23" t="str">
            <v>TBD</v>
          </cell>
          <cell r="AL23" t="str">
            <v>Y</v>
          </cell>
          <cell r="AM23">
            <v>200018407</v>
          </cell>
          <cell r="AN23">
            <v>200028407</v>
          </cell>
          <cell r="AO23">
            <v>200018307</v>
          </cell>
          <cell r="AP23">
            <v>200028307</v>
          </cell>
          <cell r="AQ23">
            <v>200018207</v>
          </cell>
          <cell r="AR23">
            <v>200028207</v>
          </cell>
          <cell r="AS23">
            <v>17.222222222222221</v>
          </cell>
          <cell r="AT23">
            <v>20.278215219832653</v>
          </cell>
          <cell r="AU23">
            <v>15.125263254990072</v>
          </cell>
          <cell r="AV23">
            <v>10.326951853502411</v>
          </cell>
          <cell r="AW23">
            <v>41317</v>
          </cell>
        </row>
        <row r="24">
          <cell r="C24" t="str">
            <v>Canadian Solar - CS6X-265-295_L</v>
          </cell>
          <cell r="D24" t="str">
            <v>2nd Gen Long Claw (Canadian Solar CS6X)</v>
          </cell>
          <cell r="E24">
            <v>500014405</v>
          </cell>
          <cell r="F24">
            <v>38.661417322834644</v>
          </cell>
          <cell r="G24">
            <v>76.929133858267718</v>
          </cell>
          <cell r="H24">
            <v>1.5748031496062993</v>
          </cell>
          <cell r="I24">
            <v>200010707</v>
          </cell>
          <cell r="J24">
            <v>200010807</v>
          </cell>
          <cell r="K24">
            <v>200013807</v>
          </cell>
          <cell r="L24">
            <v>200016307</v>
          </cell>
          <cell r="M24">
            <v>500012580</v>
          </cell>
          <cell r="N24">
            <v>500012680</v>
          </cell>
          <cell r="O24">
            <v>500012580</v>
          </cell>
          <cell r="P24">
            <v>500012680</v>
          </cell>
          <cell r="Q24">
            <v>10.675449853837796</v>
          </cell>
          <cell r="R24">
            <v>9.5427569184959005</v>
          </cell>
          <cell r="S24">
            <v>4.505870501453856</v>
          </cell>
          <cell r="T24">
            <v>4.505870501453856</v>
          </cell>
          <cell r="U24">
            <v>10.675449853837796</v>
          </cell>
          <cell r="V24">
            <v>9.5427569184959005</v>
          </cell>
          <cell r="W24">
            <v>55</v>
          </cell>
          <cell r="X24">
            <v>38.637795275590555</v>
          </cell>
          <cell r="Y24">
            <v>77.684055118110237</v>
          </cell>
          <cell r="Z24">
            <v>38.637795275590555</v>
          </cell>
          <cell r="AA24">
            <v>77.684055118110237</v>
          </cell>
          <cell r="AB24">
            <v>38.637795275590555</v>
          </cell>
          <cell r="AC24">
            <v>77.684055118110237</v>
          </cell>
          <cell r="AD24">
            <v>77.684055118110237</v>
          </cell>
          <cell r="AE24">
            <v>77.429133858267718</v>
          </cell>
          <cell r="AF24">
            <v>35.429133858267726</v>
          </cell>
          <cell r="AG24">
            <v>39.531496062992126</v>
          </cell>
          <cell r="AH24" t="str">
            <v>Y</v>
          </cell>
          <cell r="AI24">
            <v>50.7</v>
          </cell>
          <cell r="AJ24">
            <v>23</v>
          </cell>
          <cell r="AK24" t="str">
            <v>TBD</v>
          </cell>
          <cell r="AL24" t="str">
            <v>Y</v>
          </cell>
          <cell r="AM24">
            <v>200018407</v>
          </cell>
          <cell r="AN24">
            <v>200028407</v>
          </cell>
          <cell r="AO24">
            <v>200018307</v>
          </cell>
          <cell r="AP24">
            <v>200028307</v>
          </cell>
          <cell r="AQ24">
            <v>200018207</v>
          </cell>
          <cell r="AR24">
            <v>200028207</v>
          </cell>
          <cell r="AS24">
            <v>17.222222222222221</v>
          </cell>
          <cell r="AT24">
            <v>20.278215219832653</v>
          </cell>
          <cell r="AU24">
            <v>15.125263254990072</v>
          </cell>
          <cell r="AV24">
            <v>10.326951853502411</v>
          </cell>
          <cell r="AW24">
            <v>41317</v>
          </cell>
        </row>
        <row r="25">
          <cell r="C25" t="str">
            <v>Canadian Solar - CS6P-220-240 MX-PX_S</v>
          </cell>
          <cell r="D25" t="str">
            <v>Standard Claw</v>
          </cell>
          <cell r="E25">
            <v>5000005</v>
          </cell>
          <cell r="F25">
            <v>38.661417322834644</v>
          </cell>
          <cell r="G25">
            <v>64.488188976377955</v>
          </cell>
          <cell r="H25">
            <v>1.5748031496062993</v>
          </cell>
          <cell r="I25">
            <v>200010704</v>
          </cell>
          <cell r="J25">
            <v>200010804</v>
          </cell>
          <cell r="K25">
            <v>200013804</v>
          </cell>
          <cell r="L25">
            <v>200016304</v>
          </cell>
          <cell r="M25">
            <v>500012568</v>
          </cell>
          <cell r="N25">
            <v>500012668</v>
          </cell>
          <cell r="O25">
            <v>500012569</v>
          </cell>
          <cell r="P25">
            <v>500012669</v>
          </cell>
          <cell r="Q25">
            <v>11.832602308505239</v>
          </cell>
          <cell r="R25">
            <v>10.574276773282593</v>
          </cell>
          <cell r="S25">
            <v>4.9888240185700683</v>
          </cell>
          <cell r="T25">
            <v>4.9888240185700683</v>
          </cell>
          <cell r="U25">
            <v>11.832602308505239</v>
          </cell>
          <cell r="V25">
            <v>10.574276773282593</v>
          </cell>
          <cell r="W25">
            <v>50</v>
          </cell>
          <cell r="X25">
            <v>34.905511811023622</v>
          </cell>
          <cell r="Y25">
            <v>65.959645669291348</v>
          </cell>
          <cell r="Z25">
            <v>34.905511811023622</v>
          </cell>
          <cell r="AA25">
            <v>65.959645669291348</v>
          </cell>
          <cell r="AB25">
            <v>34.905511811023622</v>
          </cell>
          <cell r="AC25">
            <v>65.959645669291348</v>
          </cell>
          <cell r="AD25">
            <v>65.959645669291348</v>
          </cell>
          <cell r="AE25">
            <v>64.988188976377955</v>
          </cell>
          <cell r="AF25">
            <v>22.988188976377959</v>
          </cell>
          <cell r="AG25">
            <v>39.531496062992126</v>
          </cell>
          <cell r="AH25" t="str">
            <v>Y</v>
          </cell>
          <cell r="AI25">
            <v>50.7</v>
          </cell>
          <cell r="AJ25">
            <v>23</v>
          </cell>
          <cell r="AK25" t="str">
            <v>TBD</v>
          </cell>
          <cell r="AL25" t="str">
            <v>Y</v>
          </cell>
          <cell r="AM25">
            <v>200018403</v>
          </cell>
          <cell r="AN25">
            <v>200028403</v>
          </cell>
          <cell r="AO25">
            <v>200018303</v>
          </cell>
          <cell r="AP25">
            <v>200028303</v>
          </cell>
          <cell r="AQ25">
            <v>200018203</v>
          </cell>
          <cell r="AR25">
            <v>200028203</v>
          </cell>
          <cell r="AS25">
            <v>14.555555555555557</v>
          </cell>
          <cell r="AT25">
            <v>20.278215219832653</v>
          </cell>
          <cell r="AU25">
            <v>15.125263254990072</v>
          </cell>
          <cell r="AV25">
            <v>10.326951853502411</v>
          </cell>
          <cell r="AW25">
            <v>41317</v>
          </cell>
        </row>
        <row r="26">
          <cell r="C26" t="str">
            <v>Canadian Solar - CS5A-M 175-205_S</v>
          </cell>
          <cell r="D26" t="str">
            <v>Standard Claw</v>
          </cell>
          <cell r="E26">
            <v>5000005</v>
          </cell>
          <cell r="F26">
            <v>31.811023622047244</v>
          </cell>
          <cell r="G26">
            <v>62.204724409448822</v>
          </cell>
          <cell r="H26">
            <v>1.5748031496062993</v>
          </cell>
          <cell r="I26">
            <v>200010704</v>
          </cell>
          <cell r="J26">
            <v>200010804</v>
          </cell>
          <cell r="K26">
            <v>200013804</v>
          </cell>
          <cell r="L26">
            <v>200016304</v>
          </cell>
          <cell r="M26">
            <v>500012566</v>
          </cell>
          <cell r="N26">
            <v>500012666</v>
          </cell>
          <cell r="O26">
            <v>500012566</v>
          </cell>
          <cell r="P26">
            <v>500012666</v>
          </cell>
          <cell r="Q26">
            <v>14.780819563929326</v>
          </cell>
          <cell r="R26">
            <v>13.198114568872393</v>
          </cell>
          <cell r="S26">
            <v>6.211295317501194</v>
          </cell>
          <cell r="T26">
            <v>6.211295317501194</v>
          </cell>
          <cell r="U26">
            <v>14.780819563929326</v>
          </cell>
          <cell r="V26">
            <v>13.198114568872393</v>
          </cell>
          <cell r="W26">
            <v>50</v>
          </cell>
          <cell r="X26">
            <v>28.055118110236222</v>
          </cell>
          <cell r="Y26">
            <v>63.676181102362207</v>
          </cell>
          <cell r="Z26">
            <v>28.055118110236222</v>
          </cell>
          <cell r="AA26">
            <v>63.676181102362207</v>
          </cell>
          <cell r="AB26">
            <v>28.055118110236222</v>
          </cell>
          <cell r="AC26">
            <v>63.676181102362207</v>
          </cell>
          <cell r="AD26">
            <v>63.676181102362207</v>
          </cell>
          <cell r="AE26">
            <v>62.704724409448822</v>
          </cell>
          <cell r="AF26">
            <v>20.704724409448822</v>
          </cell>
          <cell r="AG26">
            <v>32.681102362204726</v>
          </cell>
          <cell r="AH26" t="str">
            <v>Y</v>
          </cell>
          <cell r="AI26">
            <v>34.839000000000006</v>
          </cell>
          <cell r="AJ26">
            <v>15.8</v>
          </cell>
          <cell r="AK26" t="str">
            <v>TBD</v>
          </cell>
          <cell r="AL26" t="str">
            <v>Y</v>
          </cell>
          <cell r="AM26">
            <v>200018402</v>
          </cell>
          <cell r="AN26">
            <v>200028402</v>
          </cell>
          <cell r="AO26">
            <v>200018302</v>
          </cell>
          <cell r="AP26">
            <v>200028302</v>
          </cell>
          <cell r="AQ26">
            <v>200018202</v>
          </cell>
          <cell r="AR26">
            <v>200028202</v>
          </cell>
          <cell r="AS26">
            <v>13.888888888888888</v>
          </cell>
          <cell r="AT26">
            <v>24.785769092963804</v>
          </cell>
          <cell r="AU26">
            <v>18.39852585667062</v>
          </cell>
          <cell r="AV26">
            <v>12.523577389800897</v>
          </cell>
          <cell r="AW26">
            <v>41123</v>
          </cell>
        </row>
        <row r="27">
          <cell r="C27" t="str">
            <v>Canadian Solar - CS5A-M 160-195_S</v>
          </cell>
          <cell r="D27" t="str">
            <v>Standard Claw</v>
          </cell>
          <cell r="E27">
            <v>5000005</v>
          </cell>
          <cell r="F27">
            <v>31.535433070866144</v>
          </cell>
          <cell r="G27">
            <v>62.795275590551185</v>
          </cell>
          <cell r="H27">
            <v>1.5748031496062993</v>
          </cell>
          <cell r="I27">
            <v>200010704</v>
          </cell>
          <cell r="J27">
            <v>200010804</v>
          </cell>
          <cell r="K27">
            <v>200013804</v>
          </cell>
          <cell r="L27">
            <v>200016304</v>
          </cell>
          <cell r="M27">
            <v>500012567</v>
          </cell>
          <cell r="N27">
            <v>500012667</v>
          </cell>
          <cell r="O27">
            <v>500012567</v>
          </cell>
          <cell r="P27">
            <v>500012667</v>
          </cell>
          <cell r="Q27">
            <v>14.930848550651039</v>
          </cell>
          <cell r="R27">
            <v>13.331450821497357</v>
          </cell>
          <cell r="S27">
            <v>6.2731614881622582</v>
          </cell>
          <cell r="T27">
            <v>6.2731614881622582</v>
          </cell>
          <cell r="U27">
            <v>14.930848550651039</v>
          </cell>
          <cell r="V27">
            <v>13.331450821497357</v>
          </cell>
          <cell r="W27">
            <v>50</v>
          </cell>
          <cell r="X27">
            <v>27.779527559055122</v>
          </cell>
          <cell r="Y27">
            <v>64.266732283464577</v>
          </cell>
          <cell r="Z27">
            <v>27.779527559055122</v>
          </cell>
          <cell r="AA27">
            <v>64.266732283464577</v>
          </cell>
          <cell r="AB27">
            <v>27.779527559055122</v>
          </cell>
          <cell r="AC27">
            <v>64.266732283464577</v>
          </cell>
          <cell r="AD27">
            <v>64.266732283464577</v>
          </cell>
          <cell r="AE27">
            <v>63.295275590551185</v>
          </cell>
          <cell r="AF27">
            <v>21.295275590551185</v>
          </cell>
          <cell r="AG27">
            <v>32.405511811023622</v>
          </cell>
          <cell r="AH27" t="str">
            <v>Y</v>
          </cell>
          <cell r="AI27">
            <v>34.177500000000002</v>
          </cell>
          <cell r="AJ27">
            <v>15.5</v>
          </cell>
          <cell r="AK27" t="str">
            <v>TBD</v>
          </cell>
          <cell r="AL27" t="str">
            <v>Y</v>
          </cell>
          <cell r="AM27">
            <v>200018402</v>
          </cell>
          <cell r="AN27">
            <v>200028402</v>
          </cell>
          <cell r="AO27">
            <v>200018302</v>
          </cell>
          <cell r="AP27">
            <v>200028302</v>
          </cell>
          <cell r="AQ27">
            <v>200018202</v>
          </cell>
          <cell r="AR27">
            <v>200028202</v>
          </cell>
          <cell r="AS27">
            <v>13.888888888888888</v>
          </cell>
          <cell r="AT27">
            <v>25.010976719740729</v>
          </cell>
          <cell r="AU27">
            <v>18.560681030599426</v>
          </cell>
          <cell r="AV27">
            <v>12.631835318037343</v>
          </cell>
          <cell r="AW27">
            <v>41123</v>
          </cell>
        </row>
        <row r="28">
          <cell r="C28" t="str">
            <v>Canadian Solar - CS5T-M 140-150_S</v>
          </cell>
          <cell r="D28" t="str">
            <v>Standard Claw</v>
          </cell>
          <cell r="E28">
            <v>5000005</v>
          </cell>
          <cell r="F28">
            <v>38.661417322834644</v>
          </cell>
          <cell r="G28">
            <v>64.488188976377955</v>
          </cell>
          <cell r="H28">
            <v>1.5748031496062993</v>
          </cell>
          <cell r="I28">
            <v>200010704</v>
          </cell>
          <cell r="J28">
            <v>200010804</v>
          </cell>
          <cell r="K28">
            <v>200013804</v>
          </cell>
          <cell r="L28">
            <v>200016304</v>
          </cell>
          <cell r="M28">
            <v>500012568</v>
          </cell>
          <cell r="N28">
            <v>500012668</v>
          </cell>
          <cell r="O28">
            <v>500012569</v>
          </cell>
          <cell r="P28">
            <v>500012669</v>
          </cell>
          <cell r="Q28">
            <v>11.832602308505239</v>
          </cell>
          <cell r="R28">
            <v>10.574276773282593</v>
          </cell>
          <cell r="S28">
            <v>4.9888240185700683</v>
          </cell>
          <cell r="T28">
            <v>4.9888240185700683</v>
          </cell>
          <cell r="U28">
            <v>11.832602308505239</v>
          </cell>
          <cell r="V28">
            <v>10.574276773282593</v>
          </cell>
          <cell r="W28">
            <v>50</v>
          </cell>
          <cell r="X28">
            <v>34.905511811023622</v>
          </cell>
          <cell r="Y28">
            <v>65.959645669291348</v>
          </cell>
          <cell r="Z28">
            <v>34.905511811023622</v>
          </cell>
          <cell r="AA28">
            <v>65.959645669291348</v>
          </cell>
          <cell r="AB28">
            <v>34.905511811023622</v>
          </cell>
          <cell r="AC28">
            <v>65.959645669291348</v>
          </cell>
          <cell r="AD28">
            <v>65.959645669291348</v>
          </cell>
          <cell r="AE28">
            <v>64.988188976377955</v>
          </cell>
          <cell r="AF28">
            <v>22.988188976377959</v>
          </cell>
          <cell r="AG28">
            <v>39.531496062992126</v>
          </cell>
          <cell r="AH28" t="str">
            <v>Y</v>
          </cell>
          <cell r="AI28">
            <v>44.1</v>
          </cell>
          <cell r="AJ28">
            <v>20</v>
          </cell>
          <cell r="AK28" t="str">
            <v>TBD</v>
          </cell>
          <cell r="AL28" t="str">
            <v>Y</v>
          </cell>
          <cell r="AM28">
            <v>200018403</v>
          </cell>
          <cell r="AN28">
            <v>200028403</v>
          </cell>
          <cell r="AO28">
            <v>200018303</v>
          </cell>
          <cell r="AP28">
            <v>200028303</v>
          </cell>
          <cell r="AQ28">
            <v>200018203</v>
          </cell>
          <cell r="AR28">
            <v>200028203</v>
          </cell>
          <cell r="AS28">
            <v>14.555555555555557</v>
          </cell>
          <cell r="AT28">
            <v>20.278215219832653</v>
          </cell>
          <cell r="AU28">
            <v>15.125263254990072</v>
          </cell>
          <cell r="AV28">
            <v>10.326951853502411</v>
          </cell>
          <cell r="AW28">
            <v>41123</v>
          </cell>
        </row>
        <row r="29">
          <cell r="C29" t="str">
            <v>Canadian Solar - CS6A-M-P 160-190_S</v>
          </cell>
          <cell r="D29" t="str">
            <v>Standard Claw</v>
          </cell>
          <cell r="E29">
            <v>5000005</v>
          </cell>
          <cell r="F29">
            <v>38.661417322834644</v>
          </cell>
          <cell r="G29">
            <v>52.125984251968504</v>
          </cell>
          <cell r="H29">
            <v>1.5748031496062993</v>
          </cell>
          <cell r="I29">
            <v>200010701</v>
          </cell>
          <cell r="J29">
            <v>200010801</v>
          </cell>
          <cell r="K29">
            <v>200013801</v>
          </cell>
          <cell r="L29">
            <v>200016301</v>
          </cell>
          <cell r="M29">
            <v>500012556</v>
          </cell>
          <cell r="N29">
            <v>500012656</v>
          </cell>
          <cell r="O29">
            <v>500012556</v>
          </cell>
          <cell r="P29">
            <v>500012656</v>
          </cell>
          <cell r="Q29">
            <v>11.832602308505239</v>
          </cell>
          <cell r="R29">
            <v>10.574276773282593</v>
          </cell>
          <cell r="S29">
            <v>4.9888240185700683</v>
          </cell>
          <cell r="T29">
            <v>4.9888240185700683</v>
          </cell>
          <cell r="U29">
            <v>11.832602308505239</v>
          </cell>
          <cell r="V29">
            <v>10.574276773282593</v>
          </cell>
          <cell r="W29">
            <v>50</v>
          </cell>
          <cell r="X29">
            <v>34.905511811023622</v>
          </cell>
          <cell r="Y29">
            <v>53.597440944881896</v>
          </cell>
          <cell r="Z29">
            <v>34.905511811023622</v>
          </cell>
          <cell r="AA29">
            <v>53.597440944881896</v>
          </cell>
          <cell r="AB29">
            <v>34.905511811023622</v>
          </cell>
          <cell r="AC29">
            <v>53.597440944881896</v>
          </cell>
          <cell r="AD29">
            <v>53.597440944881896</v>
          </cell>
          <cell r="AE29" t="str">
            <v>NA</v>
          </cell>
          <cell r="AF29" t="str">
            <v>NA</v>
          </cell>
          <cell r="AG29" t="str">
            <v>NA</v>
          </cell>
          <cell r="AH29" t="str">
            <v>Y</v>
          </cell>
          <cell r="AI29">
            <v>35.28</v>
          </cell>
          <cell r="AJ29">
            <v>16</v>
          </cell>
          <cell r="AK29" t="str">
            <v>TBD</v>
          </cell>
          <cell r="AL29" t="str">
            <v>Y</v>
          </cell>
          <cell r="AM29" t="str">
            <v>2000184TBD</v>
          </cell>
          <cell r="AN29" t="str">
            <v>2000284TBD</v>
          </cell>
          <cell r="AO29" t="str">
            <v>2000183TBD</v>
          </cell>
          <cell r="AP29" t="str">
            <v>2000283TBD</v>
          </cell>
          <cell r="AQ29" t="str">
            <v>2000182TBD</v>
          </cell>
          <cell r="AR29" t="str">
            <v>2000282TBD</v>
          </cell>
          <cell r="AS29" t="str">
            <v>TBD</v>
          </cell>
          <cell r="AT29" t="str">
            <v>NA</v>
          </cell>
          <cell r="AU29" t="str">
            <v>NA</v>
          </cell>
          <cell r="AV29" t="str">
            <v>NA</v>
          </cell>
          <cell r="AW29">
            <v>41123</v>
          </cell>
        </row>
        <row r="30">
          <cell r="C30" t="str">
            <v>CEEG -China Sunergy - SST205-250-60M  _S</v>
          </cell>
          <cell r="D30" t="str">
            <v>Standard Claw</v>
          </cell>
          <cell r="E30">
            <v>5000005</v>
          </cell>
          <cell r="F30">
            <v>38.976377952755911</v>
          </cell>
          <cell r="G30">
            <v>64.566929133858267</v>
          </cell>
          <cell r="H30">
            <v>1.9685039370078741</v>
          </cell>
          <cell r="I30">
            <v>200010704</v>
          </cell>
          <cell r="J30">
            <v>200010804</v>
          </cell>
          <cell r="K30">
            <v>200013804</v>
          </cell>
          <cell r="L30">
            <v>200016304</v>
          </cell>
          <cell r="M30">
            <v>500012568</v>
          </cell>
          <cell r="N30">
            <v>500012668</v>
          </cell>
          <cell r="O30">
            <v>500012569</v>
          </cell>
          <cell r="P30">
            <v>500012669</v>
          </cell>
          <cell r="Q30">
            <v>11.725279318414811</v>
          </cell>
          <cell r="R30">
            <v>10.478642249707667</v>
          </cell>
          <cell r="S30">
            <v>4.9440996728708777</v>
          </cell>
          <cell r="T30">
            <v>4.9440996728708777</v>
          </cell>
          <cell r="U30">
            <v>11.725279318414811</v>
          </cell>
          <cell r="V30">
            <v>10.478642249707667</v>
          </cell>
          <cell r="W30">
            <v>50</v>
          </cell>
          <cell r="X30">
            <v>35.220472440944881</v>
          </cell>
          <cell r="Y30">
            <v>66.038385826771659</v>
          </cell>
          <cell r="Z30">
            <v>35.220472440944881</v>
          </cell>
          <cell r="AA30">
            <v>66.038385826771659</v>
          </cell>
          <cell r="AB30">
            <v>35.220472440944881</v>
          </cell>
          <cell r="AC30">
            <v>66.038385826771659</v>
          </cell>
          <cell r="AD30">
            <v>66.038385826771659</v>
          </cell>
          <cell r="AE30">
            <v>65.066929133858267</v>
          </cell>
          <cell r="AF30">
            <v>23.066929133858274</v>
          </cell>
          <cell r="AG30">
            <v>39.846456692913392</v>
          </cell>
          <cell r="AH30" t="str">
            <v>N</v>
          </cell>
          <cell r="AI30">
            <v>43.659000000000006</v>
          </cell>
          <cell r="AJ30">
            <v>19.8</v>
          </cell>
          <cell r="AK30" t="str">
            <v>TBD</v>
          </cell>
          <cell r="AL30" t="str">
            <v>Y</v>
          </cell>
          <cell r="AM30">
            <v>200018403</v>
          </cell>
          <cell r="AN30">
            <v>200028403</v>
          </cell>
          <cell r="AO30">
            <v>200018303</v>
          </cell>
          <cell r="AP30">
            <v>200028303</v>
          </cell>
          <cell r="AQ30">
            <v>200018203</v>
          </cell>
          <cell r="AR30">
            <v>200028203</v>
          </cell>
          <cell r="AS30">
            <v>14.555555555555557</v>
          </cell>
          <cell r="AT30">
            <v>20.110973161651764</v>
          </cell>
          <cell r="AU30">
            <v>15.002886128524771</v>
          </cell>
          <cell r="AV30">
            <v>10.244439167746933</v>
          </cell>
          <cell r="AW30">
            <v>40617</v>
          </cell>
        </row>
        <row r="31">
          <cell r="C31" t="str">
            <v>CEEG -China Sunergy - SST255-280-72M _S</v>
          </cell>
          <cell r="D31" t="str">
            <v>Standard Claw</v>
          </cell>
          <cell r="E31">
            <v>5000005</v>
          </cell>
          <cell r="F31">
            <v>38.976377952755911</v>
          </cell>
          <cell r="G31">
            <v>77.00787401574803</v>
          </cell>
          <cell r="H31">
            <v>1.9685039370078741</v>
          </cell>
          <cell r="I31">
            <v>200010707</v>
          </cell>
          <cell r="J31">
            <v>200010807</v>
          </cell>
          <cell r="K31">
            <v>200013807</v>
          </cell>
          <cell r="L31">
            <v>200016307</v>
          </cell>
          <cell r="M31">
            <v>500012581</v>
          </cell>
          <cell r="N31">
            <v>500012681</v>
          </cell>
          <cell r="O31">
            <v>500012581</v>
          </cell>
          <cell r="P31">
            <v>500012681</v>
          </cell>
          <cell r="Q31">
            <v>11.725279318414811</v>
          </cell>
          <cell r="R31">
            <v>10.478642249707667</v>
          </cell>
          <cell r="S31">
            <v>4.9440996728708777</v>
          </cell>
          <cell r="T31">
            <v>4.9440996728708777</v>
          </cell>
          <cell r="U31">
            <v>11.725279318414811</v>
          </cell>
          <cell r="V31">
            <v>10.478642249707667</v>
          </cell>
          <cell r="W31">
            <v>50</v>
          </cell>
          <cell r="X31">
            <v>35.220472440944881</v>
          </cell>
          <cell r="Y31">
            <v>78.479330708661422</v>
          </cell>
          <cell r="Z31">
            <v>35.220472440944881</v>
          </cell>
          <cell r="AA31">
            <v>78.479330708661422</v>
          </cell>
          <cell r="AB31">
            <v>35.220472440944881</v>
          </cell>
          <cell r="AC31">
            <v>78.479330708661422</v>
          </cell>
          <cell r="AD31">
            <v>78.479330708661422</v>
          </cell>
          <cell r="AE31">
            <v>77.507874015748044</v>
          </cell>
          <cell r="AF31">
            <v>35.507874015748037</v>
          </cell>
          <cell r="AG31">
            <v>39.846456692913392</v>
          </cell>
          <cell r="AH31" t="str">
            <v>N</v>
          </cell>
          <cell r="AI31">
            <v>52.479000000000006</v>
          </cell>
          <cell r="AJ31">
            <v>23.8</v>
          </cell>
          <cell r="AK31" t="str">
            <v>TBD</v>
          </cell>
          <cell r="AL31" t="str">
            <v>Y</v>
          </cell>
          <cell r="AM31">
            <v>200018407</v>
          </cell>
          <cell r="AN31">
            <v>200028407</v>
          </cell>
          <cell r="AO31">
            <v>200018307</v>
          </cell>
          <cell r="AP31">
            <v>200028307</v>
          </cell>
          <cell r="AQ31">
            <v>200018207</v>
          </cell>
          <cell r="AR31">
            <v>200028207</v>
          </cell>
          <cell r="AS31">
            <v>17.222222222222221</v>
          </cell>
          <cell r="AT31">
            <v>20.110973161651764</v>
          </cell>
          <cell r="AU31">
            <v>15.002886128524771</v>
          </cell>
          <cell r="AV31">
            <v>10.244439167746933</v>
          </cell>
          <cell r="AW31">
            <v>40617</v>
          </cell>
        </row>
        <row r="32">
          <cell r="C32" t="str">
            <v>CEEG -China Sunergy - SST245-280-72P_S</v>
          </cell>
          <cell r="D32" t="str">
            <v>Standard Claw</v>
          </cell>
          <cell r="E32">
            <v>5000005</v>
          </cell>
          <cell r="F32">
            <v>38.976377952755911</v>
          </cell>
          <cell r="G32">
            <v>77.00787401574803</v>
          </cell>
          <cell r="H32">
            <v>1.9685039370078741</v>
          </cell>
          <cell r="I32">
            <v>200010707</v>
          </cell>
          <cell r="J32">
            <v>200010807</v>
          </cell>
          <cell r="K32">
            <v>200013807</v>
          </cell>
          <cell r="L32">
            <v>200016307</v>
          </cell>
          <cell r="M32">
            <v>500012581</v>
          </cell>
          <cell r="N32">
            <v>500012681</v>
          </cell>
          <cell r="O32">
            <v>500012581</v>
          </cell>
          <cell r="P32">
            <v>500012681</v>
          </cell>
          <cell r="Q32">
            <v>11.725279318414811</v>
          </cell>
          <cell r="R32">
            <v>10.478642249707667</v>
          </cell>
          <cell r="S32">
            <v>4.9440996728708777</v>
          </cell>
          <cell r="T32">
            <v>4.9440996728708777</v>
          </cell>
          <cell r="U32">
            <v>11.725279318414811</v>
          </cell>
          <cell r="V32">
            <v>10.478642249707667</v>
          </cell>
          <cell r="W32">
            <v>50</v>
          </cell>
          <cell r="X32">
            <v>35.220472440944881</v>
          </cell>
          <cell r="Y32">
            <v>78.479330708661422</v>
          </cell>
          <cell r="Z32">
            <v>35.220472440944881</v>
          </cell>
          <cell r="AA32">
            <v>78.479330708661422</v>
          </cell>
          <cell r="AB32">
            <v>35.220472440944881</v>
          </cell>
          <cell r="AC32">
            <v>78.479330708661422</v>
          </cell>
          <cell r="AD32">
            <v>78.479330708661422</v>
          </cell>
          <cell r="AE32">
            <v>77.507874015748044</v>
          </cell>
          <cell r="AF32">
            <v>35.507874015748037</v>
          </cell>
          <cell r="AG32">
            <v>39.846456692913392</v>
          </cell>
          <cell r="AH32" t="str">
            <v>N</v>
          </cell>
          <cell r="AI32">
            <v>52.479000000000006</v>
          </cell>
          <cell r="AJ32">
            <v>23.8</v>
          </cell>
          <cell r="AK32" t="str">
            <v>TBD</v>
          </cell>
          <cell r="AL32" t="str">
            <v>Y</v>
          </cell>
          <cell r="AM32">
            <v>200018407</v>
          </cell>
          <cell r="AN32">
            <v>200028407</v>
          </cell>
          <cell r="AO32">
            <v>200018307</v>
          </cell>
          <cell r="AP32">
            <v>200028307</v>
          </cell>
          <cell r="AQ32">
            <v>200018207</v>
          </cell>
          <cell r="AR32">
            <v>200028207</v>
          </cell>
          <cell r="AS32">
            <v>17.222222222222221</v>
          </cell>
          <cell r="AT32">
            <v>20.110973161651764</v>
          </cell>
          <cell r="AU32">
            <v>15.002886128524771</v>
          </cell>
          <cell r="AV32">
            <v>10.244439167746933</v>
          </cell>
          <cell r="AW32">
            <v>40617</v>
          </cell>
        </row>
        <row r="33">
          <cell r="C33" t="str">
            <v>CentroSolar  - BP6 235-245 BB-BW-SW_S</v>
          </cell>
          <cell r="D33" t="str">
            <v>Standard Claw</v>
          </cell>
          <cell r="E33">
            <v>5000005</v>
          </cell>
          <cell r="F33">
            <v>39.055118110236222</v>
          </cell>
          <cell r="G33">
            <v>64.960629921259851</v>
          </cell>
          <cell r="H33">
            <v>1.9685039370078741</v>
          </cell>
          <cell r="I33">
            <v>200010704</v>
          </cell>
          <cell r="J33">
            <v>200010804</v>
          </cell>
          <cell r="K33">
            <v>200013804</v>
          </cell>
          <cell r="L33">
            <v>200016304</v>
          </cell>
          <cell r="M33">
            <v>500012569</v>
          </cell>
          <cell r="N33">
            <v>500012669</v>
          </cell>
          <cell r="O33">
            <v>500012569</v>
          </cell>
          <cell r="P33">
            <v>500012669</v>
          </cell>
          <cell r="Q33">
            <v>11.698754267040043</v>
          </cell>
          <cell r="R33">
            <v>10.455004839041191</v>
          </cell>
          <cell r="S33">
            <v>4.9330437584696041</v>
          </cell>
          <cell r="T33">
            <v>4.9330437584696041</v>
          </cell>
          <cell r="U33">
            <v>11.698754267040043</v>
          </cell>
          <cell r="V33">
            <v>10.455004839041191</v>
          </cell>
          <cell r="W33">
            <v>30</v>
          </cell>
          <cell r="X33">
            <v>35.2992125984252</v>
          </cell>
          <cell r="Y33">
            <v>66.43208661417323</v>
          </cell>
          <cell r="Z33">
            <v>35.2992125984252</v>
          </cell>
          <cell r="AA33">
            <v>66.43208661417323</v>
          </cell>
          <cell r="AB33">
            <v>35.2992125984252</v>
          </cell>
          <cell r="AC33">
            <v>66.43208661417323</v>
          </cell>
          <cell r="AD33">
            <v>66.43208661417323</v>
          </cell>
          <cell r="AE33">
            <v>65.460629921259851</v>
          </cell>
          <cell r="AF33">
            <v>23.460629921259848</v>
          </cell>
          <cell r="AG33">
            <v>39.925196850393704</v>
          </cell>
          <cell r="AH33" t="str">
            <v>N</v>
          </cell>
          <cell r="AI33">
            <v>43.659000000000006</v>
          </cell>
          <cell r="AJ33">
            <v>19.8</v>
          </cell>
          <cell r="AK33" t="str">
            <v>TBD</v>
          </cell>
          <cell r="AL33" t="str">
            <v>Y</v>
          </cell>
          <cell r="AM33">
            <v>200018403</v>
          </cell>
          <cell r="AN33">
            <v>200028403</v>
          </cell>
          <cell r="AO33">
            <v>200018303</v>
          </cell>
          <cell r="AP33">
            <v>200028303</v>
          </cell>
          <cell r="AQ33">
            <v>200018203</v>
          </cell>
          <cell r="AR33">
            <v>200028203</v>
          </cell>
          <cell r="AS33">
            <v>14.555555555555557</v>
          </cell>
          <cell r="AT33">
            <v>20.069602586497279</v>
          </cell>
          <cell r="AU33">
            <v>14.97260437224279</v>
          </cell>
          <cell r="AV33">
            <v>10.224017732239455</v>
          </cell>
          <cell r="AW33">
            <v>41194</v>
          </cell>
        </row>
        <row r="34">
          <cell r="C34" t="str">
            <v>CentroSolar  - BP7 285-290 BW-SW_S</v>
          </cell>
          <cell r="D34" t="str">
            <v>Standard Claw</v>
          </cell>
          <cell r="E34">
            <v>5000005</v>
          </cell>
          <cell r="F34">
            <v>39.055118110236222</v>
          </cell>
          <cell r="G34">
            <v>77.401574803149614</v>
          </cell>
          <cell r="H34">
            <v>1.9685039370078741</v>
          </cell>
          <cell r="I34">
            <v>200010707</v>
          </cell>
          <cell r="J34">
            <v>200010807</v>
          </cell>
          <cell r="K34">
            <v>200013807</v>
          </cell>
          <cell r="L34">
            <v>200016307</v>
          </cell>
          <cell r="M34">
            <v>500012581</v>
          </cell>
          <cell r="N34">
            <v>500012681</v>
          </cell>
          <cell r="O34">
            <v>500012581</v>
          </cell>
          <cell r="P34">
            <v>500012681</v>
          </cell>
          <cell r="Q34">
            <v>11.698754267040043</v>
          </cell>
          <cell r="R34">
            <v>10.455004839041191</v>
          </cell>
          <cell r="S34">
            <v>4.9330437584696041</v>
          </cell>
          <cell r="T34">
            <v>4.9330437584696041</v>
          </cell>
          <cell r="U34">
            <v>11.698754267040043</v>
          </cell>
          <cell r="V34">
            <v>10.455004839041191</v>
          </cell>
          <cell r="W34">
            <v>30</v>
          </cell>
          <cell r="X34">
            <v>35.2992125984252</v>
          </cell>
          <cell r="Y34">
            <v>78.873031496062993</v>
          </cell>
          <cell r="Z34">
            <v>35.2992125984252</v>
          </cell>
          <cell r="AA34">
            <v>78.873031496062993</v>
          </cell>
          <cell r="AB34">
            <v>35.2992125984252</v>
          </cell>
          <cell r="AC34">
            <v>78.873031496062993</v>
          </cell>
          <cell r="AD34">
            <v>78.873031496062993</v>
          </cell>
          <cell r="AE34">
            <v>77.901574803149614</v>
          </cell>
          <cell r="AF34">
            <v>35.901574803149614</v>
          </cell>
          <cell r="AG34">
            <v>39.925196850393704</v>
          </cell>
          <cell r="AH34" t="str">
            <v>N</v>
          </cell>
          <cell r="AI34">
            <v>59.535000000000004</v>
          </cell>
          <cell r="AJ34">
            <v>27</v>
          </cell>
          <cell r="AK34" t="str">
            <v>TBD</v>
          </cell>
          <cell r="AL34" t="str">
            <v>Y</v>
          </cell>
          <cell r="AM34">
            <v>200018407</v>
          </cell>
          <cell r="AN34">
            <v>200028407</v>
          </cell>
          <cell r="AO34">
            <v>200018307</v>
          </cell>
          <cell r="AP34">
            <v>200028307</v>
          </cell>
          <cell r="AQ34">
            <v>200018207</v>
          </cell>
          <cell r="AR34">
            <v>200028207</v>
          </cell>
          <cell r="AS34">
            <v>17.222222222222221</v>
          </cell>
          <cell r="AT34">
            <v>20.069602586497279</v>
          </cell>
          <cell r="AU34">
            <v>14.97260437224279</v>
          </cell>
          <cell r="AV34">
            <v>10.224017732239455</v>
          </cell>
          <cell r="AW34">
            <v>41194</v>
          </cell>
        </row>
        <row r="35">
          <cell r="C35" t="str">
            <v>CentroSolar  - CM6 BW-SW_S</v>
          </cell>
          <cell r="D35" t="str">
            <v>Standard Claw</v>
          </cell>
          <cell r="E35">
            <v>5000005</v>
          </cell>
          <cell r="F35">
            <v>38.976377952755911</v>
          </cell>
          <cell r="G35">
            <v>65.354330708661422</v>
          </cell>
          <cell r="H35">
            <v>1.5748031496062993</v>
          </cell>
          <cell r="I35">
            <v>200010704</v>
          </cell>
          <cell r="J35">
            <v>200010804</v>
          </cell>
          <cell r="K35">
            <v>200013804</v>
          </cell>
          <cell r="L35">
            <v>200016304</v>
          </cell>
          <cell r="M35">
            <v>500012569</v>
          </cell>
          <cell r="N35">
            <v>500012669</v>
          </cell>
          <cell r="O35">
            <v>500012569</v>
          </cell>
          <cell r="P35">
            <v>500012669</v>
          </cell>
          <cell r="Q35">
            <v>11.725279318414811</v>
          </cell>
          <cell r="R35">
            <v>10.478642249707667</v>
          </cell>
          <cell r="S35">
            <v>4.9440996728708777</v>
          </cell>
          <cell r="T35">
            <v>4.9440996728708777</v>
          </cell>
          <cell r="U35">
            <v>11.725279318414811</v>
          </cell>
          <cell r="V35">
            <v>10.478642249707667</v>
          </cell>
          <cell r="W35">
            <v>30</v>
          </cell>
          <cell r="X35">
            <v>35.220472440944881</v>
          </cell>
          <cell r="Y35">
            <v>66.8257874015748</v>
          </cell>
          <cell r="Z35">
            <v>35.220472440944881</v>
          </cell>
          <cell r="AA35">
            <v>66.8257874015748</v>
          </cell>
          <cell r="AB35">
            <v>35.220472440944881</v>
          </cell>
          <cell r="AC35">
            <v>66.8257874015748</v>
          </cell>
          <cell r="AD35">
            <v>66.8257874015748</v>
          </cell>
          <cell r="AE35">
            <v>65.854330708661422</v>
          </cell>
          <cell r="AF35">
            <v>23.854330708661422</v>
          </cell>
          <cell r="AG35">
            <v>39.846456692913392</v>
          </cell>
          <cell r="AH35" t="str">
            <v>N</v>
          </cell>
          <cell r="AI35">
            <v>44.1</v>
          </cell>
          <cell r="AJ35">
            <v>20</v>
          </cell>
          <cell r="AK35" t="str">
            <v>TBD</v>
          </cell>
          <cell r="AL35" t="str">
            <v>Y</v>
          </cell>
          <cell r="AM35">
            <v>200018403</v>
          </cell>
          <cell r="AN35">
            <v>200028403</v>
          </cell>
          <cell r="AO35">
            <v>200018303</v>
          </cell>
          <cell r="AP35">
            <v>200028303</v>
          </cell>
          <cell r="AQ35">
            <v>200018203</v>
          </cell>
          <cell r="AR35">
            <v>200028203</v>
          </cell>
          <cell r="AS35">
            <v>14.555555555555557</v>
          </cell>
          <cell r="AT35">
            <v>20.110973161651764</v>
          </cell>
          <cell r="AU35">
            <v>15.002886128524771</v>
          </cell>
          <cell r="AV35">
            <v>10.244439167746933</v>
          </cell>
          <cell r="AW35">
            <v>41194</v>
          </cell>
        </row>
        <row r="36">
          <cell r="C36" t="str">
            <v>CentroSolar  - E-EB 225-245_S</v>
          </cell>
          <cell r="D36" t="str">
            <v>Standard Claw</v>
          </cell>
          <cell r="E36">
            <v>5000005</v>
          </cell>
          <cell r="F36">
            <v>39.055118110236222</v>
          </cell>
          <cell r="G36">
            <v>64.566929133858267</v>
          </cell>
          <cell r="H36">
            <v>1.5748031496062993</v>
          </cell>
          <cell r="I36">
            <v>200010704</v>
          </cell>
          <cell r="J36">
            <v>200010804</v>
          </cell>
          <cell r="K36">
            <v>200013804</v>
          </cell>
          <cell r="L36">
            <v>200016304</v>
          </cell>
          <cell r="M36">
            <v>500012568</v>
          </cell>
          <cell r="N36">
            <v>500012668</v>
          </cell>
          <cell r="O36">
            <v>500012569</v>
          </cell>
          <cell r="P36">
            <v>500012669</v>
          </cell>
          <cell r="Q36">
            <v>11.698754267040043</v>
          </cell>
          <cell r="R36">
            <v>10.455004839041191</v>
          </cell>
          <cell r="S36">
            <v>4.9330437584696041</v>
          </cell>
          <cell r="T36">
            <v>4.9330437584696041</v>
          </cell>
          <cell r="U36">
            <v>11.698754267040043</v>
          </cell>
          <cell r="V36">
            <v>10.455004839041191</v>
          </cell>
          <cell r="W36">
            <v>30</v>
          </cell>
          <cell r="X36">
            <v>35.2992125984252</v>
          </cell>
          <cell r="Y36">
            <v>66.038385826771659</v>
          </cell>
          <cell r="Z36">
            <v>35.2992125984252</v>
          </cell>
          <cell r="AA36">
            <v>66.038385826771659</v>
          </cell>
          <cell r="AB36">
            <v>35.2992125984252</v>
          </cell>
          <cell r="AC36">
            <v>66.038385826771659</v>
          </cell>
          <cell r="AD36">
            <v>66.038385826771659</v>
          </cell>
          <cell r="AE36">
            <v>65.066929133858267</v>
          </cell>
          <cell r="AF36">
            <v>23.066929133858274</v>
          </cell>
          <cell r="AG36">
            <v>39.925196850393704</v>
          </cell>
          <cell r="AH36" t="str">
            <v>N</v>
          </cell>
          <cell r="AI36">
            <v>44.563050000000004</v>
          </cell>
          <cell r="AJ36">
            <v>20.21</v>
          </cell>
          <cell r="AK36" t="str">
            <v>TBD</v>
          </cell>
          <cell r="AL36" t="str">
            <v>Y</v>
          </cell>
          <cell r="AM36">
            <v>200018403</v>
          </cell>
          <cell r="AN36">
            <v>200028403</v>
          </cell>
          <cell r="AO36">
            <v>200018303</v>
          </cell>
          <cell r="AP36">
            <v>200028303</v>
          </cell>
          <cell r="AQ36">
            <v>200018203</v>
          </cell>
          <cell r="AR36">
            <v>200028203</v>
          </cell>
          <cell r="AS36">
            <v>14.555555555555557</v>
          </cell>
          <cell r="AT36">
            <v>20.069602586497279</v>
          </cell>
          <cell r="AU36">
            <v>14.97260437224279</v>
          </cell>
          <cell r="AV36">
            <v>10.224017732239455</v>
          </cell>
          <cell r="AW36">
            <v>41194</v>
          </cell>
        </row>
        <row r="37">
          <cell r="C37" t="str">
            <v>CentroSolar  - E-EB 275-285_S</v>
          </cell>
          <cell r="D37" t="str">
            <v>Standard Claw</v>
          </cell>
          <cell r="E37">
            <v>5000005</v>
          </cell>
          <cell r="F37">
            <v>39.055118110236222</v>
          </cell>
          <cell r="G37">
            <v>77.00787401574803</v>
          </cell>
          <cell r="H37">
            <v>1.5748031496062993</v>
          </cell>
          <cell r="I37">
            <v>200010707</v>
          </cell>
          <cell r="J37">
            <v>200010807</v>
          </cell>
          <cell r="K37">
            <v>200013807</v>
          </cell>
          <cell r="L37">
            <v>200016307</v>
          </cell>
          <cell r="M37">
            <v>500012581</v>
          </cell>
          <cell r="N37">
            <v>500012681</v>
          </cell>
          <cell r="O37">
            <v>500012581</v>
          </cell>
          <cell r="P37">
            <v>500012681</v>
          </cell>
          <cell r="Q37">
            <v>11.698754267040043</v>
          </cell>
          <cell r="R37">
            <v>10.455004839041191</v>
          </cell>
          <cell r="S37">
            <v>4.9330437584696041</v>
          </cell>
          <cell r="T37">
            <v>4.9330437584696041</v>
          </cell>
          <cell r="U37">
            <v>11.698754267040043</v>
          </cell>
          <cell r="V37">
            <v>10.455004839041191</v>
          </cell>
          <cell r="W37">
            <v>30</v>
          </cell>
          <cell r="X37">
            <v>35.2992125984252</v>
          </cell>
          <cell r="Y37">
            <v>78.479330708661422</v>
          </cell>
          <cell r="Z37">
            <v>35.2992125984252</v>
          </cell>
          <cell r="AA37">
            <v>78.479330708661422</v>
          </cell>
          <cell r="AB37">
            <v>35.2992125984252</v>
          </cell>
          <cell r="AC37">
            <v>78.479330708661422</v>
          </cell>
          <cell r="AD37">
            <v>78.479330708661422</v>
          </cell>
          <cell r="AE37">
            <v>77.507874015748044</v>
          </cell>
          <cell r="AF37">
            <v>35.507874015748037</v>
          </cell>
          <cell r="AG37">
            <v>39.925196850393704</v>
          </cell>
          <cell r="AH37" t="str">
            <v>N</v>
          </cell>
          <cell r="AI37">
            <v>50.825250000000004</v>
          </cell>
          <cell r="AJ37">
            <v>23.05</v>
          </cell>
          <cell r="AK37" t="str">
            <v>TBD</v>
          </cell>
          <cell r="AL37" t="str">
            <v>Y</v>
          </cell>
          <cell r="AM37">
            <v>200018407</v>
          </cell>
          <cell r="AN37">
            <v>200028407</v>
          </cell>
          <cell r="AO37">
            <v>200018307</v>
          </cell>
          <cell r="AP37">
            <v>200028307</v>
          </cell>
          <cell r="AQ37">
            <v>200018207</v>
          </cell>
          <cell r="AR37">
            <v>200028207</v>
          </cell>
          <cell r="AS37">
            <v>17.222222222222221</v>
          </cell>
          <cell r="AT37">
            <v>20.069602586497279</v>
          </cell>
          <cell r="AU37">
            <v>14.97260437224279</v>
          </cell>
          <cell r="AV37">
            <v>10.224017732239455</v>
          </cell>
          <cell r="AW37">
            <v>41194</v>
          </cell>
        </row>
        <row r="38">
          <cell r="C38" t="str">
            <v>Chaori Solar - Sunperfect - CRM 210-255 S 156P-M-60_S</v>
          </cell>
          <cell r="D38" t="str">
            <v>Standard Claw</v>
          </cell>
          <cell r="E38">
            <v>5000005</v>
          </cell>
          <cell r="F38">
            <v>39.133858267716541</v>
          </cell>
          <cell r="G38">
            <v>64.409448818897644</v>
          </cell>
          <cell r="H38">
            <v>1.8110236220472442</v>
          </cell>
          <cell r="I38">
            <v>200010704</v>
          </cell>
          <cell r="J38">
            <v>200010804</v>
          </cell>
          <cell r="K38">
            <v>200013804</v>
          </cell>
          <cell r="L38">
            <v>200016304</v>
          </cell>
          <cell r="M38">
            <v>500012568</v>
          </cell>
          <cell r="N38">
            <v>500012668</v>
          </cell>
          <cell r="O38">
            <v>500012569</v>
          </cell>
          <cell r="P38">
            <v>500012669</v>
          </cell>
          <cell r="Q38">
            <v>11.542107859274854</v>
          </cell>
          <cell r="R38">
            <v>10.315402215766035</v>
          </cell>
          <cell r="S38">
            <v>4.8677341333410507</v>
          </cell>
          <cell r="T38">
            <v>4.8677341333410507</v>
          </cell>
          <cell r="U38">
            <v>11.542107859274854</v>
          </cell>
          <cell r="V38">
            <v>10.315402215766035</v>
          </cell>
          <cell r="W38">
            <v>30</v>
          </cell>
          <cell r="X38">
            <v>35.771653543307089</v>
          </cell>
          <cell r="Y38">
            <v>66.230511811023618</v>
          </cell>
          <cell r="Z38">
            <v>35.771653543307089</v>
          </cell>
          <cell r="AA38">
            <v>66.230511811023618</v>
          </cell>
          <cell r="AB38">
            <v>35.771653543307089</v>
          </cell>
          <cell r="AC38">
            <v>66.230511811023618</v>
          </cell>
          <cell r="AD38">
            <v>66.230511811023618</v>
          </cell>
          <cell r="AE38">
            <v>64.909448818897644</v>
          </cell>
          <cell r="AF38">
            <v>22.909448818897644</v>
          </cell>
          <cell r="AG38">
            <v>40.350393700787407</v>
          </cell>
          <cell r="AH38" t="str">
            <v>Y</v>
          </cell>
          <cell r="AI38">
            <v>41.895000000000003</v>
          </cell>
          <cell r="AJ38">
            <v>19</v>
          </cell>
          <cell r="AK38" t="str">
            <v>TBD</v>
          </cell>
          <cell r="AL38" t="str">
            <v>Y</v>
          </cell>
          <cell r="AM38">
            <v>200018403</v>
          </cell>
          <cell r="AN38">
            <v>200028403</v>
          </cell>
          <cell r="AO38">
            <v>200018303</v>
          </cell>
          <cell r="AP38">
            <v>200028303</v>
          </cell>
          <cell r="AQ38">
            <v>200018203</v>
          </cell>
          <cell r="AR38">
            <v>200028203</v>
          </cell>
          <cell r="AS38">
            <v>14.555555555555557</v>
          </cell>
          <cell r="AT38">
            <v>19.849175027736852</v>
          </cell>
          <cell r="AU38">
            <v>14.811197119599205</v>
          </cell>
          <cell r="AV38">
            <v>10.115141311657808</v>
          </cell>
          <cell r="AW38">
            <v>40966</v>
          </cell>
        </row>
        <row r="39">
          <cell r="C39" t="str">
            <v>Chaori Solar - Sunperfect - CRM 265-315 S 156P-M-72_S</v>
          </cell>
          <cell r="D39" t="str">
            <v>Standard Claw</v>
          </cell>
          <cell r="E39">
            <v>5000005</v>
          </cell>
          <cell r="F39">
            <v>39.133858267716541</v>
          </cell>
          <cell r="G39">
            <v>76.850393700787407</v>
          </cell>
          <cell r="H39">
            <v>1.8110236220472442</v>
          </cell>
          <cell r="I39">
            <v>200010707</v>
          </cell>
          <cell r="J39">
            <v>200010807</v>
          </cell>
          <cell r="K39">
            <v>200013807</v>
          </cell>
          <cell r="L39">
            <v>200016307</v>
          </cell>
          <cell r="M39">
            <v>500012581</v>
          </cell>
          <cell r="N39">
            <v>500012681</v>
          </cell>
          <cell r="O39">
            <v>500012581</v>
          </cell>
          <cell r="P39">
            <v>500012681</v>
          </cell>
          <cell r="Q39">
            <v>11.542107859274854</v>
          </cell>
          <cell r="R39">
            <v>10.315402215766035</v>
          </cell>
          <cell r="S39">
            <v>4.8677341333410507</v>
          </cell>
          <cell r="T39">
            <v>4.8677341333410507</v>
          </cell>
          <cell r="U39">
            <v>11.542107859274854</v>
          </cell>
          <cell r="V39">
            <v>10.315402215766035</v>
          </cell>
          <cell r="W39">
            <v>30</v>
          </cell>
          <cell r="X39">
            <v>35.771653543307089</v>
          </cell>
          <cell r="Y39">
            <v>78.671456692913381</v>
          </cell>
          <cell r="Z39">
            <v>35.771653543307089</v>
          </cell>
          <cell r="AA39">
            <v>78.671456692913381</v>
          </cell>
          <cell r="AB39">
            <v>35.771653543307089</v>
          </cell>
          <cell r="AC39">
            <v>78.671456692913381</v>
          </cell>
          <cell r="AD39">
            <v>78.671456692913381</v>
          </cell>
          <cell r="AE39">
            <v>77.350393700787407</v>
          </cell>
          <cell r="AF39">
            <v>35.350393700787407</v>
          </cell>
          <cell r="AG39">
            <v>40.350393700787407</v>
          </cell>
          <cell r="AH39" t="str">
            <v>Y</v>
          </cell>
          <cell r="AI39">
            <v>50.715000000000003</v>
          </cell>
          <cell r="AJ39">
            <v>23</v>
          </cell>
          <cell r="AK39" t="str">
            <v>TBD</v>
          </cell>
          <cell r="AL39" t="str">
            <v>Y</v>
          </cell>
          <cell r="AM39">
            <v>200018407</v>
          </cell>
          <cell r="AN39">
            <v>200028407</v>
          </cell>
          <cell r="AO39">
            <v>200018307</v>
          </cell>
          <cell r="AP39">
            <v>200028307</v>
          </cell>
          <cell r="AQ39">
            <v>200018207</v>
          </cell>
          <cell r="AR39">
            <v>200028207</v>
          </cell>
          <cell r="AS39">
            <v>17.222222222222221</v>
          </cell>
          <cell r="AT39">
            <v>19.849175027736852</v>
          </cell>
          <cell r="AU39">
            <v>14.811197119599205</v>
          </cell>
          <cell r="AV39">
            <v>10.115141311657808</v>
          </cell>
          <cell r="AW39">
            <v>40966</v>
          </cell>
        </row>
        <row r="40">
          <cell r="C40" t="str">
            <v>Chaori Solar - Sunperfect - CRM 180-200 S 125M-72_S</v>
          </cell>
          <cell r="D40" t="str">
            <v>Standard Claw</v>
          </cell>
          <cell r="E40">
            <v>5000005</v>
          </cell>
          <cell r="F40">
            <v>31.811023622047244</v>
          </cell>
          <cell r="G40">
            <v>62.204724409448822</v>
          </cell>
          <cell r="H40">
            <v>1.8110236220472442</v>
          </cell>
          <cell r="I40">
            <v>200010704</v>
          </cell>
          <cell r="J40">
            <v>200010804</v>
          </cell>
          <cell r="K40">
            <v>200013804</v>
          </cell>
          <cell r="L40">
            <v>200016304</v>
          </cell>
          <cell r="M40">
            <v>500012566</v>
          </cell>
          <cell r="N40">
            <v>500012666</v>
          </cell>
          <cell r="O40">
            <v>500012567</v>
          </cell>
          <cell r="P40">
            <v>500012667</v>
          </cell>
          <cell r="Q40">
            <v>14.571707491264988</v>
          </cell>
          <cell r="R40">
            <v>13.012236782891378</v>
          </cell>
          <cell r="S40">
            <v>6.1250064477535702</v>
          </cell>
          <cell r="T40">
            <v>6.1250064477535702</v>
          </cell>
          <cell r="U40">
            <v>14.571707491264988</v>
          </cell>
          <cell r="V40">
            <v>13.012236782891378</v>
          </cell>
          <cell r="W40">
            <v>30</v>
          </cell>
          <cell r="X40">
            <v>28.448818897637796</v>
          </cell>
          <cell r="Y40">
            <v>64.025787401574803</v>
          </cell>
          <cell r="Z40">
            <v>28.448818897637796</v>
          </cell>
          <cell r="AA40">
            <v>64.025787401574803</v>
          </cell>
          <cell r="AB40">
            <v>28.448818897637796</v>
          </cell>
          <cell r="AC40">
            <v>64.025787401574803</v>
          </cell>
          <cell r="AD40">
            <v>64.025787401574803</v>
          </cell>
          <cell r="AE40">
            <v>62.704724409448822</v>
          </cell>
          <cell r="AF40">
            <v>20.704724409448822</v>
          </cell>
          <cell r="AG40">
            <v>33.027559055118111</v>
          </cell>
          <cell r="AH40" t="str">
            <v>Y</v>
          </cell>
          <cell r="AI40">
            <v>33.075000000000003</v>
          </cell>
          <cell r="AJ40">
            <v>15</v>
          </cell>
          <cell r="AK40" t="str">
            <v>TBD</v>
          </cell>
          <cell r="AL40" t="str">
            <v>Y</v>
          </cell>
          <cell r="AM40">
            <v>200018402</v>
          </cell>
          <cell r="AN40">
            <v>200028402</v>
          </cell>
          <cell r="AO40">
            <v>200018302</v>
          </cell>
          <cell r="AP40">
            <v>200028302</v>
          </cell>
          <cell r="AQ40">
            <v>200018202</v>
          </cell>
          <cell r="AR40">
            <v>200028202</v>
          </cell>
          <cell r="AS40">
            <v>13.888888888888888</v>
          </cell>
          <cell r="AT40">
            <v>24.508544651474732</v>
          </cell>
          <cell r="AU40">
            <v>18.198722915144245</v>
          </cell>
          <cell r="AV40">
            <v>12.390107471990769</v>
          </cell>
          <cell r="AW40">
            <v>40966</v>
          </cell>
        </row>
        <row r="41">
          <cell r="C41" t="str">
            <v>Chaori Solar - Sunperfect - CRM 235-265 S 125M-96_S</v>
          </cell>
          <cell r="D41" t="str">
            <v>Standard Claw</v>
          </cell>
          <cell r="E41">
            <v>5000005</v>
          </cell>
          <cell r="F41">
            <v>42.519685039370081</v>
          </cell>
          <cell r="G41">
            <v>62.204724409448822</v>
          </cell>
          <cell r="H41">
            <v>1.8110236220472442</v>
          </cell>
          <cell r="I41">
            <v>200010704</v>
          </cell>
          <cell r="J41">
            <v>200010804</v>
          </cell>
          <cell r="K41">
            <v>200013804</v>
          </cell>
          <cell r="L41">
            <v>200016304</v>
          </cell>
          <cell r="M41">
            <v>500012566</v>
          </cell>
          <cell r="N41">
            <v>500012666</v>
          </cell>
          <cell r="O41">
            <v>500012567</v>
          </cell>
          <cell r="P41">
            <v>500012667</v>
          </cell>
          <cell r="Q41">
            <v>10.532139859951766</v>
          </cell>
          <cell r="R41">
            <v>9.4149482791642463</v>
          </cell>
          <cell r="S41">
            <v>4.4459489604995062</v>
          </cell>
          <cell r="T41">
            <v>4.4459489604995062</v>
          </cell>
          <cell r="U41">
            <v>10.532139859951766</v>
          </cell>
          <cell r="V41">
            <v>9.4149482791642463</v>
          </cell>
          <cell r="W41">
            <v>30</v>
          </cell>
          <cell r="X41">
            <v>39.15748031496063</v>
          </cell>
          <cell r="Y41">
            <v>64.025787401574803</v>
          </cell>
          <cell r="Z41">
            <v>39.15748031496063</v>
          </cell>
          <cell r="AA41">
            <v>64.025787401574803</v>
          </cell>
          <cell r="AB41">
            <v>39.15748031496063</v>
          </cell>
          <cell r="AC41">
            <v>64.025787401574803</v>
          </cell>
          <cell r="AD41">
            <v>64.025787401574803</v>
          </cell>
          <cell r="AE41">
            <v>62.704724409448822</v>
          </cell>
          <cell r="AF41">
            <v>20.704724409448822</v>
          </cell>
          <cell r="AG41">
            <v>43.736220472440948</v>
          </cell>
          <cell r="AH41" t="str">
            <v>Y</v>
          </cell>
          <cell r="AI41">
            <v>44.1</v>
          </cell>
          <cell r="AJ41">
            <v>20</v>
          </cell>
          <cell r="AK41" t="str">
            <v>TBD</v>
          </cell>
          <cell r="AL41" t="str">
            <v>Y</v>
          </cell>
          <cell r="AM41">
            <v>200018402</v>
          </cell>
          <cell r="AN41">
            <v>200028402</v>
          </cell>
          <cell r="AO41">
            <v>200018302</v>
          </cell>
          <cell r="AP41">
            <v>200028302</v>
          </cell>
          <cell r="AQ41">
            <v>200018202</v>
          </cell>
          <cell r="AR41">
            <v>200028202</v>
          </cell>
          <cell r="AS41">
            <v>13.888888888888888</v>
          </cell>
          <cell r="AT41">
            <v>18.255774494150902</v>
          </cell>
          <cell r="AU41">
            <v>13.641426683804378</v>
          </cell>
          <cell r="AV41">
            <v>9.3247899920590172</v>
          </cell>
          <cell r="AW41">
            <v>40966</v>
          </cell>
        </row>
        <row r="42">
          <cell r="C42" t="str">
            <v>Chint Solar-Astronergy - CHSM 6610M-MBL-P 220-260_S</v>
          </cell>
          <cell r="D42" t="str">
            <v>Standard Claw</v>
          </cell>
          <cell r="E42">
            <v>5000005</v>
          </cell>
          <cell r="F42">
            <v>39.133858267716541</v>
          </cell>
          <cell r="G42">
            <v>65.039370078740163</v>
          </cell>
          <cell r="H42">
            <v>1.7716535433070868</v>
          </cell>
          <cell r="I42">
            <v>200010704</v>
          </cell>
          <cell r="J42">
            <v>200010804</v>
          </cell>
          <cell r="K42">
            <v>200013804</v>
          </cell>
          <cell r="L42">
            <v>200016304</v>
          </cell>
          <cell r="M42">
            <v>500012569</v>
          </cell>
          <cell r="N42">
            <v>500012669</v>
          </cell>
          <cell r="O42">
            <v>500012569</v>
          </cell>
          <cell r="P42">
            <v>500012669</v>
          </cell>
          <cell r="Q42">
            <v>11.593851817515533</v>
          </cell>
          <cell r="R42">
            <v>10.361517999726759</v>
          </cell>
          <cell r="S42">
            <v>4.8893107769288457</v>
          </cell>
          <cell r="T42">
            <v>4.8893107769288457</v>
          </cell>
          <cell r="U42">
            <v>11.593851817515533</v>
          </cell>
          <cell r="V42">
            <v>10.361517999726759</v>
          </cell>
          <cell r="W42">
            <v>50</v>
          </cell>
          <cell r="X42">
            <v>35.614173228346459</v>
          </cell>
          <cell r="Y42">
            <v>66.747047244094489</v>
          </cell>
          <cell r="Z42">
            <v>35.614173228346459</v>
          </cell>
          <cell r="AA42">
            <v>66.747047244094489</v>
          </cell>
          <cell r="AB42">
            <v>35.614173228346459</v>
          </cell>
          <cell r="AC42">
            <v>66.747047244094489</v>
          </cell>
          <cell r="AD42">
            <v>66.747047244094489</v>
          </cell>
          <cell r="AE42">
            <v>65.539370078740163</v>
          </cell>
          <cell r="AF42">
            <v>23.539370078740163</v>
          </cell>
          <cell r="AG42">
            <v>40.240157480314963</v>
          </cell>
          <cell r="AH42" t="str">
            <v>N</v>
          </cell>
          <cell r="AI42">
            <v>44.1</v>
          </cell>
          <cell r="AJ42">
            <v>20</v>
          </cell>
          <cell r="AK42" t="str">
            <v>TBD</v>
          </cell>
          <cell r="AL42" t="str">
            <v>Y</v>
          </cell>
          <cell r="AM42">
            <v>200018403</v>
          </cell>
          <cell r="AN42">
            <v>200028403</v>
          </cell>
          <cell r="AO42">
            <v>200018303</v>
          </cell>
          <cell r="AP42">
            <v>200028303</v>
          </cell>
          <cell r="AQ42">
            <v>200018203</v>
          </cell>
          <cell r="AR42">
            <v>200028203</v>
          </cell>
          <cell r="AS42">
            <v>14.555555555555557</v>
          </cell>
          <cell r="AT42">
            <v>19.905846229389603</v>
          </cell>
          <cell r="AU42">
            <v>14.852704372847956</v>
          </cell>
          <cell r="AV42">
            <v>10.143144054640397</v>
          </cell>
          <cell r="AW42">
            <v>41255</v>
          </cell>
        </row>
        <row r="43">
          <cell r="C43" t="str">
            <v>Chint Solar-Astronergy - CHSM 6609M-MBL-P 195-220_S</v>
          </cell>
          <cell r="D43" t="str">
            <v>Standard Claw</v>
          </cell>
          <cell r="E43">
            <v>5000005</v>
          </cell>
          <cell r="F43">
            <v>39.133858267716541</v>
          </cell>
          <cell r="G43">
            <v>58.818897637795281</v>
          </cell>
          <cell r="H43">
            <v>1.7716535433070868</v>
          </cell>
          <cell r="I43">
            <v>200010703</v>
          </cell>
          <cell r="J43">
            <v>200010803</v>
          </cell>
          <cell r="K43">
            <v>200013803</v>
          </cell>
          <cell r="L43">
            <v>200016303</v>
          </cell>
          <cell r="M43">
            <v>500012563</v>
          </cell>
          <cell r="N43">
            <v>500012663</v>
          </cell>
          <cell r="O43">
            <v>500012563</v>
          </cell>
          <cell r="P43">
            <v>500012663</v>
          </cell>
          <cell r="Q43">
            <v>11.593851817515533</v>
          </cell>
          <cell r="R43">
            <v>10.361517999726759</v>
          </cell>
          <cell r="S43">
            <v>4.8893107769288457</v>
          </cell>
          <cell r="T43">
            <v>4.8893107769288457</v>
          </cell>
          <cell r="U43">
            <v>11.593851817515533</v>
          </cell>
          <cell r="V43">
            <v>10.361517999726759</v>
          </cell>
          <cell r="W43">
            <v>50</v>
          </cell>
          <cell r="X43">
            <v>35.614173228346459</v>
          </cell>
          <cell r="Y43">
            <v>60.526574803149607</v>
          </cell>
          <cell r="Z43">
            <v>35.614173228346459</v>
          </cell>
          <cell r="AA43">
            <v>60.526574803149607</v>
          </cell>
          <cell r="AB43">
            <v>35.614173228346459</v>
          </cell>
          <cell r="AC43">
            <v>60.526574803149607</v>
          </cell>
          <cell r="AD43">
            <v>60.526574803149607</v>
          </cell>
          <cell r="AE43">
            <v>59.318897637795281</v>
          </cell>
          <cell r="AF43">
            <v>17.318897637795281</v>
          </cell>
          <cell r="AG43">
            <v>40.240157480314963</v>
          </cell>
          <cell r="AH43" t="str">
            <v>N</v>
          </cell>
          <cell r="AI43">
            <v>39.69</v>
          </cell>
          <cell r="AJ43">
            <v>18</v>
          </cell>
          <cell r="AK43" t="str">
            <v>TBD</v>
          </cell>
          <cell r="AL43" t="str">
            <v>Y</v>
          </cell>
          <cell r="AM43">
            <v>200018401</v>
          </cell>
          <cell r="AN43">
            <v>200028401</v>
          </cell>
          <cell r="AO43">
            <v>200018301</v>
          </cell>
          <cell r="AP43">
            <v>200028301</v>
          </cell>
          <cell r="AQ43">
            <v>200018201</v>
          </cell>
          <cell r="AR43">
            <v>200028201</v>
          </cell>
          <cell r="AS43">
            <v>13.22222222222222</v>
          </cell>
          <cell r="AT43">
            <v>19.905846229389603</v>
          </cell>
          <cell r="AU43">
            <v>14.852704372847956</v>
          </cell>
          <cell r="AV43">
            <v>10.143144054640397</v>
          </cell>
          <cell r="AW43">
            <v>40808</v>
          </cell>
        </row>
        <row r="44">
          <cell r="C44" t="str">
            <v>Chint Solar-Astronergy - CHSM 5612M-MBL  175-195_S</v>
          </cell>
          <cell r="D44" t="str">
            <v>Standard Claw</v>
          </cell>
          <cell r="E44">
            <v>5000005</v>
          </cell>
          <cell r="F44">
            <v>31.811023622047244</v>
          </cell>
          <cell r="G44">
            <v>62.204724409448822</v>
          </cell>
          <cell r="H44">
            <v>1.7716535433070868</v>
          </cell>
          <cell r="I44">
            <v>200010704</v>
          </cell>
          <cell r="J44">
            <v>200010804</v>
          </cell>
          <cell r="K44">
            <v>200013804</v>
          </cell>
          <cell r="L44">
            <v>200016304</v>
          </cell>
          <cell r="M44">
            <v>500012566</v>
          </cell>
          <cell r="N44">
            <v>500012666</v>
          </cell>
          <cell r="O44">
            <v>500012567</v>
          </cell>
          <cell r="P44">
            <v>500012667</v>
          </cell>
          <cell r="Q44">
            <v>14.654630017902306</v>
          </cell>
          <cell r="R44">
            <v>13.085950308426501</v>
          </cell>
          <cell r="S44">
            <v>6.1592321259996137</v>
          </cell>
          <cell r="T44">
            <v>6.1592321259996137</v>
          </cell>
          <cell r="U44">
            <v>14.654630017902306</v>
          </cell>
          <cell r="V44">
            <v>13.085950308426501</v>
          </cell>
          <cell r="W44">
            <v>50</v>
          </cell>
          <cell r="X44">
            <v>28.291338582677167</v>
          </cell>
          <cell r="Y44">
            <v>63.912401574803155</v>
          </cell>
          <cell r="Z44">
            <v>28.291338582677167</v>
          </cell>
          <cell r="AA44">
            <v>63.912401574803155</v>
          </cell>
          <cell r="AB44">
            <v>28.291338582677167</v>
          </cell>
          <cell r="AC44">
            <v>63.912401574803155</v>
          </cell>
          <cell r="AD44">
            <v>63.912401574803155</v>
          </cell>
          <cell r="AE44">
            <v>62.704724409448822</v>
          </cell>
          <cell r="AF44">
            <v>20.704724409448822</v>
          </cell>
          <cell r="AG44">
            <v>32.917322834645674</v>
          </cell>
          <cell r="AH44" t="str">
            <v>N</v>
          </cell>
          <cell r="AI44">
            <v>34.177500000000002</v>
          </cell>
          <cell r="AJ44">
            <v>15.5</v>
          </cell>
          <cell r="AK44" t="str">
            <v>TBD</v>
          </cell>
          <cell r="AL44" t="str">
            <v>Y</v>
          </cell>
          <cell r="AM44">
            <v>200018402</v>
          </cell>
          <cell r="AN44">
            <v>200028402</v>
          </cell>
          <cell r="AO44">
            <v>200018302</v>
          </cell>
          <cell r="AP44">
            <v>200028302</v>
          </cell>
          <cell r="AQ44">
            <v>200018202</v>
          </cell>
          <cell r="AR44">
            <v>200028202</v>
          </cell>
          <cell r="AS44">
            <v>13.888888888888888</v>
          </cell>
          <cell r="AT44">
            <v>24.596053002504043</v>
          </cell>
          <cell r="AU44">
            <v>18.2618154872692</v>
          </cell>
          <cell r="AV44">
            <v>12.432263001540642</v>
          </cell>
          <cell r="AW44">
            <v>40808</v>
          </cell>
        </row>
        <row r="45">
          <cell r="C45" t="str">
            <v>Chint Solar-Astronergy - CHSM 5611M 160-175_S</v>
          </cell>
          <cell r="D45" t="str">
            <v>Standard Claw</v>
          </cell>
          <cell r="E45">
            <v>5000005</v>
          </cell>
          <cell r="F45">
            <v>31.811023622047244</v>
          </cell>
          <cell r="G45">
            <v>57.204724409448822</v>
          </cell>
          <cell r="H45">
            <v>1.7716535433070868</v>
          </cell>
          <cell r="I45">
            <v>200010702</v>
          </cell>
          <cell r="J45">
            <v>200010802</v>
          </cell>
          <cell r="K45">
            <v>200013802</v>
          </cell>
          <cell r="L45">
            <v>200016302</v>
          </cell>
          <cell r="M45">
            <v>500012561</v>
          </cell>
          <cell r="N45">
            <v>500012661</v>
          </cell>
          <cell r="O45">
            <v>500012562</v>
          </cell>
          <cell r="P45">
            <v>500012662</v>
          </cell>
          <cell r="Q45">
            <v>14.654630017902306</v>
          </cell>
          <cell r="R45">
            <v>13.085950308426501</v>
          </cell>
          <cell r="S45">
            <v>6.1592321259996137</v>
          </cell>
          <cell r="T45">
            <v>6.1592321259996137</v>
          </cell>
          <cell r="U45">
            <v>14.654630017902306</v>
          </cell>
          <cell r="V45">
            <v>13.085950308426501</v>
          </cell>
          <cell r="W45">
            <v>50</v>
          </cell>
          <cell r="X45">
            <v>28.291338582677167</v>
          </cell>
          <cell r="Y45">
            <v>58.912401574803155</v>
          </cell>
          <cell r="Z45">
            <v>28.291338582677167</v>
          </cell>
          <cell r="AA45">
            <v>58.912401574803155</v>
          </cell>
          <cell r="AB45">
            <v>28.291338582677167</v>
          </cell>
          <cell r="AC45">
            <v>58.912401574803155</v>
          </cell>
          <cell r="AD45">
            <v>58.912401574803155</v>
          </cell>
          <cell r="AE45" t="str">
            <v>NA</v>
          </cell>
          <cell r="AF45" t="str">
            <v>NA</v>
          </cell>
          <cell r="AG45" t="str">
            <v>NA</v>
          </cell>
          <cell r="AH45" t="str">
            <v>N</v>
          </cell>
          <cell r="AI45">
            <v>31.531500000000001</v>
          </cell>
          <cell r="AJ45">
            <v>14.3</v>
          </cell>
          <cell r="AK45" t="str">
            <v>TBD</v>
          </cell>
          <cell r="AL45" t="str">
            <v>Y</v>
          </cell>
          <cell r="AM45" t="str">
            <v>2000184TBD</v>
          </cell>
          <cell r="AN45" t="str">
            <v>2000284TBD</v>
          </cell>
          <cell r="AO45" t="str">
            <v>2000183TBD</v>
          </cell>
          <cell r="AP45" t="str">
            <v>2000283TBD</v>
          </cell>
          <cell r="AQ45" t="str">
            <v>2000182TBD</v>
          </cell>
          <cell r="AR45" t="str">
            <v>2000282TBD</v>
          </cell>
          <cell r="AS45" t="str">
            <v>TBD</v>
          </cell>
          <cell r="AT45" t="str">
            <v>NA</v>
          </cell>
          <cell r="AU45" t="str">
            <v>NA</v>
          </cell>
          <cell r="AV45" t="str">
            <v>NA</v>
          </cell>
          <cell r="AW45">
            <v>40808</v>
          </cell>
        </row>
        <row r="46">
          <cell r="C46" t="str">
            <v>Chint Solar-Astronergy - CHSM 6606P 130-145_S</v>
          </cell>
          <cell r="D46" t="str">
            <v>Standard Claw</v>
          </cell>
          <cell r="E46">
            <v>5000005</v>
          </cell>
          <cell r="F46">
            <v>39.133858267716541</v>
          </cell>
          <cell r="G46">
            <v>40.15748031496063</v>
          </cell>
          <cell r="H46">
            <v>1.7716535433070868</v>
          </cell>
          <cell r="I46" t="str">
            <v>2000107TBD</v>
          </cell>
          <cell r="J46" t="str">
            <v>2000108TBD</v>
          </cell>
          <cell r="K46" t="str">
            <v>2000138TBD</v>
          </cell>
          <cell r="L46" t="str">
            <v>2000163TBD</v>
          </cell>
          <cell r="M46" t="str">
            <v>5000125TBD</v>
          </cell>
          <cell r="N46" t="str">
            <v>5000126TBD</v>
          </cell>
          <cell r="O46" t="str">
            <v>5000125TBD</v>
          </cell>
          <cell r="P46" t="str">
            <v>5000126TBD</v>
          </cell>
          <cell r="Q46">
            <v>11.593851817515533</v>
          </cell>
          <cell r="R46">
            <v>10.361517999726759</v>
          </cell>
          <cell r="S46">
            <v>4.8893107769288457</v>
          </cell>
          <cell r="T46">
            <v>4.8893107769288457</v>
          </cell>
          <cell r="U46">
            <v>11.593851817515533</v>
          </cell>
          <cell r="V46">
            <v>10.361517999726759</v>
          </cell>
          <cell r="W46">
            <v>50</v>
          </cell>
          <cell r="X46">
            <v>35.614173228346459</v>
          </cell>
          <cell r="Y46">
            <v>41.865157480314963</v>
          </cell>
          <cell r="Z46">
            <v>35.614173228346459</v>
          </cell>
          <cell r="AA46">
            <v>41.865157480314963</v>
          </cell>
          <cell r="AB46">
            <v>35.614173228346459</v>
          </cell>
          <cell r="AC46">
            <v>41.865157480314963</v>
          </cell>
          <cell r="AD46">
            <v>41.865157480314963</v>
          </cell>
          <cell r="AE46" t="str">
            <v>NA</v>
          </cell>
          <cell r="AF46" t="str">
            <v>NA</v>
          </cell>
          <cell r="AG46" t="str">
            <v>NA</v>
          </cell>
          <cell r="AH46" t="str">
            <v>N</v>
          </cell>
          <cell r="AI46">
            <v>26.46</v>
          </cell>
          <cell r="AJ46">
            <v>12</v>
          </cell>
          <cell r="AK46" t="str">
            <v>TBD</v>
          </cell>
          <cell r="AL46" t="str">
            <v>Y</v>
          </cell>
          <cell r="AM46" t="str">
            <v>2000184TBD</v>
          </cell>
          <cell r="AN46" t="str">
            <v>2000284TBD</v>
          </cell>
          <cell r="AO46" t="str">
            <v>2000183TBD</v>
          </cell>
          <cell r="AP46" t="str">
            <v>2000283TBD</v>
          </cell>
          <cell r="AQ46" t="str">
            <v>2000182TBD</v>
          </cell>
          <cell r="AR46" t="str">
            <v>2000282TBD</v>
          </cell>
          <cell r="AS46" t="str">
            <v>TBD</v>
          </cell>
          <cell r="AT46" t="str">
            <v>NA</v>
          </cell>
          <cell r="AU46" t="str">
            <v>NA</v>
          </cell>
          <cell r="AV46" t="str">
            <v>NA</v>
          </cell>
          <cell r="AW46">
            <v>40808</v>
          </cell>
        </row>
        <row r="47">
          <cell r="C47" t="str">
            <v>Chint Solar-Astronergy - CHSM 6612P 245-275_S</v>
          </cell>
          <cell r="D47" t="str">
            <v>Standard Claw</v>
          </cell>
          <cell r="E47">
            <v>5000005</v>
          </cell>
          <cell r="F47">
            <v>39.133858267716541</v>
          </cell>
          <cell r="G47">
            <v>77.00787401574803</v>
          </cell>
          <cell r="H47">
            <v>1.9685039370078741</v>
          </cell>
          <cell r="I47">
            <v>200010707</v>
          </cell>
          <cell r="J47">
            <v>200010807</v>
          </cell>
          <cell r="K47">
            <v>200013807</v>
          </cell>
          <cell r="L47">
            <v>200016307</v>
          </cell>
          <cell r="M47">
            <v>500012581</v>
          </cell>
          <cell r="N47">
            <v>500012681</v>
          </cell>
          <cell r="O47">
            <v>500012581</v>
          </cell>
          <cell r="P47">
            <v>500012681</v>
          </cell>
          <cell r="Q47">
            <v>11.672349814003409</v>
          </cell>
          <cell r="R47">
            <v>10.431474434518069</v>
          </cell>
          <cell r="S47">
            <v>4.9220372409246478</v>
          </cell>
          <cell r="T47">
            <v>4.9220372409246478</v>
          </cell>
          <cell r="U47">
            <v>11.672349814003409</v>
          </cell>
          <cell r="V47">
            <v>10.431474434518069</v>
          </cell>
          <cell r="W47">
            <v>40</v>
          </cell>
          <cell r="X47">
            <v>35.377952755905511</v>
          </cell>
          <cell r="Y47">
            <v>78.479330708661422</v>
          </cell>
          <cell r="Z47">
            <v>35.377952755905511</v>
          </cell>
          <cell r="AA47">
            <v>78.479330708661422</v>
          </cell>
          <cell r="AB47">
            <v>35.377952755905511</v>
          </cell>
          <cell r="AC47">
            <v>78.479330708661422</v>
          </cell>
          <cell r="AD47">
            <v>78.479330708661422</v>
          </cell>
          <cell r="AE47">
            <v>77.507874015748044</v>
          </cell>
          <cell r="AF47">
            <v>35.507874015748037</v>
          </cell>
          <cell r="AG47">
            <v>40.003937007874022</v>
          </cell>
          <cell r="AH47" t="str">
            <v>N</v>
          </cell>
          <cell r="AI47">
            <v>51.817500000000003</v>
          </cell>
          <cell r="AJ47">
            <v>23.5</v>
          </cell>
          <cell r="AK47" t="str">
            <v>TBD</v>
          </cell>
          <cell r="AL47" t="str">
            <v>Y</v>
          </cell>
          <cell r="AM47">
            <v>200018407</v>
          </cell>
          <cell r="AN47">
            <v>200028407</v>
          </cell>
          <cell r="AO47">
            <v>200018307</v>
          </cell>
          <cell r="AP47">
            <v>200028307</v>
          </cell>
          <cell r="AQ47">
            <v>200018207</v>
          </cell>
          <cell r="AR47">
            <v>200028207</v>
          </cell>
          <cell r="AS47">
            <v>17.222222222222221</v>
          </cell>
          <cell r="AT47">
            <v>20.028405717951866</v>
          </cell>
          <cell r="AU47">
            <v>14.942446078078534</v>
          </cell>
          <cell r="AV47">
            <v>10.203677993133164</v>
          </cell>
          <cell r="AW47">
            <v>40808</v>
          </cell>
        </row>
        <row r="48">
          <cell r="C48" t="str">
            <v>Chint Solar-Astronergy - CHSM 6611P 265-295_S</v>
          </cell>
          <cell r="D48" t="str">
            <v>Standard Claw</v>
          </cell>
          <cell r="E48">
            <v>5000005</v>
          </cell>
          <cell r="F48">
            <v>39.133858267716541</v>
          </cell>
          <cell r="G48">
            <v>70.787401574803155</v>
          </cell>
          <cell r="H48">
            <v>1.9685039370078741</v>
          </cell>
          <cell r="I48">
            <v>200010706</v>
          </cell>
          <cell r="J48">
            <v>200010806</v>
          </cell>
          <cell r="K48">
            <v>200013806</v>
          </cell>
          <cell r="L48">
            <v>200016306</v>
          </cell>
          <cell r="M48">
            <v>500012574</v>
          </cell>
          <cell r="N48">
            <v>500012674</v>
          </cell>
          <cell r="O48">
            <v>500012575</v>
          </cell>
          <cell r="P48">
            <v>500012675</v>
          </cell>
          <cell r="Q48">
            <v>11.672349814003409</v>
          </cell>
          <cell r="R48">
            <v>10.431474434518069</v>
          </cell>
          <cell r="S48">
            <v>4.9220372409246478</v>
          </cell>
          <cell r="T48">
            <v>4.9220372409246478</v>
          </cell>
          <cell r="U48">
            <v>11.672349814003409</v>
          </cell>
          <cell r="V48">
            <v>10.431474434518069</v>
          </cell>
          <cell r="W48">
            <v>40</v>
          </cell>
          <cell r="X48">
            <v>35.377952755905511</v>
          </cell>
          <cell r="Y48">
            <v>72.258858267716533</v>
          </cell>
          <cell r="Z48">
            <v>35.377952755905511</v>
          </cell>
          <cell r="AA48">
            <v>72.258858267716533</v>
          </cell>
          <cell r="AB48">
            <v>35.377952755905511</v>
          </cell>
          <cell r="AC48">
            <v>72.258858267716533</v>
          </cell>
          <cell r="AD48">
            <v>72.258858267716533</v>
          </cell>
          <cell r="AE48">
            <v>71.287401574803155</v>
          </cell>
          <cell r="AF48">
            <v>29.287401574803155</v>
          </cell>
          <cell r="AG48">
            <v>40.003937007874022</v>
          </cell>
          <cell r="AH48" t="str">
            <v>N</v>
          </cell>
          <cell r="AI48">
            <v>48.510000000000005</v>
          </cell>
          <cell r="AJ48">
            <v>22</v>
          </cell>
          <cell r="AK48" t="str">
            <v>TBD</v>
          </cell>
          <cell r="AL48" t="str">
            <v>Y</v>
          </cell>
          <cell r="AM48">
            <v>200018405</v>
          </cell>
          <cell r="AN48">
            <v>200028405</v>
          </cell>
          <cell r="AO48">
            <v>200018305</v>
          </cell>
          <cell r="AP48">
            <v>200028305</v>
          </cell>
          <cell r="AQ48">
            <v>200018205</v>
          </cell>
          <cell r="AR48">
            <v>200028205</v>
          </cell>
          <cell r="AS48">
            <v>15.888888888888888</v>
          </cell>
          <cell r="AT48">
            <v>20.028405717951866</v>
          </cell>
          <cell r="AU48">
            <v>14.942446078078534</v>
          </cell>
          <cell r="AV48">
            <v>10.203677993133164</v>
          </cell>
          <cell r="AW48">
            <v>40808</v>
          </cell>
        </row>
        <row r="49">
          <cell r="C49" t="str">
            <v>CNPV - CNPV-160-210M_S</v>
          </cell>
          <cell r="D49" t="str">
            <v>Standard Claw</v>
          </cell>
          <cell r="E49">
            <v>5000005</v>
          </cell>
          <cell r="F49">
            <v>31.850393700787404</v>
          </cell>
          <cell r="G49">
            <v>62.244094488188978</v>
          </cell>
          <cell r="H49">
            <v>1.5748031496062993</v>
          </cell>
          <cell r="I49">
            <v>200010704</v>
          </cell>
          <cell r="J49">
            <v>200010804</v>
          </cell>
          <cell r="K49">
            <v>200013804</v>
          </cell>
          <cell r="L49">
            <v>200016304</v>
          </cell>
          <cell r="M49">
            <v>500012566</v>
          </cell>
          <cell r="N49">
            <v>500012666</v>
          </cell>
          <cell r="O49">
            <v>500012566</v>
          </cell>
          <cell r="P49">
            <v>500012666</v>
          </cell>
          <cell r="Q49">
            <v>14.974281783352525</v>
          </cell>
          <cell r="R49">
            <v>13.370047881683151</v>
          </cell>
          <cell r="S49">
            <v>6.2910650043569554</v>
          </cell>
          <cell r="T49">
            <v>6.2910650043569554</v>
          </cell>
          <cell r="U49">
            <v>14.974281783352525</v>
          </cell>
          <cell r="V49">
            <v>13.370047881683151</v>
          </cell>
          <cell r="W49">
            <v>30</v>
          </cell>
          <cell r="X49">
            <v>27.700787401574807</v>
          </cell>
          <cell r="Y49">
            <v>63.321850393700792</v>
          </cell>
          <cell r="Z49">
            <v>27.700787401574807</v>
          </cell>
          <cell r="AA49">
            <v>63.321850393700792</v>
          </cell>
          <cell r="AB49">
            <v>27.700787401574807</v>
          </cell>
          <cell r="AC49">
            <v>63.321850393700792</v>
          </cell>
          <cell r="AD49">
            <v>63.321850393700792</v>
          </cell>
          <cell r="AE49">
            <v>62.744094488188985</v>
          </cell>
          <cell r="AF49">
            <v>20.744094488188981</v>
          </cell>
          <cell r="AG49">
            <v>32.326771653543311</v>
          </cell>
          <cell r="AH49" t="str">
            <v>Y</v>
          </cell>
          <cell r="AI49">
            <v>34.177500000000002</v>
          </cell>
          <cell r="AJ49">
            <v>15.5</v>
          </cell>
          <cell r="AK49" t="str">
            <v>TBD</v>
          </cell>
          <cell r="AL49" t="str">
            <v>Y</v>
          </cell>
          <cell r="AM49">
            <v>200018402</v>
          </cell>
          <cell r="AN49">
            <v>200028402</v>
          </cell>
          <cell r="AO49">
            <v>200018302</v>
          </cell>
          <cell r="AP49">
            <v>200028302</v>
          </cell>
          <cell r="AQ49">
            <v>200018202</v>
          </cell>
          <cell r="AR49">
            <v>200028202</v>
          </cell>
          <cell r="AS49">
            <v>13.888888888888888</v>
          </cell>
          <cell r="AT49">
            <v>25.076103795423887</v>
          </cell>
          <cell r="AU49">
            <v>18.607547533034456</v>
          </cell>
          <cell r="AV49">
            <v>12.663113701532669</v>
          </cell>
          <cell r="AW49">
            <v>40862</v>
          </cell>
        </row>
        <row r="50">
          <cell r="C50" t="str">
            <v>CNPV - CNPV-190-230M-54_S</v>
          </cell>
          <cell r="D50" t="str">
            <v>Standard Claw</v>
          </cell>
          <cell r="E50">
            <v>5000005</v>
          </cell>
          <cell r="F50">
            <v>39.055118110236222</v>
          </cell>
          <cell r="G50">
            <v>58.346456692913392</v>
          </cell>
          <cell r="H50">
            <v>1.8110236220472442</v>
          </cell>
          <cell r="I50">
            <v>200010703</v>
          </cell>
          <cell r="J50">
            <v>200010803</v>
          </cell>
          <cell r="K50">
            <v>200013803</v>
          </cell>
          <cell r="L50">
            <v>200016303</v>
          </cell>
          <cell r="M50">
            <v>500012562</v>
          </cell>
          <cell r="N50">
            <v>500012662</v>
          </cell>
          <cell r="O50">
            <v>500012562</v>
          </cell>
          <cell r="P50">
            <v>500012662</v>
          </cell>
          <cell r="Q50">
            <v>11.778694560772582</v>
          </cell>
          <cell r="R50">
            <v>10.526241039665905</v>
          </cell>
          <cell r="S50">
            <v>4.9663610300746015</v>
          </cell>
          <cell r="T50">
            <v>4.9663610300746015</v>
          </cell>
          <cell r="U50">
            <v>11.778694560772582</v>
          </cell>
          <cell r="V50">
            <v>10.526241039665905</v>
          </cell>
          <cell r="W50">
            <v>30</v>
          </cell>
          <cell r="X50">
            <v>35.062992125984252</v>
          </cell>
          <cell r="Y50">
            <v>59.58169291338583</v>
          </cell>
          <cell r="Z50">
            <v>35.062992125984252</v>
          </cell>
          <cell r="AA50">
            <v>59.58169291338583</v>
          </cell>
          <cell r="AB50">
            <v>35.062992125984252</v>
          </cell>
          <cell r="AC50">
            <v>59.58169291338583</v>
          </cell>
          <cell r="AD50">
            <v>59.58169291338583</v>
          </cell>
          <cell r="AE50">
            <v>58.846456692913392</v>
          </cell>
          <cell r="AF50">
            <v>16.846456692913389</v>
          </cell>
          <cell r="AG50">
            <v>39.688976377952756</v>
          </cell>
          <cell r="AH50" t="str">
            <v>Y</v>
          </cell>
          <cell r="AI50">
            <v>39.69</v>
          </cell>
          <cell r="AJ50">
            <v>18</v>
          </cell>
          <cell r="AK50" t="str">
            <v>TBD</v>
          </cell>
          <cell r="AL50" t="str">
            <v>Y</v>
          </cell>
          <cell r="AM50">
            <v>200018401</v>
          </cell>
          <cell r="AN50">
            <v>200028401</v>
          </cell>
          <cell r="AO50">
            <v>200018301</v>
          </cell>
          <cell r="AP50">
            <v>200028301</v>
          </cell>
          <cell r="AQ50">
            <v>200018201</v>
          </cell>
          <cell r="AR50">
            <v>200028201</v>
          </cell>
          <cell r="AS50">
            <v>13.22222222222222</v>
          </cell>
          <cell r="AT50">
            <v>20.19423994993074</v>
          </cell>
          <cell r="AU50">
            <v>15.063823110425394</v>
          </cell>
          <cell r="AV50">
            <v>10.285529115768481</v>
          </cell>
          <cell r="AW50">
            <v>40862</v>
          </cell>
        </row>
        <row r="51">
          <cell r="C51" t="str">
            <v>CNPV - CNPV-200-255M_S</v>
          </cell>
          <cell r="D51" t="str">
            <v>Standard Claw</v>
          </cell>
          <cell r="E51">
            <v>5000005</v>
          </cell>
          <cell r="F51">
            <v>39.055118110236222</v>
          </cell>
          <cell r="G51">
            <v>64.960629921259851</v>
          </cell>
          <cell r="H51">
            <v>1.8110236220472442</v>
          </cell>
          <cell r="I51">
            <v>200010704</v>
          </cell>
          <cell r="J51">
            <v>200010804</v>
          </cell>
          <cell r="K51">
            <v>200013804</v>
          </cell>
          <cell r="L51">
            <v>200016304</v>
          </cell>
          <cell r="M51">
            <v>500012568</v>
          </cell>
          <cell r="N51">
            <v>500012668</v>
          </cell>
          <cell r="O51">
            <v>500012569</v>
          </cell>
          <cell r="P51">
            <v>500012669</v>
          </cell>
          <cell r="Q51">
            <v>11.778694560772582</v>
          </cell>
          <cell r="R51">
            <v>10.526241039665905</v>
          </cell>
          <cell r="S51">
            <v>4.9663610300746015</v>
          </cell>
          <cell r="T51">
            <v>4.9663610300746015</v>
          </cell>
          <cell r="U51">
            <v>11.778694560772582</v>
          </cell>
          <cell r="V51">
            <v>10.526241039665905</v>
          </cell>
          <cell r="W51">
            <v>30</v>
          </cell>
          <cell r="X51">
            <v>35.062992125984252</v>
          </cell>
          <cell r="Y51">
            <v>66.195866141732282</v>
          </cell>
          <cell r="Z51">
            <v>35.062992125984252</v>
          </cell>
          <cell r="AA51">
            <v>66.195866141732282</v>
          </cell>
          <cell r="AB51">
            <v>35.062992125984252</v>
          </cell>
          <cell r="AC51">
            <v>66.195866141732282</v>
          </cell>
          <cell r="AD51">
            <v>66.195866141732282</v>
          </cell>
          <cell r="AE51">
            <v>65.460629921259851</v>
          </cell>
          <cell r="AF51">
            <v>23.460629921259848</v>
          </cell>
          <cell r="AG51">
            <v>39.688976377952756</v>
          </cell>
          <cell r="AH51" t="str">
            <v>Y</v>
          </cell>
          <cell r="AI51">
            <v>44.1</v>
          </cell>
          <cell r="AJ51">
            <v>20</v>
          </cell>
          <cell r="AK51" t="str">
            <v>TBD</v>
          </cell>
          <cell r="AL51" t="str">
            <v>Y</v>
          </cell>
          <cell r="AM51">
            <v>200018403</v>
          </cell>
          <cell r="AN51">
            <v>200028403</v>
          </cell>
          <cell r="AO51">
            <v>200018303</v>
          </cell>
          <cell r="AP51">
            <v>200028303</v>
          </cell>
          <cell r="AQ51">
            <v>200018203</v>
          </cell>
          <cell r="AR51">
            <v>200028203</v>
          </cell>
          <cell r="AS51">
            <v>14.555555555555557</v>
          </cell>
          <cell r="AT51">
            <v>20.19423994993074</v>
          </cell>
          <cell r="AU51">
            <v>15.063823110425394</v>
          </cell>
          <cell r="AV51">
            <v>10.285529115768481</v>
          </cell>
          <cell r="AW51">
            <v>40862</v>
          </cell>
        </row>
        <row r="52">
          <cell r="C52" t="str">
            <v>CNPV - CNPV-255-320M_S</v>
          </cell>
          <cell r="D52" t="str">
            <v>Standard Claw</v>
          </cell>
          <cell r="E52">
            <v>5000005</v>
          </cell>
          <cell r="F52">
            <v>39.055118110236222</v>
          </cell>
          <cell r="G52">
            <v>77.362204724409452</v>
          </cell>
          <cell r="H52">
            <v>1.8110236220472442</v>
          </cell>
          <cell r="I52">
            <v>200010707</v>
          </cell>
          <cell r="J52">
            <v>200010807</v>
          </cell>
          <cell r="K52">
            <v>200013807</v>
          </cell>
          <cell r="L52">
            <v>200016307</v>
          </cell>
          <cell r="M52">
            <v>500012581</v>
          </cell>
          <cell r="N52">
            <v>500012681</v>
          </cell>
          <cell r="O52">
            <v>500012581</v>
          </cell>
          <cell r="P52">
            <v>500012681</v>
          </cell>
          <cell r="Q52">
            <v>11.778694560772582</v>
          </cell>
          <cell r="R52">
            <v>10.526241039665905</v>
          </cell>
          <cell r="S52">
            <v>4.9663610300746015</v>
          </cell>
          <cell r="T52">
            <v>4.9663610300746015</v>
          </cell>
          <cell r="U52">
            <v>11.778694560772582</v>
          </cell>
          <cell r="V52">
            <v>10.526241039665905</v>
          </cell>
          <cell r="W52">
            <v>30</v>
          </cell>
          <cell r="X52">
            <v>35.062992125984252</v>
          </cell>
          <cell r="Y52">
            <v>78.597440944881896</v>
          </cell>
          <cell r="Z52">
            <v>35.062992125984252</v>
          </cell>
          <cell r="AA52">
            <v>78.597440944881896</v>
          </cell>
          <cell r="AB52">
            <v>35.062992125984252</v>
          </cell>
          <cell r="AC52">
            <v>78.597440944881896</v>
          </cell>
          <cell r="AD52">
            <v>78.597440944881896</v>
          </cell>
          <cell r="AE52">
            <v>77.862204724409452</v>
          </cell>
          <cell r="AF52">
            <v>35.862204724409452</v>
          </cell>
          <cell r="AG52">
            <v>39.688976377952756</v>
          </cell>
          <cell r="AH52" t="str">
            <v>Y</v>
          </cell>
          <cell r="AI52">
            <v>55.125</v>
          </cell>
          <cell r="AJ52">
            <v>25</v>
          </cell>
          <cell r="AK52" t="str">
            <v>TBD</v>
          </cell>
          <cell r="AL52" t="str">
            <v>Y</v>
          </cell>
          <cell r="AM52">
            <v>200018407</v>
          </cell>
          <cell r="AN52">
            <v>200028407</v>
          </cell>
          <cell r="AO52">
            <v>200018307</v>
          </cell>
          <cell r="AP52">
            <v>200028307</v>
          </cell>
          <cell r="AQ52">
            <v>200018207</v>
          </cell>
          <cell r="AR52">
            <v>200028207</v>
          </cell>
          <cell r="AS52">
            <v>17.222222222222221</v>
          </cell>
          <cell r="AT52">
            <v>20.19423994993074</v>
          </cell>
          <cell r="AU52">
            <v>15.063823110425394</v>
          </cell>
          <cell r="AV52">
            <v>10.285529115768481</v>
          </cell>
          <cell r="AW52">
            <v>40862</v>
          </cell>
        </row>
        <row r="53">
          <cell r="C53" t="str">
            <v>CNPV - CNPV-115-145P_S</v>
          </cell>
          <cell r="D53" t="str">
            <v>Standard Claw</v>
          </cell>
          <cell r="E53">
            <v>5000005</v>
          </cell>
          <cell r="F53">
            <v>26.535433070866144</v>
          </cell>
          <cell r="G53">
            <v>58.740157480314963</v>
          </cell>
          <cell r="H53">
            <v>1.5748031496062993</v>
          </cell>
          <cell r="I53">
            <v>200010703</v>
          </cell>
          <cell r="J53">
            <v>200010803</v>
          </cell>
          <cell r="K53">
            <v>200013803</v>
          </cell>
          <cell r="L53">
            <v>200016303</v>
          </cell>
          <cell r="M53">
            <v>500012562</v>
          </cell>
          <cell r="N53">
            <v>500012662</v>
          </cell>
          <cell r="O53">
            <v>500012563</v>
          </cell>
          <cell r="P53">
            <v>500012663</v>
          </cell>
          <cell r="Q53">
            <v>18.646759082927325</v>
          </cell>
          <cell r="R53">
            <v>16.627087624346455</v>
          </cell>
          <cell r="S53">
            <v>7.7930967180026212</v>
          </cell>
          <cell r="T53">
            <v>7.7930967180026212</v>
          </cell>
          <cell r="U53">
            <v>18.646759082927325</v>
          </cell>
          <cell r="V53">
            <v>16.627087624346455</v>
          </cell>
          <cell r="W53">
            <v>30</v>
          </cell>
          <cell r="X53">
            <v>22.385826771653544</v>
          </cell>
          <cell r="Y53">
            <v>59.817913385826778</v>
          </cell>
          <cell r="Z53">
            <v>22.385826771653544</v>
          </cell>
          <cell r="AA53">
            <v>59.817913385826778</v>
          </cell>
          <cell r="AB53">
            <v>22.385826771653544</v>
          </cell>
          <cell r="AC53">
            <v>59.817913385826778</v>
          </cell>
          <cell r="AD53">
            <v>59.817913385826778</v>
          </cell>
          <cell r="AE53">
            <v>59.240157480314963</v>
          </cell>
          <cell r="AF53">
            <v>17.240157480314966</v>
          </cell>
          <cell r="AG53">
            <v>27.011811023622048</v>
          </cell>
          <cell r="AH53" t="str">
            <v>Y</v>
          </cell>
          <cell r="AI53">
            <v>28.664999999999999</v>
          </cell>
          <cell r="AJ53">
            <v>13</v>
          </cell>
          <cell r="AK53" t="str">
            <v>TBD</v>
          </cell>
          <cell r="AL53" t="str">
            <v>Y</v>
          </cell>
          <cell r="AM53">
            <v>200018401</v>
          </cell>
          <cell r="AN53">
            <v>200028401</v>
          </cell>
          <cell r="AO53">
            <v>200018301</v>
          </cell>
          <cell r="AP53">
            <v>200028301</v>
          </cell>
          <cell r="AQ53">
            <v>200018201</v>
          </cell>
          <cell r="AR53">
            <v>200028201</v>
          </cell>
          <cell r="AS53">
            <v>13.22222222222222</v>
          </cell>
          <cell r="AT53">
            <v>30.478479205322657</v>
          </cell>
          <cell r="AU53">
            <v>22.449471967224024</v>
          </cell>
          <cell r="AV53">
            <v>15.209692728873973</v>
          </cell>
          <cell r="AW53">
            <v>40862</v>
          </cell>
        </row>
        <row r="54">
          <cell r="C54" t="str">
            <v>CNPV - CNPV-190-220P-54_S</v>
          </cell>
          <cell r="D54" t="str">
            <v>Standard Claw</v>
          </cell>
          <cell r="E54">
            <v>5000005</v>
          </cell>
          <cell r="F54">
            <v>39.055118110236222</v>
          </cell>
          <cell r="G54">
            <v>58.346456692913392</v>
          </cell>
          <cell r="H54">
            <v>1.8110236220472442</v>
          </cell>
          <cell r="I54">
            <v>200010703</v>
          </cell>
          <cell r="J54">
            <v>200010803</v>
          </cell>
          <cell r="K54">
            <v>200013803</v>
          </cell>
          <cell r="L54">
            <v>200016303</v>
          </cell>
          <cell r="M54">
            <v>500012562</v>
          </cell>
          <cell r="N54">
            <v>500012662</v>
          </cell>
          <cell r="O54">
            <v>500012562</v>
          </cell>
          <cell r="P54">
            <v>500012662</v>
          </cell>
          <cell r="Q54">
            <v>11.778694560772582</v>
          </cell>
          <cell r="R54">
            <v>10.526241039665905</v>
          </cell>
          <cell r="S54">
            <v>4.9663610300746015</v>
          </cell>
          <cell r="T54">
            <v>4.9663610300746015</v>
          </cell>
          <cell r="U54">
            <v>11.778694560772582</v>
          </cell>
          <cell r="V54">
            <v>10.526241039665905</v>
          </cell>
          <cell r="W54">
            <v>30</v>
          </cell>
          <cell r="X54">
            <v>35.062992125984252</v>
          </cell>
          <cell r="Y54">
            <v>59.58169291338583</v>
          </cell>
          <cell r="Z54">
            <v>35.062992125984252</v>
          </cell>
          <cell r="AA54">
            <v>59.58169291338583</v>
          </cell>
          <cell r="AB54">
            <v>35.062992125984252</v>
          </cell>
          <cell r="AC54">
            <v>59.58169291338583</v>
          </cell>
          <cell r="AD54">
            <v>59.58169291338583</v>
          </cell>
          <cell r="AE54">
            <v>58.846456692913392</v>
          </cell>
          <cell r="AF54">
            <v>16.846456692913389</v>
          </cell>
          <cell r="AG54">
            <v>39.688976377952756</v>
          </cell>
          <cell r="AH54" t="str">
            <v>Y</v>
          </cell>
          <cell r="AI54">
            <v>39.69</v>
          </cell>
          <cell r="AJ54">
            <v>18</v>
          </cell>
          <cell r="AK54" t="str">
            <v>TBD</v>
          </cell>
          <cell r="AL54" t="str">
            <v>Y</v>
          </cell>
          <cell r="AM54">
            <v>200018401</v>
          </cell>
          <cell r="AN54">
            <v>200028401</v>
          </cell>
          <cell r="AO54">
            <v>200018301</v>
          </cell>
          <cell r="AP54">
            <v>200028301</v>
          </cell>
          <cell r="AQ54">
            <v>200018201</v>
          </cell>
          <cell r="AR54">
            <v>200028201</v>
          </cell>
          <cell r="AS54">
            <v>13.22222222222222</v>
          </cell>
          <cell r="AT54">
            <v>20.19423994993074</v>
          </cell>
          <cell r="AU54">
            <v>15.063823110425394</v>
          </cell>
          <cell r="AV54">
            <v>10.285529115768481</v>
          </cell>
          <cell r="AW54">
            <v>40862</v>
          </cell>
        </row>
        <row r="55">
          <cell r="C55" t="str">
            <v>CNPV - CNPV-190-245P_S</v>
          </cell>
          <cell r="D55" t="str">
            <v>Standard Claw</v>
          </cell>
          <cell r="E55">
            <v>5000005</v>
          </cell>
          <cell r="F55">
            <v>39.055118110236222</v>
          </cell>
          <cell r="G55">
            <v>64.960629921259851</v>
          </cell>
          <cell r="H55">
            <v>1.8110236220472442</v>
          </cell>
          <cell r="I55">
            <v>200010704</v>
          </cell>
          <cell r="J55">
            <v>200010804</v>
          </cell>
          <cell r="K55">
            <v>200013804</v>
          </cell>
          <cell r="L55">
            <v>200016304</v>
          </cell>
          <cell r="M55">
            <v>500012568</v>
          </cell>
          <cell r="N55">
            <v>500012668</v>
          </cell>
          <cell r="O55">
            <v>500012569</v>
          </cell>
          <cell r="P55">
            <v>500012669</v>
          </cell>
          <cell r="Q55">
            <v>11.778694560772582</v>
          </cell>
          <cell r="R55">
            <v>10.526241039665905</v>
          </cell>
          <cell r="S55">
            <v>4.9663610300746015</v>
          </cell>
          <cell r="T55">
            <v>4.9663610300746015</v>
          </cell>
          <cell r="U55">
            <v>11.778694560772582</v>
          </cell>
          <cell r="V55">
            <v>10.526241039665905</v>
          </cell>
          <cell r="W55">
            <v>30</v>
          </cell>
          <cell r="X55">
            <v>35.062992125984252</v>
          </cell>
          <cell r="Y55">
            <v>66.195866141732282</v>
          </cell>
          <cell r="Z55">
            <v>35.062992125984252</v>
          </cell>
          <cell r="AA55">
            <v>66.195866141732282</v>
          </cell>
          <cell r="AB55">
            <v>35.062992125984252</v>
          </cell>
          <cell r="AC55">
            <v>66.195866141732282</v>
          </cell>
          <cell r="AD55">
            <v>66.195866141732282</v>
          </cell>
          <cell r="AE55">
            <v>65.460629921259851</v>
          </cell>
          <cell r="AF55">
            <v>23.460629921259848</v>
          </cell>
          <cell r="AG55">
            <v>39.688976377952756</v>
          </cell>
          <cell r="AH55" t="str">
            <v>Y</v>
          </cell>
          <cell r="AI55">
            <v>44.1</v>
          </cell>
          <cell r="AJ55">
            <v>20</v>
          </cell>
          <cell r="AK55" t="str">
            <v>TBD</v>
          </cell>
          <cell r="AL55" t="str">
            <v>Y</v>
          </cell>
          <cell r="AM55">
            <v>200018403</v>
          </cell>
          <cell r="AN55">
            <v>200028403</v>
          </cell>
          <cell r="AO55">
            <v>200018303</v>
          </cell>
          <cell r="AP55">
            <v>200028303</v>
          </cell>
          <cell r="AQ55">
            <v>200018203</v>
          </cell>
          <cell r="AR55">
            <v>200028203</v>
          </cell>
          <cell r="AS55">
            <v>14.555555555555557</v>
          </cell>
          <cell r="AT55">
            <v>20.19423994993074</v>
          </cell>
          <cell r="AU55">
            <v>15.063823110425394</v>
          </cell>
          <cell r="AV55">
            <v>10.285529115768481</v>
          </cell>
          <cell r="AW55">
            <v>40862</v>
          </cell>
        </row>
        <row r="56">
          <cell r="C56" t="str">
            <v>CNPV - CNPV-250-295P_S</v>
          </cell>
          <cell r="D56" t="str">
            <v>Standard Claw</v>
          </cell>
          <cell r="E56">
            <v>5000005</v>
          </cell>
          <cell r="F56">
            <v>39.055118110236222</v>
          </cell>
          <cell r="G56">
            <v>77.362204724409452</v>
          </cell>
          <cell r="H56">
            <v>1.8110236220472442</v>
          </cell>
          <cell r="I56">
            <v>200010707</v>
          </cell>
          <cell r="J56">
            <v>200010807</v>
          </cell>
          <cell r="K56">
            <v>200013807</v>
          </cell>
          <cell r="L56">
            <v>200016307</v>
          </cell>
          <cell r="M56">
            <v>500012581</v>
          </cell>
          <cell r="N56">
            <v>500012681</v>
          </cell>
          <cell r="O56">
            <v>500012581</v>
          </cell>
          <cell r="P56">
            <v>500012681</v>
          </cell>
          <cell r="Q56">
            <v>11.778694560772582</v>
          </cell>
          <cell r="R56">
            <v>10.526241039665905</v>
          </cell>
          <cell r="S56">
            <v>4.9663610300746015</v>
          </cell>
          <cell r="T56">
            <v>4.9663610300746015</v>
          </cell>
          <cell r="U56">
            <v>11.778694560772582</v>
          </cell>
          <cell r="V56">
            <v>10.526241039665905</v>
          </cell>
          <cell r="W56">
            <v>30</v>
          </cell>
          <cell r="X56">
            <v>35.062992125984252</v>
          </cell>
          <cell r="Y56">
            <v>78.597440944881896</v>
          </cell>
          <cell r="Z56">
            <v>35.062992125984252</v>
          </cell>
          <cell r="AA56">
            <v>78.597440944881896</v>
          </cell>
          <cell r="AB56">
            <v>35.062992125984252</v>
          </cell>
          <cell r="AC56">
            <v>78.597440944881896</v>
          </cell>
          <cell r="AD56">
            <v>78.597440944881896</v>
          </cell>
          <cell r="AE56">
            <v>77.862204724409452</v>
          </cell>
          <cell r="AF56">
            <v>35.862204724409452</v>
          </cell>
          <cell r="AG56">
            <v>39.688976377952756</v>
          </cell>
          <cell r="AH56" t="str">
            <v>Y</v>
          </cell>
          <cell r="AI56">
            <v>55.125</v>
          </cell>
          <cell r="AJ56">
            <v>25</v>
          </cell>
          <cell r="AK56" t="str">
            <v>TBD</v>
          </cell>
          <cell r="AL56" t="str">
            <v>Y</v>
          </cell>
          <cell r="AM56">
            <v>200018407</v>
          </cell>
          <cell r="AN56">
            <v>200028407</v>
          </cell>
          <cell r="AO56">
            <v>200018307</v>
          </cell>
          <cell r="AP56">
            <v>200028307</v>
          </cell>
          <cell r="AQ56">
            <v>200018207</v>
          </cell>
          <cell r="AR56">
            <v>200028207</v>
          </cell>
          <cell r="AS56">
            <v>17.222222222222221</v>
          </cell>
          <cell r="AT56">
            <v>20.19423994993074</v>
          </cell>
          <cell r="AU56">
            <v>15.063823110425394</v>
          </cell>
          <cell r="AV56">
            <v>10.285529115768481</v>
          </cell>
          <cell r="AW56">
            <v>40862</v>
          </cell>
        </row>
        <row r="57">
          <cell r="C57" t="str">
            <v>Conergy - P 210-235PA_S</v>
          </cell>
          <cell r="D57" t="str">
            <v>Standard Claw</v>
          </cell>
          <cell r="E57">
            <v>5000005</v>
          </cell>
          <cell r="F57">
            <v>39.370078740157481</v>
          </cell>
          <cell r="G57">
            <v>65.039370078740163</v>
          </cell>
          <cell r="H57">
            <v>1.9685039370078741</v>
          </cell>
          <cell r="I57">
            <v>200010704</v>
          </cell>
          <cell r="J57">
            <v>200010804</v>
          </cell>
          <cell r="K57">
            <v>200013804</v>
          </cell>
          <cell r="L57">
            <v>200016304</v>
          </cell>
          <cell r="M57">
            <v>500012568</v>
          </cell>
          <cell r="N57">
            <v>500012668</v>
          </cell>
          <cell r="O57">
            <v>500012569</v>
          </cell>
          <cell r="P57">
            <v>500012669</v>
          </cell>
          <cell r="Q57">
            <v>11.725279318414811</v>
          </cell>
          <cell r="R57">
            <v>10.478642249707667</v>
          </cell>
          <cell r="S57">
            <v>4.9440996728708777</v>
          </cell>
          <cell r="T57">
            <v>4.9440996728708777</v>
          </cell>
          <cell r="U57">
            <v>11.725279318414811</v>
          </cell>
          <cell r="V57">
            <v>10.478642249707667</v>
          </cell>
          <cell r="W57">
            <v>50</v>
          </cell>
          <cell r="X57">
            <v>35.220472440944881</v>
          </cell>
          <cell r="Y57">
            <v>66.11712598425197</v>
          </cell>
          <cell r="Z57">
            <v>35.220472440944881</v>
          </cell>
          <cell r="AA57">
            <v>66.11712598425197</v>
          </cell>
          <cell r="AB57">
            <v>35.220472440944881</v>
          </cell>
          <cell r="AC57">
            <v>66.11712598425197</v>
          </cell>
          <cell r="AD57">
            <v>66.11712598425197</v>
          </cell>
          <cell r="AE57">
            <v>65.539370078740163</v>
          </cell>
          <cell r="AF57">
            <v>23.539370078740163</v>
          </cell>
          <cell r="AG57">
            <v>39.846456692913392</v>
          </cell>
          <cell r="AH57" t="str">
            <v>N</v>
          </cell>
          <cell r="AI57">
            <v>48.510000000000005</v>
          </cell>
          <cell r="AJ57">
            <v>22</v>
          </cell>
          <cell r="AK57" t="str">
            <v>TBD</v>
          </cell>
          <cell r="AL57" t="str">
            <v>Y</v>
          </cell>
          <cell r="AM57">
            <v>200018403</v>
          </cell>
          <cell r="AN57">
            <v>200028403</v>
          </cell>
          <cell r="AO57">
            <v>200018303</v>
          </cell>
          <cell r="AP57">
            <v>200028303</v>
          </cell>
          <cell r="AQ57">
            <v>200018203</v>
          </cell>
          <cell r="AR57">
            <v>200028203</v>
          </cell>
          <cell r="AS57">
            <v>14.555555555555557</v>
          </cell>
          <cell r="AT57">
            <v>20.110973161651764</v>
          </cell>
          <cell r="AU57">
            <v>15.002886128524771</v>
          </cell>
          <cell r="AV57">
            <v>10.244439167746933</v>
          </cell>
          <cell r="AW57">
            <v>40617</v>
          </cell>
        </row>
        <row r="58">
          <cell r="C58" t="str">
            <v>Conergy - PM 225-245 P_L</v>
          </cell>
          <cell r="D58" t="str">
            <v>2nd Gen Long Claw (Conergy PM / AUO PM)</v>
          </cell>
          <cell r="E58">
            <v>500014410</v>
          </cell>
          <cell r="F58">
            <v>39.370078740157481</v>
          </cell>
          <cell r="G58">
            <v>65.669291338582681</v>
          </cell>
          <cell r="H58">
            <v>1.5748031496062993</v>
          </cell>
          <cell r="I58">
            <v>200010704</v>
          </cell>
          <cell r="J58">
            <v>200010804</v>
          </cell>
          <cell r="K58">
            <v>200013804</v>
          </cell>
          <cell r="L58">
            <v>200016304</v>
          </cell>
          <cell r="M58">
            <v>500012569</v>
          </cell>
          <cell r="N58">
            <v>500012669</v>
          </cell>
          <cell r="O58">
            <v>500012569</v>
          </cell>
          <cell r="P58">
            <v>500012669</v>
          </cell>
          <cell r="Q58">
            <v>10.41563801751966</v>
          </cell>
          <cell r="R58">
            <v>9.3110390770937794</v>
          </cell>
          <cell r="S58">
            <v>4.3972196268899051</v>
          </cell>
          <cell r="T58">
            <v>4.3972196268899051</v>
          </cell>
          <cell r="U58">
            <v>10.41563801751966</v>
          </cell>
          <cell r="V58">
            <v>9.3110390770937794</v>
          </cell>
          <cell r="W58">
            <v>50</v>
          </cell>
          <cell r="X58">
            <v>39.590551181102363</v>
          </cell>
          <cell r="Y58">
            <v>66.4242125984252</v>
          </cell>
          <cell r="Z58">
            <v>39.590551181102363</v>
          </cell>
          <cell r="AA58">
            <v>66.4242125984252</v>
          </cell>
          <cell r="AB58">
            <v>39.590551181102363</v>
          </cell>
          <cell r="AC58">
            <v>66.4242125984252</v>
          </cell>
          <cell r="AD58">
            <v>66.4242125984252</v>
          </cell>
          <cell r="AE58">
            <v>66.169291338582681</v>
          </cell>
          <cell r="AF58">
            <v>24.169291338582681</v>
          </cell>
          <cell r="AG58">
            <v>40.240157480314963</v>
          </cell>
          <cell r="AH58" t="str">
            <v>Y</v>
          </cell>
          <cell r="AI58">
            <v>44.1</v>
          </cell>
          <cell r="AJ58">
            <v>20</v>
          </cell>
          <cell r="AK58" t="str">
            <v>TBD</v>
          </cell>
          <cell r="AL58" t="str">
            <v>Y</v>
          </cell>
          <cell r="AM58">
            <v>200018403</v>
          </cell>
          <cell r="AN58">
            <v>200028403</v>
          </cell>
          <cell r="AO58">
            <v>200018303</v>
          </cell>
          <cell r="AP58">
            <v>200028303</v>
          </cell>
          <cell r="AQ58">
            <v>200018203</v>
          </cell>
          <cell r="AR58">
            <v>200028203</v>
          </cell>
          <cell r="AS58">
            <v>14.555555555555557</v>
          </cell>
          <cell r="AT58">
            <v>19.905846229389603</v>
          </cell>
          <cell r="AU58">
            <v>14.852704372847956</v>
          </cell>
          <cell r="AV58">
            <v>10.143144054640397</v>
          </cell>
          <cell r="AW58">
            <v>41284</v>
          </cell>
        </row>
        <row r="59">
          <cell r="C59" t="str">
            <v>Eclipsall Energy Corp - NRG-60 230-250_S</v>
          </cell>
          <cell r="D59" t="str">
            <v>Standard Claw</v>
          </cell>
          <cell r="E59">
            <v>5000005</v>
          </cell>
          <cell r="F59">
            <v>39.251968503937007</v>
          </cell>
          <cell r="G59">
            <v>65.472440944881896</v>
          </cell>
          <cell r="H59">
            <v>1.6535433070866143</v>
          </cell>
          <cell r="I59">
            <v>200010704</v>
          </cell>
          <cell r="J59">
            <v>200010804</v>
          </cell>
          <cell r="K59">
            <v>200013804</v>
          </cell>
          <cell r="L59">
            <v>200016304</v>
          </cell>
          <cell r="M59">
            <v>500012569</v>
          </cell>
          <cell r="N59">
            <v>500012669</v>
          </cell>
          <cell r="O59">
            <v>500012569</v>
          </cell>
          <cell r="P59">
            <v>500012669</v>
          </cell>
          <cell r="Q59">
            <v>11.685537017566332</v>
          </cell>
          <cell r="R59">
            <v>10.443226306738659</v>
          </cell>
          <cell r="S59">
            <v>4.9275343458296801</v>
          </cell>
          <cell r="T59">
            <v>4.9275343458296801</v>
          </cell>
          <cell r="U59">
            <v>11.685537017566332</v>
          </cell>
          <cell r="V59">
            <v>10.443226306738659</v>
          </cell>
          <cell r="W59">
            <v>50</v>
          </cell>
          <cell r="X59">
            <v>35.338582677165356</v>
          </cell>
          <cell r="Y59">
            <v>66.786417322834652</v>
          </cell>
          <cell r="Z59">
            <v>35.338582677165356</v>
          </cell>
          <cell r="AA59">
            <v>66.786417322834652</v>
          </cell>
          <cell r="AB59">
            <v>35.338582677165356</v>
          </cell>
          <cell r="AC59">
            <v>66.786417322834652</v>
          </cell>
          <cell r="AD59">
            <v>66.786417322834652</v>
          </cell>
          <cell r="AE59">
            <v>65.972440944881896</v>
          </cell>
          <cell r="AF59">
            <v>23.972440944881896</v>
          </cell>
          <cell r="AG59">
            <v>39.964566929133859</v>
          </cell>
          <cell r="AH59" t="str">
            <v>N</v>
          </cell>
          <cell r="AI59">
            <v>48.510000000000005</v>
          </cell>
          <cell r="AJ59">
            <v>22</v>
          </cell>
          <cell r="AK59" t="str">
            <v>TBD</v>
          </cell>
          <cell r="AL59" t="str">
            <v>Y</v>
          </cell>
          <cell r="AM59">
            <v>200018403</v>
          </cell>
          <cell r="AN59">
            <v>200028403</v>
          </cell>
          <cell r="AO59">
            <v>200018303</v>
          </cell>
          <cell r="AP59">
            <v>200028303</v>
          </cell>
          <cell r="AQ59">
            <v>200018203</v>
          </cell>
          <cell r="AR59">
            <v>200028203</v>
          </cell>
          <cell r="AS59">
            <v>14.555555555555557</v>
          </cell>
          <cell r="AT59">
            <v>20.048982508950235</v>
          </cell>
          <cell r="AU59">
            <v>14.957509840214923</v>
          </cell>
          <cell r="AV59">
            <v>10.213837681475505</v>
          </cell>
          <cell r="AW59">
            <v>40862</v>
          </cell>
        </row>
        <row r="60">
          <cell r="C60" t="str">
            <v>Eclipsall Energy Corp - NRG-72 280-300_S</v>
          </cell>
          <cell r="D60" t="str">
            <v>Standard Claw</v>
          </cell>
          <cell r="E60">
            <v>5000005</v>
          </cell>
          <cell r="F60">
            <v>39.251968503937007</v>
          </cell>
          <cell r="G60">
            <v>78.070866141732282</v>
          </cell>
          <cell r="H60">
            <v>1.6535433070866143</v>
          </cell>
          <cell r="I60">
            <v>200010708</v>
          </cell>
          <cell r="J60">
            <v>200010808</v>
          </cell>
          <cell r="K60">
            <v>200013808</v>
          </cell>
          <cell r="L60">
            <v>200016308</v>
          </cell>
          <cell r="M60">
            <v>500012582</v>
          </cell>
          <cell r="N60">
            <v>500012682</v>
          </cell>
          <cell r="O60">
            <v>500012582</v>
          </cell>
          <cell r="P60">
            <v>500012682</v>
          </cell>
          <cell r="Q60">
            <v>11.685537017566332</v>
          </cell>
          <cell r="R60">
            <v>10.443226306738659</v>
          </cell>
          <cell r="S60">
            <v>4.9275343458296801</v>
          </cell>
          <cell r="T60">
            <v>4.9275343458296801</v>
          </cell>
          <cell r="U60">
            <v>11.685537017566332</v>
          </cell>
          <cell r="V60">
            <v>10.443226306738659</v>
          </cell>
          <cell r="W60">
            <v>50</v>
          </cell>
          <cell r="X60">
            <v>35.338582677165356</v>
          </cell>
          <cell r="Y60">
            <v>79.384842519685037</v>
          </cell>
          <cell r="Z60">
            <v>35.338582677165356</v>
          </cell>
          <cell r="AA60">
            <v>79.384842519685037</v>
          </cell>
          <cell r="AB60">
            <v>35.338582677165356</v>
          </cell>
          <cell r="AC60">
            <v>79.384842519685037</v>
          </cell>
          <cell r="AD60">
            <v>79.384842519685037</v>
          </cell>
          <cell r="AE60">
            <v>78.570866141732296</v>
          </cell>
          <cell r="AF60">
            <v>36.570866141732289</v>
          </cell>
          <cell r="AG60">
            <v>39.964566929133859</v>
          </cell>
          <cell r="AH60" t="str">
            <v>N</v>
          </cell>
          <cell r="AI60">
            <v>55.125</v>
          </cell>
          <cell r="AJ60">
            <v>25</v>
          </cell>
          <cell r="AK60" t="str">
            <v>TBD</v>
          </cell>
          <cell r="AL60" t="str">
            <v>Y</v>
          </cell>
          <cell r="AM60">
            <v>200018407</v>
          </cell>
          <cell r="AN60">
            <v>200028407</v>
          </cell>
          <cell r="AO60">
            <v>200018307</v>
          </cell>
          <cell r="AP60">
            <v>200028307</v>
          </cell>
          <cell r="AQ60">
            <v>200018207</v>
          </cell>
          <cell r="AR60">
            <v>200028207</v>
          </cell>
          <cell r="AS60">
            <v>17.222222222222221</v>
          </cell>
          <cell r="AT60">
            <v>20.048982508950235</v>
          </cell>
          <cell r="AU60">
            <v>14.957509840214923</v>
          </cell>
          <cell r="AV60">
            <v>10.213837681475505</v>
          </cell>
          <cell r="AW60">
            <v>41254</v>
          </cell>
        </row>
        <row r="61">
          <cell r="C61" t="str">
            <v>Eging - EG-175-185 M48-C_S</v>
          </cell>
          <cell r="D61" t="str">
            <v>Standard Claw</v>
          </cell>
          <cell r="E61">
            <v>5000005</v>
          </cell>
          <cell r="F61">
            <v>38.976377952755911</v>
          </cell>
          <cell r="G61">
            <v>52.559055118110237</v>
          </cell>
          <cell r="H61">
            <v>1.7716535433070868</v>
          </cell>
          <cell r="I61">
            <v>200010701</v>
          </cell>
          <cell r="J61">
            <v>200010801</v>
          </cell>
          <cell r="K61">
            <v>200013801</v>
          </cell>
          <cell r="L61">
            <v>200016301</v>
          </cell>
          <cell r="M61">
            <v>500012556</v>
          </cell>
          <cell r="N61">
            <v>500012656</v>
          </cell>
          <cell r="O61">
            <v>500012557</v>
          </cell>
          <cell r="P61">
            <v>500012657</v>
          </cell>
          <cell r="Q61">
            <v>11.725279318414811</v>
          </cell>
          <cell r="R61">
            <v>10.478642249707667</v>
          </cell>
          <cell r="S61">
            <v>4.9440996728708777</v>
          </cell>
          <cell r="T61">
            <v>4.9440996728708777</v>
          </cell>
          <cell r="U61">
            <v>11.725279318414811</v>
          </cell>
          <cell r="V61">
            <v>10.478642249707667</v>
          </cell>
          <cell r="W61">
            <v>50</v>
          </cell>
          <cell r="X61">
            <v>35.220472440944881</v>
          </cell>
          <cell r="Y61">
            <v>54.030511811023622</v>
          </cell>
          <cell r="Z61">
            <v>35.220472440944881</v>
          </cell>
          <cell r="AA61">
            <v>54.030511811023622</v>
          </cell>
          <cell r="AB61">
            <v>35.220472440944881</v>
          </cell>
          <cell r="AC61">
            <v>54.030511811023622</v>
          </cell>
          <cell r="AD61">
            <v>54.030511811023622</v>
          </cell>
          <cell r="AE61" t="str">
            <v>NA</v>
          </cell>
          <cell r="AF61" t="str">
            <v>NA</v>
          </cell>
          <cell r="AG61" t="str">
            <v>NA</v>
          </cell>
          <cell r="AH61" t="str">
            <v>N</v>
          </cell>
          <cell r="AI61">
            <v>35.720999999999997</v>
          </cell>
          <cell r="AJ61">
            <v>16.2</v>
          </cell>
          <cell r="AK61" t="str">
            <v>TBD</v>
          </cell>
          <cell r="AL61" t="str">
            <v>Y</v>
          </cell>
          <cell r="AM61" t="str">
            <v>2000184TBD</v>
          </cell>
          <cell r="AN61" t="str">
            <v>2000284TBD</v>
          </cell>
          <cell r="AO61" t="str">
            <v>2000183TBD</v>
          </cell>
          <cell r="AP61" t="str">
            <v>2000283TBD</v>
          </cell>
          <cell r="AQ61" t="str">
            <v>2000182TBD</v>
          </cell>
          <cell r="AR61" t="str">
            <v>2000282TBD</v>
          </cell>
          <cell r="AS61" t="str">
            <v>TBD</v>
          </cell>
          <cell r="AT61" t="str">
            <v>NA</v>
          </cell>
          <cell r="AU61" t="str">
            <v>NA</v>
          </cell>
          <cell r="AV61" t="str">
            <v>NA</v>
          </cell>
          <cell r="AW61">
            <v>40617</v>
          </cell>
        </row>
        <row r="62">
          <cell r="C62" t="str">
            <v>Eging - EG-200-210 M54-C_S</v>
          </cell>
          <cell r="D62" t="str">
            <v>Standard Claw</v>
          </cell>
          <cell r="E62">
            <v>5000005</v>
          </cell>
          <cell r="F62">
            <v>38.976377952755911</v>
          </cell>
          <cell r="G62">
            <v>58.661417322834652</v>
          </cell>
          <cell r="H62">
            <v>1.9685039370078741</v>
          </cell>
          <cell r="I62">
            <v>200010703</v>
          </cell>
          <cell r="J62">
            <v>200010803</v>
          </cell>
          <cell r="K62">
            <v>200013803</v>
          </cell>
          <cell r="L62">
            <v>200016303</v>
          </cell>
          <cell r="M62">
            <v>500012562</v>
          </cell>
          <cell r="N62">
            <v>500012662</v>
          </cell>
          <cell r="O62">
            <v>500012563</v>
          </cell>
          <cell r="P62">
            <v>500012663</v>
          </cell>
          <cell r="Q62">
            <v>11.725279318414811</v>
          </cell>
          <cell r="R62">
            <v>10.478642249707667</v>
          </cell>
          <cell r="S62">
            <v>4.9440996728708777</v>
          </cell>
          <cell r="T62">
            <v>4.9440996728708777</v>
          </cell>
          <cell r="U62">
            <v>11.725279318414811</v>
          </cell>
          <cell r="V62">
            <v>10.478642249707667</v>
          </cell>
          <cell r="W62">
            <v>50</v>
          </cell>
          <cell r="X62">
            <v>35.220472440944881</v>
          </cell>
          <cell r="Y62">
            <v>60.132874015748037</v>
          </cell>
          <cell r="Z62">
            <v>35.220472440944881</v>
          </cell>
          <cell r="AA62">
            <v>60.132874015748037</v>
          </cell>
          <cell r="AB62">
            <v>35.220472440944881</v>
          </cell>
          <cell r="AC62">
            <v>60.132874015748037</v>
          </cell>
          <cell r="AD62">
            <v>60.132874015748037</v>
          </cell>
          <cell r="AE62">
            <v>59.161417322834652</v>
          </cell>
          <cell r="AF62">
            <v>17.161417322834652</v>
          </cell>
          <cell r="AG62">
            <v>39.846456692913392</v>
          </cell>
          <cell r="AH62" t="str">
            <v>N</v>
          </cell>
          <cell r="AI62">
            <v>40.351500000000001</v>
          </cell>
          <cell r="AJ62">
            <v>18.3</v>
          </cell>
          <cell r="AK62" t="str">
            <v>TBD</v>
          </cell>
          <cell r="AL62" t="str">
            <v>Y</v>
          </cell>
          <cell r="AM62">
            <v>200018401</v>
          </cell>
          <cell r="AN62">
            <v>200028401</v>
          </cell>
          <cell r="AO62">
            <v>200018301</v>
          </cell>
          <cell r="AP62">
            <v>200028301</v>
          </cell>
          <cell r="AQ62">
            <v>200018201</v>
          </cell>
          <cell r="AR62">
            <v>200028201</v>
          </cell>
          <cell r="AS62">
            <v>13.22222222222222</v>
          </cell>
          <cell r="AT62">
            <v>20.110973161651764</v>
          </cell>
          <cell r="AU62">
            <v>15.002886128524771</v>
          </cell>
          <cell r="AV62">
            <v>10.244439167746933</v>
          </cell>
          <cell r="AW62">
            <v>40617</v>
          </cell>
        </row>
        <row r="63">
          <cell r="C63" t="str">
            <v>Eging - EG-210-235 M60-C_S</v>
          </cell>
          <cell r="D63" t="str">
            <v>Standard Claw</v>
          </cell>
          <cell r="E63">
            <v>5000005</v>
          </cell>
          <cell r="F63">
            <v>38.976377952755911</v>
          </cell>
          <cell r="G63">
            <v>64.960629921259851</v>
          </cell>
          <cell r="H63">
            <v>1.9685039370078741</v>
          </cell>
          <cell r="I63">
            <v>200010704</v>
          </cell>
          <cell r="J63">
            <v>200010804</v>
          </cell>
          <cell r="K63">
            <v>200013804</v>
          </cell>
          <cell r="L63">
            <v>200016304</v>
          </cell>
          <cell r="M63">
            <v>500012569</v>
          </cell>
          <cell r="N63">
            <v>500012669</v>
          </cell>
          <cell r="O63">
            <v>500012569</v>
          </cell>
          <cell r="P63">
            <v>500012669</v>
          </cell>
          <cell r="Q63">
            <v>11.725279318414811</v>
          </cell>
          <cell r="R63">
            <v>10.478642249707667</v>
          </cell>
          <cell r="S63">
            <v>4.9440996728708777</v>
          </cell>
          <cell r="T63">
            <v>4.9440996728708777</v>
          </cell>
          <cell r="U63">
            <v>11.725279318414811</v>
          </cell>
          <cell r="V63">
            <v>10.478642249707667</v>
          </cell>
          <cell r="W63">
            <v>50</v>
          </cell>
          <cell r="X63">
            <v>35.220472440944881</v>
          </cell>
          <cell r="Y63">
            <v>66.43208661417323</v>
          </cell>
          <cell r="Z63">
            <v>35.220472440944881</v>
          </cell>
          <cell r="AA63">
            <v>66.43208661417323</v>
          </cell>
          <cell r="AB63">
            <v>35.220472440944881</v>
          </cell>
          <cell r="AC63">
            <v>66.43208661417323</v>
          </cell>
          <cell r="AD63">
            <v>66.43208661417323</v>
          </cell>
          <cell r="AE63">
            <v>65.460629921259851</v>
          </cell>
          <cell r="AF63">
            <v>23.460629921259848</v>
          </cell>
          <cell r="AG63">
            <v>39.846456692913392</v>
          </cell>
          <cell r="AH63" t="str">
            <v>N</v>
          </cell>
          <cell r="AI63">
            <v>42.997500000000002</v>
          </cell>
          <cell r="AJ63">
            <v>19.5</v>
          </cell>
          <cell r="AK63" t="str">
            <v>TBD</v>
          </cell>
          <cell r="AL63" t="str">
            <v>Y</v>
          </cell>
          <cell r="AM63">
            <v>200018403</v>
          </cell>
          <cell r="AN63">
            <v>200028403</v>
          </cell>
          <cell r="AO63">
            <v>200018303</v>
          </cell>
          <cell r="AP63">
            <v>200028303</v>
          </cell>
          <cell r="AQ63">
            <v>200018203</v>
          </cell>
          <cell r="AR63">
            <v>200028203</v>
          </cell>
          <cell r="AS63">
            <v>14.555555555555557</v>
          </cell>
          <cell r="AT63">
            <v>20.110973161651764</v>
          </cell>
          <cell r="AU63">
            <v>15.002886128524771</v>
          </cell>
          <cell r="AV63">
            <v>10.244439167746933</v>
          </cell>
          <cell r="AW63">
            <v>40617</v>
          </cell>
        </row>
        <row r="64">
          <cell r="C64" t="str">
            <v>Eging - EG-240-285 M72-C_S</v>
          </cell>
          <cell r="D64" t="str">
            <v>Standard Claw</v>
          </cell>
          <cell r="E64">
            <v>5000005</v>
          </cell>
          <cell r="F64">
            <v>38.976377952755911</v>
          </cell>
          <cell r="G64">
            <v>77.480314960629926</v>
          </cell>
          <cell r="H64">
            <v>1.9685039370078741</v>
          </cell>
          <cell r="I64">
            <v>200010707</v>
          </cell>
          <cell r="J64">
            <v>200010807</v>
          </cell>
          <cell r="K64">
            <v>200013807</v>
          </cell>
          <cell r="L64">
            <v>200016307</v>
          </cell>
          <cell r="M64">
            <v>500012581</v>
          </cell>
          <cell r="N64">
            <v>500012681</v>
          </cell>
          <cell r="O64">
            <v>500012581</v>
          </cell>
          <cell r="P64">
            <v>500012681</v>
          </cell>
          <cell r="Q64">
            <v>11.725279318414811</v>
          </cell>
          <cell r="R64">
            <v>10.478642249707667</v>
          </cell>
          <cell r="S64">
            <v>4.9440996728708777</v>
          </cell>
          <cell r="T64">
            <v>4.9440996728708777</v>
          </cell>
          <cell r="U64">
            <v>11.725279318414811</v>
          </cell>
          <cell r="V64">
            <v>10.478642249707667</v>
          </cell>
          <cell r="W64">
            <v>50</v>
          </cell>
          <cell r="X64">
            <v>35.220472440944881</v>
          </cell>
          <cell r="Y64">
            <v>78.951771653543318</v>
          </cell>
          <cell r="Z64">
            <v>35.220472440944881</v>
          </cell>
          <cell r="AA64">
            <v>78.951771653543318</v>
          </cell>
          <cell r="AB64">
            <v>35.220472440944881</v>
          </cell>
          <cell r="AC64">
            <v>78.951771653543318</v>
          </cell>
          <cell r="AD64">
            <v>78.951771653543318</v>
          </cell>
          <cell r="AE64">
            <v>77.980314960629926</v>
          </cell>
          <cell r="AF64">
            <v>35.980314960629926</v>
          </cell>
          <cell r="AG64">
            <v>39.846456692913392</v>
          </cell>
          <cell r="AH64" t="str">
            <v>N</v>
          </cell>
          <cell r="AI64">
            <v>60.637500000000003</v>
          </cell>
          <cell r="AJ64">
            <v>27.5</v>
          </cell>
          <cell r="AK64" t="str">
            <v>TBD</v>
          </cell>
          <cell r="AL64" t="str">
            <v>Y</v>
          </cell>
          <cell r="AM64">
            <v>200018407</v>
          </cell>
          <cell r="AN64">
            <v>200028407</v>
          </cell>
          <cell r="AO64">
            <v>200018307</v>
          </cell>
          <cell r="AP64">
            <v>200028307</v>
          </cell>
          <cell r="AQ64">
            <v>200018207</v>
          </cell>
          <cell r="AR64">
            <v>200028207</v>
          </cell>
          <cell r="AS64">
            <v>17.222222222222221</v>
          </cell>
          <cell r="AT64">
            <v>20.110973161651764</v>
          </cell>
          <cell r="AU64">
            <v>15.002886128524771</v>
          </cell>
          <cell r="AV64">
            <v>10.244439167746933</v>
          </cell>
          <cell r="AW64">
            <v>40617</v>
          </cell>
        </row>
        <row r="65">
          <cell r="C65" t="str">
            <v>ET Solar - ET-P654 190-215_S</v>
          </cell>
          <cell r="D65" t="str">
            <v>Standard Claw</v>
          </cell>
          <cell r="E65">
            <v>5000005</v>
          </cell>
          <cell r="F65">
            <v>39.055118110236222</v>
          </cell>
          <cell r="G65">
            <v>58.346456692913392</v>
          </cell>
          <cell r="H65">
            <v>1.9685039370078741</v>
          </cell>
          <cell r="I65">
            <v>200010703</v>
          </cell>
          <cell r="J65">
            <v>200010803</v>
          </cell>
          <cell r="K65">
            <v>200013803</v>
          </cell>
          <cell r="L65">
            <v>200016303</v>
          </cell>
          <cell r="M65">
            <v>500012562</v>
          </cell>
          <cell r="N65">
            <v>500012662</v>
          </cell>
          <cell r="O65">
            <v>500012563</v>
          </cell>
          <cell r="P65">
            <v>500012663</v>
          </cell>
          <cell r="Q65">
            <v>11.698754267040043</v>
          </cell>
          <cell r="R65">
            <v>10.455004839041191</v>
          </cell>
          <cell r="S65">
            <v>4.9330437584696041</v>
          </cell>
          <cell r="T65">
            <v>4.9330437584696041</v>
          </cell>
          <cell r="U65">
            <v>11.698754267040043</v>
          </cell>
          <cell r="V65">
            <v>10.455004839041191</v>
          </cell>
          <cell r="W65">
            <v>50</v>
          </cell>
          <cell r="X65">
            <v>35.2992125984252</v>
          </cell>
          <cell r="Y65">
            <v>59.817913385826778</v>
          </cell>
          <cell r="Z65">
            <v>35.2992125984252</v>
          </cell>
          <cell r="AA65">
            <v>59.817913385826778</v>
          </cell>
          <cell r="AB65">
            <v>35.2992125984252</v>
          </cell>
          <cell r="AC65">
            <v>59.817913385826778</v>
          </cell>
          <cell r="AD65">
            <v>59.817913385826778</v>
          </cell>
          <cell r="AE65">
            <v>58.846456692913392</v>
          </cell>
          <cell r="AF65">
            <v>16.846456692913389</v>
          </cell>
          <cell r="AG65">
            <v>39.925196850393704</v>
          </cell>
          <cell r="AH65" t="str">
            <v>Y</v>
          </cell>
          <cell r="AI65">
            <v>39.249000000000002</v>
          </cell>
          <cell r="AJ65">
            <v>17.8</v>
          </cell>
          <cell r="AK65" t="str">
            <v>TBD</v>
          </cell>
          <cell r="AL65" t="str">
            <v>Y</v>
          </cell>
          <cell r="AM65">
            <v>200018401</v>
          </cell>
          <cell r="AN65">
            <v>200028401</v>
          </cell>
          <cell r="AO65">
            <v>200018301</v>
          </cell>
          <cell r="AP65">
            <v>200028301</v>
          </cell>
          <cell r="AQ65">
            <v>200018201</v>
          </cell>
          <cell r="AR65">
            <v>200028201</v>
          </cell>
          <cell r="AS65">
            <v>13.22222222222222</v>
          </cell>
          <cell r="AT65">
            <v>20.069602586497279</v>
          </cell>
          <cell r="AU65">
            <v>14.97260437224279</v>
          </cell>
          <cell r="AV65">
            <v>10.224017732239455</v>
          </cell>
          <cell r="AW65">
            <v>40617</v>
          </cell>
        </row>
        <row r="66">
          <cell r="C66" t="str">
            <v>ET Solar - ET-P660 220-240_S</v>
          </cell>
          <cell r="D66" t="str">
            <v>Standard Claw</v>
          </cell>
          <cell r="E66">
            <v>5000005</v>
          </cell>
          <cell r="F66">
            <v>39.055118110236222</v>
          </cell>
          <cell r="G66">
            <v>64.566929133858267</v>
          </cell>
          <cell r="H66">
            <v>1.9685039370078741</v>
          </cell>
          <cell r="I66">
            <v>200010704</v>
          </cell>
          <cell r="J66">
            <v>200010804</v>
          </cell>
          <cell r="K66">
            <v>200013804</v>
          </cell>
          <cell r="L66">
            <v>200016304</v>
          </cell>
          <cell r="M66">
            <v>500012568</v>
          </cell>
          <cell r="N66">
            <v>500012668</v>
          </cell>
          <cell r="O66">
            <v>500012569</v>
          </cell>
          <cell r="P66">
            <v>500012669</v>
          </cell>
          <cell r="Q66">
            <v>11.698754267040043</v>
          </cell>
          <cell r="R66">
            <v>10.455004839041191</v>
          </cell>
          <cell r="S66">
            <v>4.9330437584696041</v>
          </cell>
          <cell r="T66">
            <v>4.9330437584696041</v>
          </cell>
          <cell r="U66">
            <v>11.698754267040043</v>
          </cell>
          <cell r="V66">
            <v>10.455004839041191</v>
          </cell>
          <cell r="W66">
            <v>50</v>
          </cell>
          <cell r="X66">
            <v>35.2992125984252</v>
          </cell>
          <cell r="Y66">
            <v>66.038385826771659</v>
          </cell>
          <cell r="Z66">
            <v>35.2992125984252</v>
          </cell>
          <cell r="AA66">
            <v>66.038385826771659</v>
          </cell>
          <cell r="AB66">
            <v>35.2992125984252</v>
          </cell>
          <cell r="AC66">
            <v>66.038385826771659</v>
          </cell>
          <cell r="AD66">
            <v>66.038385826771659</v>
          </cell>
          <cell r="AE66">
            <v>65.066929133858267</v>
          </cell>
          <cell r="AF66">
            <v>23.066929133858274</v>
          </cell>
          <cell r="AG66">
            <v>39.925196850393704</v>
          </cell>
          <cell r="AH66" t="str">
            <v>Y</v>
          </cell>
          <cell r="AI66">
            <v>42.5565</v>
          </cell>
          <cell r="AJ66">
            <v>19.3</v>
          </cell>
          <cell r="AK66" t="str">
            <v>TBD</v>
          </cell>
          <cell r="AL66" t="str">
            <v>Y</v>
          </cell>
          <cell r="AM66">
            <v>200018403</v>
          </cell>
          <cell r="AN66">
            <v>200028403</v>
          </cell>
          <cell r="AO66">
            <v>200018303</v>
          </cell>
          <cell r="AP66">
            <v>200028303</v>
          </cell>
          <cell r="AQ66">
            <v>200018203</v>
          </cell>
          <cell r="AR66">
            <v>200028203</v>
          </cell>
          <cell r="AS66">
            <v>14.555555555555557</v>
          </cell>
          <cell r="AT66">
            <v>20.069602586497279</v>
          </cell>
          <cell r="AU66">
            <v>14.97260437224279</v>
          </cell>
          <cell r="AV66">
            <v>10.224017732239455</v>
          </cell>
          <cell r="AW66">
            <v>40617</v>
          </cell>
        </row>
        <row r="67">
          <cell r="C67" t="str">
            <v>ET Solar - ET-P672 255-280_S</v>
          </cell>
          <cell r="D67" t="str">
            <v>Standard Claw</v>
          </cell>
          <cell r="E67">
            <v>5000005</v>
          </cell>
          <cell r="F67">
            <v>39.055118110236222</v>
          </cell>
          <cell r="G67">
            <v>77.00787401574803</v>
          </cell>
          <cell r="H67">
            <v>1.9685039370078741</v>
          </cell>
          <cell r="I67">
            <v>200010707</v>
          </cell>
          <cell r="J67">
            <v>200010807</v>
          </cell>
          <cell r="K67">
            <v>200013807</v>
          </cell>
          <cell r="L67">
            <v>200016307</v>
          </cell>
          <cell r="M67">
            <v>500012581</v>
          </cell>
          <cell r="N67">
            <v>500012681</v>
          </cell>
          <cell r="O67">
            <v>500012581</v>
          </cell>
          <cell r="P67">
            <v>500012681</v>
          </cell>
          <cell r="Q67">
            <v>11.698754267040043</v>
          </cell>
          <cell r="R67">
            <v>10.455004839041191</v>
          </cell>
          <cell r="S67">
            <v>4.9330437584696041</v>
          </cell>
          <cell r="T67">
            <v>4.9330437584696041</v>
          </cell>
          <cell r="U67">
            <v>11.698754267040043</v>
          </cell>
          <cell r="V67">
            <v>10.455004839041191</v>
          </cell>
          <cell r="W67">
            <v>50</v>
          </cell>
          <cell r="X67">
            <v>35.2992125984252</v>
          </cell>
          <cell r="Y67">
            <v>78.479330708661422</v>
          </cell>
          <cell r="Z67">
            <v>35.2992125984252</v>
          </cell>
          <cell r="AA67">
            <v>78.479330708661422</v>
          </cell>
          <cell r="AB67">
            <v>35.2992125984252</v>
          </cell>
          <cell r="AC67">
            <v>78.479330708661422</v>
          </cell>
          <cell r="AD67">
            <v>78.479330708661422</v>
          </cell>
          <cell r="AE67">
            <v>77.507874015748044</v>
          </cell>
          <cell r="AF67">
            <v>35.507874015748037</v>
          </cell>
          <cell r="AG67">
            <v>39.925196850393704</v>
          </cell>
          <cell r="AH67" t="str">
            <v>Y</v>
          </cell>
          <cell r="AI67">
            <v>50.715000000000003</v>
          </cell>
          <cell r="AJ67">
            <v>23</v>
          </cell>
          <cell r="AK67" t="str">
            <v>TBD</v>
          </cell>
          <cell r="AL67" t="str">
            <v>Y</v>
          </cell>
          <cell r="AM67">
            <v>200018407</v>
          </cell>
          <cell r="AN67">
            <v>200028407</v>
          </cell>
          <cell r="AO67">
            <v>200018307</v>
          </cell>
          <cell r="AP67">
            <v>200028307</v>
          </cell>
          <cell r="AQ67">
            <v>200018207</v>
          </cell>
          <cell r="AR67">
            <v>200028207</v>
          </cell>
          <cell r="AS67">
            <v>17.222222222222221</v>
          </cell>
          <cell r="AT67">
            <v>20.069602586497279</v>
          </cell>
          <cell r="AU67">
            <v>14.97260437224279</v>
          </cell>
          <cell r="AV67">
            <v>10.224017732239455</v>
          </cell>
          <cell r="AW67">
            <v>40617</v>
          </cell>
        </row>
        <row r="68">
          <cell r="C68" t="str">
            <v>ET Solar - ET-M572 165-185_S</v>
          </cell>
          <cell r="D68" t="str">
            <v>Standard Claw</v>
          </cell>
          <cell r="E68">
            <v>5000005</v>
          </cell>
          <cell r="F68">
            <v>31.811023622047244</v>
          </cell>
          <cell r="G68">
            <v>62.204724409448822</v>
          </cell>
          <cell r="H68">
            <v>1.9685039370078741</v>
          </cell>
          <cell r="I68">
            <v>200010704</v>
          </cell>
          <cell r="J68">
            <v>200010804</v>
          </cell>
          <cell r="K68">
            <v>200013804</v>
          </cell>
          <cell r="L68">
            <v>200016304</v>
          </cell>
          <cell r="M68">
            <v>500012566</v>
          </cell>
          <cell r="N68">
            <v>500012666</v>
          </cell>
          <cell r="O68">
            <v>500012566</v>
          </cell>
          <cell r="P68">
            <v>500012666</v>
          </cell>
          <cell r="Q68">
            <v>14.780819563929326</v>
          </cell>
          <cell r="R68">
            <v>13.198114568872393</v>
          </cell>
          <cell r="S68">
            <v>6.211295317501194</v>
          </cell>
          <cell r="T68">
            <v>6.211295317501194</v>
          </cell>
          <cell r="U68">
            <v>14.780819563929326</v>
          </cell>
          <cell r="V68">
            <v>13.198114568872393</v>
          </cell>
          <cell r="W68">
            <v>50</v>
          </cell>
          <cell r="X68">
            <v>28.055118110236222</v>
          </cell>
          <cell r="Y68">
            <v>63.676181102362207</v>
          </cell>
          <cell r="Z68">
            <v>28.055118110236222</v>
          </cell>
          <cell r="AA68">
            <v>63.676181102362207</v>
          </cell>
          <cell r="AB68">
            <v>28.055118110236222</v>
          </cell>
          <cell r="AC68">
            <v>63.676181102362207</v>
          </cell>
          <cell r="AD68">
            <v>63.676181102362207</v>
          </cell>
          <cell r="AE68">
            <v>62.704724409448822</v>
          </cell>
          <cell r="AF68">
            <v>20.704724409448822</v>
          </cell>
          <cell r="AG68">
            <v>32.681102362204726</v>
          </cell>
          <cell r="AH68" t="str">
            <v>Y</v>
          </cell>
          <cell r="AI68">
            <v>34.177500000000002</v>
          </cell>
          <cell r="AJ68">
            <v>15.5</v>
          </cell>
          <cell r="AK68" t="str">
            <v>TBD</v>
          </cell>
          <cell r="AL68" t="str">
            <v>Y</v>
          </cell>
          <cell r="AM68">
            <v>200018402</v>
          </cell>
          <cell r="AN68">
            <v>200028402</v>
          </cell>
          <cell r="AO68">
            <v>200018302</v>
          </cell>
          <cell r="AP68">
            <v>200028302</v>
          </cell>
          <cell r="AQ68">
            <v>200018202</v>
          </cell>
          <cell r="AR68">
            <v>200028202</v>
          </cell>
          <cell r="AS68">
            <v>13.888888888888888</v>
          </cell>
          <cell r="AT68">
            <v>24.785769092963804</v>
          </cell>
          <cell r="AU68">
            <v>18.39852585667062</v>
          </cell>
          <cell r="AV68">
            <v>12.523577389800897</v>
          </cell>
          <cell r="AW68">
            <v>40617</v>
          </cell>
        </row>
        <row r="69">
          <cell r="C69" t="str">
            <v>Evergreen Solar - ES-ES-B 180-195 _S</v>
          </cell>
          <cell r="D69" t="str">
            <v>Standard Claw</v>
          </cell>
          <cell r="E69">
            <v>5000005</v>
          </cell>
          <cell r="F69">
            <v>37.480314960629926</v>
          </cell>
          <cell r="G69">
            <v>61.811023622047244</v>
          </cell>
          <cell r="H69">
            <v>1.6141732283464567</v>
          </cell>
          <cell r="I69">
            <v>200010703</v>
          </cell>
          <cell r="J69">
            <v>200010803</v>
          </cell>
          <cell r="K69">
            <v>200013803</v>
          </cell>
          <cell r="L69">
            <v>200016303</v>
          </cell>
          <cell r="M69">
            <v>500012565</v>
          </cell>
          <cell r="N69">
            <v>500012665</v>
          </cell>
          <cell r="O69">
            <v>500012566</v>
          </cell>
          <cell r="P69">
            <v>500012666</v>
          </cell>
          <cell r="Q69">
            <v>12.430184243800053</v>
          </cell>
          <cell r="R69">
            <v>11.106632994896712</v>
          </cell>
          <cell r="S69">
            <v>5.2375834396852632</v>
          </cell>
          <cell r="T69">
            <v>5.2375834396852632</v>
          </cell>
          <cell r="U69">
            <v>12.430184243800053</v>
          </cell>
          <cell r="V69">
            <v>11.106632994896712</v>
          </cell>
          <cell r="W69">
            <v>40</v>
          </cell>
          <cell r="X69">
            <v>33.251968503937007</v>
          </cell>
          <cell r="Y69">
            <v>62.810039370078741</v>
          </cell>
          <cell r="Z69">
            <v>33.251968503937007</v>
          </cell>
          <cell r="AA69">
            <v>62.810039370078741</v>
          </cell>
          <cell r="AB69">
            <v>33.251968503937007</v>
          </cell>
          <cell r="AC69">
            <v>62.810039370078741</v>
          </cell>
          <cell r="AD69">
            <v>62.810039370078741</v>
          </cell>
          <cell r="AE69">
            <v>62.311023622047252</v>
          </cell>
          <cell r="AF69">
            <v>20.311023622047248</v>
          </cell>
          <cell r="AG69">
            <v>37.877952755905518</v>
          </cell>
          <cell r="AH69" t="str">
            <v>N</v>
          </cell>
          <cell r="AI69">
            <v>40.131</v>
          </cell>
          <cell r="AJ69">
            <v>18.2</v>
          </cell>
          <cell r="AK69" t="str">
            <v>TBD</v>
          </cell>
          <cell r="AL69" t="str">
            <v>Y</v>
          </cell>
          <cell r="AM69">
            <v>200018402</v>
          </cell>
          <cell r="AN69">
            <v>200028402</v>
          </cell>
          <cell r="AO69">
            <v>200018302</v>
          </cell>
          <cell r="AP69">
            <v>200028302</v>
          </cell>
          <cell r="AQ69">
            <v>200018202</v>
          </cell>
          <cell r="AR69">
            <v>200028202</v>
          </cell>
          <cell r="AS69">
            <v>13.888888888888888</v>
          </cell>
          <cell r="AT69">
            <v>21.205174093809141</v>
          </cell>
          <cell r="AU69">
            <v>15.802424560557412</v>
          </cell>
          <cell r="AV69">
            <v>10.783051510926835</v>
          </cell>
          <cell r="AW69">
            <v>40617</v>
          </cell>
        </row>
        <row r="70">
          <cell r="C70" t="str">
            <v>Evergreen Solar - ES-A 190-210 _S</v>
          </cell>
          <cell r="D70" t="str">
            <v>Standard Claw</v>
          </cell>
          <cell r="E70">
            <v>5000005</v>
          </cell>
          <cell r="F70">
            <v>37.440944881889763</v>
          </cell>
          <cell r="G70">
            <v>64.960629921259851</v>
          </cell>
          <cell r="H70">
            <v>1.8110236220472442</v>
          </cell>
          <cell r="I70">
            <v>200010704</v>
          </cell>
          <cell r="J70">
            <v>200010804</v>
          </cell>
          <cell r="K70">
            <v>200013804</v>
          </cell>
          <cell r="L70">
            <v>200016304</v>
          </cell>
          <cell r="M70">
            <v>500012568</v>
          </cell>
          <cell r="N70">
            <v>500012668</v>
          </cell>
          <cell r="O70">
            <v>500012569</v>
          </cell>
          <cell r="P70">
            <v>500012669</v>
          </cell>
          <cell r="Q70">
            <v>12.415249784803859</v>
          </cell>
          <cell r="R70">
            <v>11.09333164994227</v>
          </cell>
          <cell r="S70">
            <v>5.2313722342562112</v>
          </cell>
          <cell r="T70">
            <v>5.2313722342562112</v>
          </cell>
          <cell r="U70">
            <v>12.415249784803859</v>
          </cell>
          <cell r="V70">
            <v>11.09333164994227</v>
          </cell>
          <cell r="W70">
            <v>40</v>
          </cell>
          <cell r="X70">
            <v>33.29133858267717</v>
          </cell>
          <cell r="Y70">
            <v>66.038385826771659</v>
          </cell>
          <cell r="Z70">
            <v>33.29133858267717</v>
          </cell>
          <cell r="AA70">
            <v>66.038385826771659</v>
          </cell>
          <cell r="AB70">
            <v>33.29133858267717</v>
          </cell>
          <cell r="AC70">
            <v>66.038385826771659</v>
          </cell>
          <cell r="AD70">
            <v>66.038385826771659</v>
          </cell>
          <cell r="AE70">
            <v>65.460629921259851</v>
          </cell>
          <cell r="AF70">
            <v>23.460629921259848</v>
          </cell>
          <cell r="AG70">
            <v>37.917322834645674</v>
          </cell>
          <cell r="AH70" t="str">
            <v>N</v>
          </cell>
          <cell r="AI70">
            <v>41.013000000000005</v>
          </cell>
          <cell r="AJ70">
            <v>18.600000000000001</v>
          </cell>
          <cell r="AK70" t="str">
            <v>TBD</v>
          </cell>
          <cell r="AL70" t="str">
            <v>Y</v>
          </cell>
          <cell r="AM70">
            <v>200018403</v>
          </cell>
          <cell r="AN70">
            <v>200028403</v>
          </cell>
          <cell r="AO70">
            <v>200018303</v>
          </cell>
          <cell r="AP70">
            <v>200028303</v>
          </cell>
          <cell r="AQ70">
            <v>200018203</v>
          </cell>
          <cell r="AR70">
            <v>200028203</v>
          </cell>
          <cell r="AS70">
            <v>14.555555555555557</v>
          </cell>
          <cell r="AT70">
            <v>21.182094678710879</v>
          </cell>
          <cell r="AU70">
            <v>15.785588285943929</v>
          </cell>
          <cell r="AV70">
            <v>10.771721446726827</v>
          </cell>
          <cell r="AW70">
            <v>40617</v>
          </cell>
        </row>
        <row r="71">
          <cell r="C71" t="str">
            <v>Evergreen Solar - ES-E 210-220_S</v>
          </cell>
          <cell r="D71" t="str">
            <v>Standard Claw</v>
          </cell>
          <cell r="E71">
            <v>5000005</v>
          </cell>
          <cell r="F71">
            <v>37.452755905511815</v>
          </cell>
          <cell r="G71">
            <v>67.814960629921259</v>
          </cell>
          <cell r="H71">
            <v>1.8110236220472442</v>
          </cell>
          <cell r="I71">
            <v>200010705</v>
          </cell>
          <cell r="J71">
            <v>200010805</v>
          </cell>
          <cell r="K71">
            <v>200013805</v>
          </cell>
          <cell r="L71">
            <v>200016305</v>
          </cell>
          <cell r="M71">
            <v>500012571</v>
          </cell>
          <cell r="N71">
            <v>500012671</v>
          </cell>
          <cell r="O71">
            <v>500012572</v>
          </cell>
          <cell r="P71">
            <v>500012672</v>
          </cell>
          <cell r="Q71">
            <v>12.410776499433517</v>
          </cell>
          <cell r="R71">
            <v>11.089347496878155</v>
          </cell>
          <cell r="S71">
            <v>5.2295117482898927</v>
          </cell>
          <cell r="T71">
            <v>5.2295117482898927</v>
          </cell>
          <cell r="U71">
            <v>12.410776499433517</v>
          </cell>
          <cell r="V71">
            <v>11.089347496878155</v>
          </cell>
          <cell r="W71">
            <v>40</v>
          </cell>
          <cell r="X71">
            <v>33.303149606299215</v>
          </cell>
          <cell r="Y71">
            <v>68.892716535433081</v>
          </cell>
          <cell r="Z71">
            <v>33.303149606299215</v>
          </cell>
          <cell r="AA71">
            <v>68.892716535433081</v>
          </cell>
          <cell r="AB71">
            <v>33.303149606299215</v>
          </cell>
          <cell r="AC71">
            <v>68.892716535433081</v>
          </cell>
          <cell r="AD71">
            <v>68.892716535433081</v>
          </cell>
          <cell r="AE71">
            <v>68.314960629921259</v>
          </cell>
          <cell r="AF71">
            <v>26.314960629921266</v>
          </cell>
          <cell r="AG71">
            <v>37.929133858267718</v>
          </cell>
          <cell r="AH71" t="str">
            <v>N</v>
          </cell>
          <cell r="AI71">
            <v>42.997500000000002</v>
          </cell>
          <cell r="AJ71">
            <v>19.5</v>
          </cell>
          <cell r="AK71" t="str">
            <v>TBD</v>
          </cell>
          <cell r="AL71" t="str">
            <v>Y</v>
          </cell>
          <cell r="AM71">
            <v>200018404</v>
          </cell>
          <cell r="AN71">
            <v>200028404</v>
          </cell>
          <cell r="AO71">
            <v>200018304</v>
          </cell>
          <cell r="AP71">
            <v>200028304</v>
          </cell>
          <cell r="AQ71">
            <v>200018204</v>
          </cell>
          <cell r="AR71">
            <v>200028204</v>
          </cell>
          <cell r="AS71">
            <v>15.222222222222221</v>
          </cell>
          <cell r="AT71">
            <v>21.175180898581257</v>
          </cell>
          <cell r="AU71">
            <v>15.78054449149221</v>
          </cell>
          <cell r="AV71">
            <v>10.768327097061066</v>
          </cell>
          <cell r="AW71">
            <v>40617</v>
          </cell>
        </row>
        <row r="72">
          <cell r="C72" t="str">
            <v>GCL Poly - GCL P6-60 235-245_S</v>
          </cell>
          <cell r="D72" t="str">
            <v>Standard Claw</v>
          </cell>
          <cell r="E72">
            <v>5000005</v>
          </cell>
          <cell r="F72">
            <v>37.007874015748037</v>
          </cell>
          <cell r="G72">
            <v>64.960629921259851</v>
          </cell>
          <cell r="H72">
            <v>1.5354330708661419</v>
          </cell>
          <cell r="I72">
            <v>200010704</v>
          </cell>
          <cell r="J72">
            <v>200010804</v>
          </cell>
          <cell r="K72">
            <v>200013804</v>
          </cell>
          <cell r="L72">
            <v>200016304</v>
          </cell>
          <cell r="M72">
            <v>500012568</v>
          </cell>
          <cell r="N72">
            <v>500012668</v>
          </cell>
          <cell r="O72">
            <v>500012569</v>
          </cell>
          <cell r="P72">
            <v>500012669</v>
          </cell>
          <cell r="Q72">
            <v>12.581545779377787</v>
          </cell>
          <cell r="R72">
            <v>11.241433881440189</v>
          </cell>
          <cell r="S72">
            <v>5.3005176223902808</v>
          </cell>
          <cell r="T72">
            <v>5.3005176223902808</v>
          </cell>
          <cell r="U72">
            <v>12.581545779377787</v>
          </cell>
          <cell r="V72">
            <v>11.241433881440189</v>
          </cell>
          <cell r="W72">
            <v>40</v>
          </cell>
          <cell r="X72">
            <v>32.858267716535437</v>
          </cell>
          <cell r="Y72">
            <v>66.038385826771659</v>
          </cell>
          <cell r="Z72">
            <v>32.858267716535437</v>
          </cell>
          <cell r="AA72">
            <v>66.038385826771659</v>
          </cell>
          <cell r="AB72">
            <v>32.858267716535437</v>
          </cell>
          <cell r="AC72">
            <v>66.038385826771659</v>
          </cell>
          <cell r="AD72">
            <v>66.038385826771659</v>
          </cell>
          <cell r="AE72">
            <v>65.460629921259851</v>
          </cell>
          <cell r="AF72">
            <v>23.460629921259848</v>
          </cell>
          <cell r="AG72">
            <v>37.484251968503941</v>
          </cell>
          <cell r="AH72" t="str">
            <v>N</v>
          </cell>
          <cell r="AI72">
            <v>42.997500000000002</v>
          </cell>
          <cell r="AJ72">
            <v>19.5</v>
          </cell>
          <cell r="AK72" t="str">
            <v>TBD</v>
          </cell>
          <cell r="AL72" t="str">
            <v>Y</v>
          </cell>
          <cell r="AM72">
            <v>200018403</v>
          </cell>
          <cell r="AN72">
            <v>200028403</v>
          </cell>
          <cell r="AO72">
            <v>200018303</v>
          </cell>
          <cell r="AP72">
            <v>200028303</v>
          </cell>
          <cell r="AQ72">
            <v>200018203</v>
          </cell>
          <cell r="AR72">
            <v>200028203</v>
          </cell>
          <cell r="AS72">
            <v>14.555555555555557</v>
          </cell>
          <cell r="AT72">
            <v>21.438838446501453</v>
          </cell>
          <cell r="AU72">
            <v>15.97281150287564</v>
          </cell>
          <cell r="AV72">
            <v>10.897685235861529</v>
          </cell>
          <cell r="AW72">
            <v>41122</v>
          </cell>
        </row>
        <row r="73">
          <cell r="C73" t="str">
            <v>GCL Poly - GCL P6-72 280-300_L</v>
          </cell>
          <cell r="D73" t="str">
            <v>2nd Gen Long Claw (GCL Poly P6 72 Cell)</v>
          </cell>
          <cell r="E73">
            <v>500014411</v>
          </cell>
          <cell r="F73">
            <v>38.937007874015748</v>
          </cell>
          <cell r="G73">
            <v>77.677165354330711</v>
          </cell>
          <cell r="H73">
            <v>1.5354330708661419</v>
          </cell>
          <cell r="I73">
            <v>200010707</v>
          </cell>
          <cell r="J73">
            <v>200010807</v>
          </cell>
          <cell r="K73">
            <v>200013807</v>
          </cell>
          <cell r="L73">
            <v>200016307</v>
          </cell>
          <cell r="M73">
            <v>500012581</v>
          </cell>
          <cell r="N73">
            <v>500012681</v>
          </cell>
          <cell r="O73">
            <v>500012581</v>
          </cell>
          <cell r="P73">
            <v>500012681</v>
          </cell>
          <cell r="Q73">
            <v>10.472504150178661</v>
          </cell>
          <cell r="R73">
            <v>9.3617595686706334</v>
          </cell>
          <cell r="S73">
            <v>4.4210069648361285</v>
          </cell>
          <cell r="T73">
            <v>4.4210069648361285</v>
          </cell>
          <cell r="U73">
            <v>10.472504150178661</v>
          </cell>
          <cell r="V73">
            <v>9.3617595686706334</v>
          </cell>
          <cell r="W73">
            <v>50</v>
          </cell>
          <cell r="X73">
            <v>39.377952755905518</v>
          </cell>
          <cell r="Y73">
            <v>78.43208661417323</v>
          </cell>
          <cell r="Z73">
            <v>39.377952755905518</v>
          </cell>
          <cell r="AA73">
            <v>78.43208661417323</v>
          </cell>
          <cell r="AB73">
            <v>39.377952755905518</v>
          </cell>
          <cell r="AC73">
            <v>78.43208661417323</v>
          </cell>
          <cell r="AD73">
            <v>78.43208661417323</v>
          </cell>
          <cell r="AE73">
            <v>78.177165354330711</v>
          </cell>
          <cell r="AF73">
            <v>36.177165354330711</v>
          </cell>
          <cell r="AG73">
            <v>39.413385826771659</v>
          </cell>
          <cell r="AH73" t="str">
            <v>Y</v>
          </cell>
          <cell r="AI73">
            <v>49.612500000000004</v>
          </cell>
          <cell r="AJ73">
            <v>22.5</v>
          </cell>
          <cell r="AK73" t="str">
            <v>TBD</v>
          </cell>
          <cell r="AL73" t="str">
            <v>Y</v>
          </cell>
          <cell r="AM73">
            <v>200018407</v>
          </cell>
          <cell r="AN73">
            <v>200028407</v>
          </cell>
          <cell r="AO73">
            <v>200018307</v>
          </cell>
          <cell r="AP73">
            <v>200028307</v>
          </cell>
          <cell r="AQ73">
            <v>200018207</v>
          </cell>
          <cell r="AR73">
            <v>200028207</v>
          </cell>
          <cell r="AS73">
            <v>17.222222222222221</v>
          </cell>
          <cell r="AT73">
            <v>20.341667202100606</v>
          </cell>
          <cell r="AU73">
            <v>15.171677372068142</v>
          </cell>
          <cell r="AV73">
            <v>10.358239753326892</v>
          </cell>
          <cell r="AW73">
            <v>41122</v>
          </cell>
        </row>
        <row r="74">
          <cell r="C74" t="str">
            <v>GE Energy - GE-CIGS 130-155_S</v>
          </cell>
          <cell r="D74" t="str">
            <v>Standard Claw</v>
          </cell>
          <cell r="E74">
            <v>5000005</v>
          </cell>
          <cell r="F74">
            <v>39.251968503937007</v>
          </cell>
          <cell r="G74">
            <v>49.409448818897637</v>
          </cell>
          <cell r="H74">
            <v>1.3779527559055118</v>
          </cell>
          <cell r="I74">
            <v>200010701</v>
          </cell>
          <cell r="J74">
            <v>200010801</v>
          </cell>
          <cell r="K74">
            <v>200013801</v>
          </cell>
          <cell r="L74">
            <v>200016301</v>
          </cell>
          <cell r="M74">
            <v>500012554</v>
          </cell>
          <cell r="N74">
            <v>500012654</v>
          </cell>
          <cell r="O74">
            <v>500012554</v>
          </cell>
          <cell r="P74">
            <v>500012654</v>
          </cell>
          <cell r="Q74">
            <v>11.50360408509002</v>
          </cell>
          <cell r="R74">
            <v>10.281085349492539</v>
          </cell>
          <cell r="S74">
            <v>4.8516763621064163</v>
          </cell>
          <cell r="T74">
            <v>4.8516763621064163</v>
          </cell>
          <cell r="U74">
            <v>11.50360408509002</v>
          </cell>
          <cell r="V74">
            <v>10.281085349492539</v>
          </cell>
          <cell r="W74">
            <v>30</v>
          </cell>
          <cell r="X74">
            <v>35.889763779527563</v>
          </cell>
          <cell r="Y74">
            <v>51.2746062992126</v>
          </cell>
          <cell r="Z74">
            <v>35.889763779527563</v>
          </cell>
          <cell r="AA74">
            <v>51.2746062992126</v>
          </cell>
          <cell r="AB74">
            <v>35.889763779527563</v>
          </cell>
          <cell r="AC74">
            <v>51.2746062992126</v>
          </cell>
          <cell r="AD74">
            <v>51.2746062992126</v>
          </cell>
          <cell r="AE74" t="str">
            <v>NA</v>
          </cell>
          <cell r="AF74" t="str">
            <v>NA</v>
          </cell>
          <cell r="AG74" t="str">
            <v>NA</v>
          </cell>
          <cell r="AH74" t="str">
            <v>Y</v>
          </cell>
          <cell r="AI74">
            <v>44.1</v>
          </cell>
          <cell r="AJ74">
            <v>20</v>
          </cell>
          <cell r="AK74" t="str">
            <v>TBD</v>
          </cell>
          <cell r="AL74" t="str">
            <v>Y</v>
          </cell>
          <cell r="AM74" t="str">
            <v>2000184TBD</v>
          </cell>
          <cell r="AN74" t="str">
            <v>2000284TBD</v>
          </cell>
          <cell r="AO74" t="str">
            <v>2000183TBD</v>
          </cell>
          <cell r="AP74" t="str">
            <v>2000283TBD</v>
          </cell>
          <cell r="AQ74" t="str">
            <v>2000182TBD</v>
          </cell>
          <cell r="AR74" t="str">
            <v>2000282TBD</v>
          </cell>
          <cell r="AS74" t="str">
            <v>TBD</v>
          </cell>
          <cell r="AT74" t="str">
            <v>NA</v>
          </cell>
          <cell r="AU74" t="str">
            <v>NA</v>
          </cell>
          <cell r="AV74" t="str">
            <v>NA</v>
          </cell>
          <cell r="AW74">
            <v>41122</v>
          </cell>
        </row>
        <row r="75">
          <cell r="C75" t="str">
            <v>Grape Solar - CS-S-DJ 180-185- GS-S-Fab3-Fab1 190-200_S</v>
          </cell>
          <cell r="D75" t="str">
            <v>Standard Claw</v>
          </cell>
          <cell r="E75">
            <v>5000005</v>
          </cell>
          <cell r="F75">
            <v>31.811023622047244</v>
          </cell>
          <cell r="G75">
            <v>62.204724409448822</v>
          </cell>
          <cell r="H75">
            <v>1.5748031496062993</v>
          </cell>
          <cell r="I75">
            <v>200010704</v>
          </cell>
          <cell r="J75">
            <v>200010804</v>
          </cell>
          <cell r="K75">
            <v>200013804</v>
          </cell>
          <cell r="L75">
            <v>200016304</v>
          </cell>
          <cell r="M75">
            <v>500012566</v>
          </cell>
          <cell r="N75">
            <v>500012666</v>
          </cell>
          <cell r="O75">
            <v>500012566</v>
          </cell>
          <cell r="P75">
            <v>500012666</v>
          </cell>
          <cell r="Q75">
            <v>14.780819563929326</v>
          </cell>
          <cell r="R75">
            <v>13.198114568872393</v>
          </cell>
          <cell r="S75">
            <v>6.211295317501194</v>
          </cell>
          <cell r="T75">
            <v>6.211295317501194</v>
          </cell>
          <cell r="U75">
            <v>14.780819563929326</v>
          </cell>
          <cell r="V75">
            <v>13.198114568872393</v>
          </cell>
          <cell r="W75">
            <v>30</v>
          </cell>
          <cell r="X75">
            <v>28.055118110236222</v>
          </cell>
          <cell r="Y75">
            <v>63.676181102362207</v>
          </cell>
          <cell r="Z75">
            <v>28.055118110236222</v>
          </cell>
          <cell r="AA75">
            <v>63.676181102362207</v>
          </cell>
          <cell r="AB75">
            <v>28.055118110236222</v>
          </cell>
          <cell r="AC75">
            <v>63.676181102362207</v>
          </cell>
          <cell r="AD75">
            <v>63.676181102362207</v>
          </cell>
          <cell r="AE75">
            <v>62.704724409448822</v>
          </cell>
          <cell r="AF75">
            <v>20.704724409448822</v>
          </cell>
          <cell r="AG75">
            <v>32.681102362204726</v>
          </cell>
          <cell r="AH75" t="str">
            <v>N</v>
          </cell>
          <cell r="AI75">
            <v>34.177500000000002</v>
          </cell>
          <cell r="AJ75">
            <v>15.5</v>
          </cell>
          <cell r="AK75" t="str">
            <v>TBD</v>
          </cell>
          <cell r="AL75" t="str">
            <v>Y</v>
          </cell>
          <cell r="AM75">
            <v>200018402</v>
          </cell>
          <cell r="AN75">
            <v>200028402</v>
          </cell>
          <cell r="AO75">
            <v>200018302</v>
          </cell>
          <cell r="AP75">
            <v>200028302</v>
          </cell>
          <cell r="AQ75">
            <v>200018202</v>
          </cell>
          <cell r="AR75">
            <v>200028202</v>
          </cell>
          <cell r="AS75">
            <v>13.888888888888888</v>
          </cell>
          <cell r="AT75">
            <v>24.785769092963804</v>
          </cell>
          <cell r="AU75">
            <v>18.39852585667062</v>
          </cell>
          <cell r="AV75">
            <v>12.523577389800897</v>
          </cell>
          <cell r="AW75">
            <v>40746</v>
          </cell>
        </row>
        <row r="76">
          <cell r="C76" t="str">
            <v>Grape Solar - GS-S-240-Fab1_S</v>
          </cell>
          <cell r="D76" t="str">
            <v>Standard Claw</v>
          </cell>
          <cell r="E76">
            <v>5000005</v>
          </cell>
          <cell r="F76">
            <v>39.370078740157481</v>
          </cell>
          <cell r="G76">
            <v>65.039370078740163</v>
          </cell>
          <cell r="H76">
            <v>1.9685039370078741</v>
          </cell>
          <cell r="I76">
            <v>200010704</v>
          </cell>
          <cell r="J76">
            <v>200010804</v>
          </cell>
          <cell r="K76">
            <v>200013804</v>
          </cell>
          <cell r="L76">
            <v>200016304</v>
          </cell>
          <cell r="M76">
            <v>500012569</v>
          </cell>
          <cell r="N76">
            <v>500012669</v>
          </cell>
          <cell r="O76">
            <v>500012569</v>
          </cell>
          <cell r="P76">
            <v>500012669</v>
          </cell>
          <cell r="Q76">
            <v>11.593851817515533</v>
          </cell>
          <cell r="R76">
            <v>10.361517999726759</v>
          </cell>
          <cell r="S76">
            <v>4.8893107769288457</v>
          </cell>
          <cell r="T76">
            <v>4.8893107769288457</v>
          </cell>
          <cell r="U76">
            <v>11.593851817515533</v>
          </cell>
          <cell r="V76">
            <v>10.361517999726759</v>
          </cell>
          <cell r="W76">
            <v>30</v>
          </cell>
          <cell r="X76">
            <v>35.614173228346459</v>
          </cell>
          <cell r="Y76">
            <v>66.510826771653541</v>
          </cell>
          <cell r="Z76">
            <v>35.614173228346459</v>
          </cell>
          <cell r="AA76">
            <v>66.510826771653541</v>
          </cell>
          <cell r="AB76">
            <v>35.614173228346459</v>
          </cell>
          <cell r="AC76">
            <v>66.510826771653541</v>
          </cell>
          <cell r="AD76">
            <v>66.510826771653541</v>
          </cell>
          <cell r="AE76">
            <v>65.539370078740163</v>
          </cell>
          <cell r="AF76">
            <v>23.539370078740163</v>
          </cell>
          <cell r="AG76">
            <v>40.240157480314963</v>
          </cell>
          <cell r="AH76" t="str">
            <v>N</v>
          </cell>
          <cell r="AI76">
            <v>44.1</v>
          </cell>
          <cell r="AJ76">
            <v>20</v>
          </cell>
          <cell r="AK76" t="str">
            <v>TBD</v>
          </cell>
          <cell r="AL76" t="str">
            <v>Y</v>
          </cell>
          <cell r="AM76">
            <v>200018403</v>
          </cell>
          <cell r="AN76">
            <v>200028403</v>
          </cell>
          <cell r="AO76">
            <v>200018303</v>
          </cell>
          <cell r="AP76">
            <v>200028303</v>
          </cell>
          <cell r="AQ76">
            <v>200018203</v>
          </cell>
          <cell r="AR76">
            <v>200028203</v>
          </cell>
          <cell r="AS76">
            <v>14.555555555555557</v>
          </cell>
          <cell r="AT76">
            <v>19.905846229389603</v>
          </cell>
          <cell r="AU76">
            <v>14.852704372847956</v>
          </cell>
          <cell r="AV76">
            <v>10.143144054640397</v>
          </cell>
          <cell r="AW76">
            <v>40746</v>
          </cell>
        </row>
        <row r="77">
          <cell r="C77" t="str">
            <v>Grape Solar - GS-S-250-Fab5_S</v>
          </cell>
          <cell r="D77" t="str">
            <v>Standard Claw</v>
          </cell>
          <cell r="E77">
            <v>5000005</v>
          </cell>
          <cell r="F77">
            <v>38.976377952755911</v>
          </cell>
          <cell r="G77">
            <v>64.566929133858267</v>
          </cell>
          <cell r="H77">
            <v>1.5748031496062993</v>
          </cell>
          <cell r="I77">
            <v>200010704</v>
          </cell>
          <cell r="J77">
            <v>200010804</v>
          </cell>
          <cell r="K77">
            <v>200013804</v>
          </cell>
          <cell r="L77">
            <v>200016304</v>
          </cell>
          <cell r="M77">
            <v>500012568</v>
          </cell>
          <cell r="N77">
            <v>500012668</v>
          </cell>
          <cell r="O77">
            <v>500012569</v>
          </cell>
          <cell r="P77">
            <v>500012669</v>
          </cell>
          <cell r="Q77">
            <v>11.725279318414811</v>
          </cell>
          <cell r="R77">
            <v>10.478642249707667</v>
          </cell>
          <cell r="S77">
            <v>4.9440996728708777</v>
          </cell>
          <cell r="T77">
            <v>4.9440996728708777</v>
          </cell>
          <cell r="U77">
            <v>11.725279318414811</v>
          </cell>
          <cell r="V77">
            <v>10.478642249707667</v>
          </cell>
          <cell r="W77">
            <v>30</v>
          </cell>
          <cell r="X77">
            <v>35.220472440944881</v>
          </cell>
          <cell r="Y77">
            <v>66.038385826771659</v>
          </cell>
          <cell r="Z77">
            <v>35.220472440944881</v>
          </cell>
          <cell r="AA77">
            <v>66.038385826771659</v>
          </cell>
          <cell r="AB77">
            <v>35.220472440944881</v>
          </cell>
          <cell r="AC77">
            <v>66.038385826771659</v>
          </cell>
          <cell r="AD77">
            <v>66.038385826771659</v>
          </cell>
          <cell r="AE77">
            <v>65.066929133858267</v>
          </cell>
          <cell r="AF77">
            <v>23.066929133858274</v>
          </cell>
          <cell r="AG77">
            <v>39.846456692913392</v>
          </cell>
          <cell r="AH77" t="str">
            <v>N</v>
          </cell>
          <cell r="AI77">
            <v>44.1</v>
          </cell>
          <cell r="AJ77">
            <v>20</v>
          </cell>
          <cell r="AK77" t="str">
            <v>TBD</v>
          </cell>
          <cell r="AL77" t="str">
            <v>Y</v>
          </cell>
          <cell r="AM77">
            <v>200018403</v>
          </cell>
          <cell r="AN77">
            <v>200028403</v>
          </cell>
          <cell r="AO77">
            <v>200018303</v>
          </cell>
          <cell r="AP77">
            <v>200028303</v>
          </cell>
          <cell r="AQ77">
            <v>200018203</v>
          </cell>
          <cell r="AR77">
            <v>200028203</v>
          </cell>
          <cell r="AS77">
            <v>14.555555555555557</v>
          </cell>
          <cell r="AT77">
            <v>20.110973161651764</v>
          </cell>
          <cell r="AU77">
            <v>15.002886128524771</v>
          </cell>
          <cell r="AV77">
            <v>10.244439167746933</v>
          </cell>
          <cell r="AW77">
            <v>40746</v>
          </cell>
        </row>
        <row r="78">
          <cell r="C78" t="str">
            <v>Grape Solar - GS-S-255-Fa3_S</v>
          </cell>
          <cell r="D78" t="str">
            <v>Standard Claw</v>
          </cell>
          <cell r="E78">
            <v>5000005</v>
          </cell>
          <cell r="F78">
            <v>42.047244094488192</v>
          </cell>
          <cell r="G78">
            <v>62.28346456692914</v>
          </cell>
          <cell r="H78">
            <v>1.9685039370078741</v>
          </cell>
          <cell r="I78">
            <v>200010704</v>
          </cell>
          <cell r="J78">
            <v>200010804</v>
          </cell>
          <cell r="K78">
            <v>200013804</v>
          </cell>
          <cell r="L78">
            <v>200016304</v>
          </cell>
          <cell r="M78">
            <v>500012566</v>
          </cell>
          <cell r="N78">
            <v>500012666</v>
          </cell>
          <cell r="O78">
            <v>500012566</v>
          </cell>
          <cell r="P78">
            <v>500012666</v>
          </cell>
          <cell r="Q78">
            <v>10.773189637539925</v>
          </cell>
          <cell r="R78">
            <v>9.6299174575486735</v>
          </cell>
          <cell r="S78">
            <v>4.5467246307897273</v>
          </cell>
          <cell r="T78">
            <v>4.5467246307897273</v>
          </cell>
          <cell r="U78">
            <v>10.773189637539925</v>
          </cell>
          <cell r="V78">
            <v>9.6299174575486735</v>
          </cell>
          <cell r="W78">
            <v>30</v>
          </cell>
          <cell r="X78">
            <v>38.29133858267717</v>
          </cell>
          <cell r="Y78">
            <v>63.754921259842526</v>
          </cell>
          <cell r="Z78">
            <v>38.29133858267717</v>
          </cell>
          <cell r="AA78">
            <v>63.754921259842526</v>
          </cell>
          <cell r="AB78">
            <v>38.29133858267717</v>
          </cell>
          <cell r="AC78">
            <v>63.754921259842526</v>
          </cell>
          <cell r="AD78">
            <v>63.754921259842526</v>
          </cell>
          <cell r="AE78">
            <v>62.78346456692914</v>
          </cell>
          <cell r="AF78">
            <v>20.783464566929137</v>
          </cell>
          <cell r="AG78">
            <v>42.917322834645667</v>
          </cell>
          <cell r="AH78" t="str">
            <v>N</v>
          </cell>
          <cell r="AI78">
            <v>44.1</v>
          </cell>
          <cell r="AJ78">
            <v>20</v>
          </cell>
          <cell r="AK78" t="str">
            <v>TBD</v>
          </cell>
          <cell r="AL78" t="str">
            <v>Y</v>
          </cell>
          <cell r="AM78">
            <v>200018402</v>
          </cell>
          <cell r="AN78">
            <v>200028402</v>
          </cell>
          <cell r="AO78">
            <v>200018302</v>
          </cell>
          <cell r="AP78">
            <v>200028302</v>
          </cell>
          <cell r="AQ78">
            <v>200018202</v>
          </cell>
          <cell r="AR78">
            <v>200028202</v>
          </cell>
          <cell r="AS78">
            <v>13.888888888888888</v>
          </cell>
          <cell r="AT78">
            <v>18.616774091610804</v>
          </cell>
          <cell r="AU78">
            <v>13.906898853604041</v>
          </cell>
          <cell r="AV78">
            <v>9.5043488290473714</v>
          </cell>
          <cell r="AW78">
            <v>40746</v>
          </cell>
        </row>
        <row r="79">
          <cell r="C79" t="str">
            <v>Grape Solar - GS-S-Fab1 270-300- GS-P-Fab1 290-295_S</v>
          </cell>
          <cell r="D79" t="str">
            <v>Standard Claw</v>
          </cell>
          <cell r="E79">
            <v>5000005</v>
          </cell>
          <cell r="F79">
            <v>39.370078740157481</v>
          </cell>
          <cell r="G79">
            <v>77.480314960629926</v>
          </cell>
          <cell r="H79">
            <v>1.9685039370078741</v>
          </cell>
          <cell r="I79">
            <v>200010707</v>
          </cell>
          <cell r="J79">
            <v>200010807</v>
          </cell>
          <cell r="K79">
            <v>200013807</v>
          </cell>
          <cell r="L79">
            <v>200016307</v>
          </cell>
          <cell r="M79">
            <v>500012581</v>
          </cell>
          <cell r="N79">
            <v>500012681</v>
          </cell>
          <cell r="O79">
            <v>500012581</v>
          </cell>
          <cell r="P79">
            <v>500012681</v>
          </cell>
          <cell r="Q79">
            <v>11.593851817515533</v>
          </cell>
          <cell r="R79">
            <v>10.361517999726759</v>
          </cell>
          <cell r="S79">
            <v>4.8893107769288457</v>
          </cell>
          <cell r="T79">
            <v>4.8893107769288457</v>
          </cell>
          <cell r="U79">
            <v>11.593851817515533</v>
          </cell>
          <cell r="V79">
            <v>10.361517999726759</v>
          </cell>
          <cell r="W79">
            <v>30</v>
          </cell>
          <cell r="X79">
            <v>35.614173228346459</v>
          </cell>
          <cell r="Y79">
            <v>78.951771653543318</v>
          </cell>
          <cell r="Z79">
            <v>35.614173228346459</v>
          </cell>
          <cell r="AA79">
            <v>78.951771653543318</v>
          </cell>
          <cell r="AB79">
            <v>35.614173228346459</v>
          </cell>
          <cell r="AC79">
            <v>78.951771653543318</v>
          </cell>
          <cell r="AD79">
            <v>78.951771653543318</v>
          </cell>
          <cell r="AE79">
            <v>77.980314960629926</v>
          </cell>
          <cell r="AF79">
            <v>35.980314960629926</v>
          </cell>
          <cell r="AG79">
            <v>40.240157480314963</v>
          </cell>
          <cell r="AH79" t="str">
            <v>N</v>
          </cell>
          <cell r="AI79">
            <v>52.92</v>
          </cell>
          <cell r="AJ79">
            <v>24</v>
          </cell>
          <cell r="AK79" t="str">
            <v>TBD</v>
          </cell>
          <cell r="AL79" t="str">
            <v>Y</v>
          </cell>
          <cell r="AM79">
            <v>200018407</v>
          </cell>
          <cell r="AN79">
            <v>200028407</v>
          </cell>
          <cell r="AO79">
            <v>200018307</v>
          </cell>
          <cell r="AP79">
            <v>200028307</v>
          </cell>
          <cell r="AQ79">
            <v>200018207</v>
          </cell>
          <cell r="AR79">
            <v>200028207</v>
          </cell>
          <cell r="AS79">
            <v>17.222222222222221</v>
          </cell>
          <cell r="AT79">
            <v>19.905846229389603</v>
          </cell>
          <cell r="AU79">
            <v>14.852704372847956</v>
          </cell>
          <cell r="AV79">
            <v>10.143144054640397</v>
          </cell>
          <cell r="AW79">
            <v>40746</v>
          </cell>
        </row>
        <row r="80">
          <cell r="C80" t="str">
            <v>Grape Solar - GS-S-TS-Platinum 385-410_S</v>
          </cell>
          <cell r="D80" t="str">
            <v>Standard Claw</v>
          </cell>
          <cell r="E80">
            <v>5000005</v>
          </cell>
          <cell r="F80">
            <v>51.496062992125985</v>
          </cell>
          <cell r="G80">
            <v>77.165354330708666</v>
          </cell>
          <cell r="H80">
            <v>1.5748031496062993</v>
          </cell>
          <cell r="I80">
            <v>200010707</v>
          </cell>
          <cell r="J80">
            <v>200010807</v>
          </cell>
          <cell r="K80">
            <v>200013807</v>
          </cell>
          <cell r="L80">
            <v>200016307</v>
          </cell>
          <cell r="M80">
            <v>500012581</v>
          </cell>
          <cell r="N80">
            <v>500012681</v>
          </cell>
          <cell r="O80">
            <v>500012581</v>
          </cell>
          <cell r="P80">
            <v>500012681</v>
          </cell>
          <cell r="Q80">
            <v>8.6226253875479095</v>
          </cell>
          <cell r="R80">
            <v>7.710888005830153</v>
          </cell>
          <cell r="S80">
            <v>3.6454613919061694</v>
          </cell>
          <cell r="T80">
            <v>3.6454613919061694</v>
          </cell>
          <cell r="U80">
            <v>8.6226253875479095</v>
          </cell>
          <cell r="V80">
            <v>7.710888005830153</v>
          </cell>
          <cell r="W80">
            <v>30</v>
          </cell>
          <cell r="X80">
            <v>47.740157480314963</v>
          </cell>
          <cell r="Y80">
            <v>78.636811023622045</v>
          </cell>
          <cell r="Z80">
            <v>47.740157480314963</v>
          </cell>
          <cell r="AA80">
            <v>78.636811023622045</v>
          </cell>
          <cell r="AB80">
            <v>47.740157480314963</v>
          </cell>
          <cell r="AC80">
            <v>78.636811023622045</v>
          </cell>
          <cell r="AD80">
            <v>78.636811023622045</v>
          </cell>
          <cell r="AE80">
            <v>77.665354330708666</v>
          </cell>
          <cell r="AF80">
            <v>35.665354330708666</v>
          </cell>
          <cell r="AG80">
            <v>52.366141732283467</v>
          </cell>
          <cell r="AH80" t="str">
            <v>N</v>
          </cell>
          <cell r="AI80">
            <v>78.277500000000003</v>
          </cell>
          <cell r="AJ80">
            <v>35.5</v>
          </cell>
          <cell r="AK80" t="str">
            <v>TBD</v>
          </cell>
          <cell r="AL80" t="str">
            <v>Y</v>
          </cell>
          <cell r="AM80">
            <v>200018407</v>
          </cell>
          <cell r="AN80">
            <v>200028407</v>
          </cell>
          <cell r="AO80">
            <v>200018307</v>
          </cell>
          <cell r="AP80">
            <v>200028307</v>
          </cell>
          <cell r="AQ80">
            <v>200018207</v>
          </cell>
          <cell r="AR80">
            <v>200028207</v>
          </cell>
          <cell r="AS80">
            <v>17.222222222222221</v>
          </cell>
          <cell r="AT80">
            <v>15.167067555207536</v>
          </cell>
          <cell r="AU80">
            <v>11.360276831802061</v>
          </cell>
          <cell r="AV80">
            <v>7.7775968384255716</v>
          </cell>
          <cell r="AW80">
            <v>40746</v>
          </cell>
        </row>
        <row r="81">
          <cell r="C81" t="str">
            <v>Grape Solar - CS-P-DJ 220-230_S</v>
          </cell>
          <cell r="D81" t="str">
            <v>Standard Claw</v>
          </cell>
          <cell r="E81">
            <v>5000005</v>
          </cell>
          <cell r="F81">
            <v>38.976377952755911</v>
          </cell>
          <cell r="G81">
            <v>64.960629921259851</v>
          </cell>
          <cell r="H81">
            <v>1.5748031496062993</v>
          </cell>
          <cell r="I81">
            <v>200010704</v>
          </cell>
          <cell r="J81">
            <v>200010804</v>
          </cell>
          <cell r="K81">
            <v>200013804</v>
          </cell>
          <cell r="L81">
            <v>200016304</v>
          </cell>
          <cell r="M81">
            <v>500012569</v>
          </cell>
          <cell r="N81">
            <v>500012669</v>
          </cell>
          <cell r="O81">
            <v>500012569</v>
          </cell>
          <cell r="P81">
            <v>500012669</v>
          </cell>
          <cell r="Q81">
            <v>11.725279318414811</v>
          </cell>
          <cell r="R81">
            <v>10.478642249707667</v>
          </cell>
          <cell r="S81">
            <v>4.9440996728708777</v>
          </cell>
          <cell r="T81">
            <v>4.9440996728708777</v>
          </cell>
          <cell r="U81">
            <v>11.725279318414811</v>
          </cell>
          <cell r="V81">
            <v>10.478642249707667</v>
          </cell>
          <cell r="W81">
            <v>30</v>
          </cell>
          <cell r="X81">
            <v>35.220472440944881</v>
          </cell>
          <cell r="Y81">
            <v>66.43208661417323</v>
          </cell>
          <cell r="Z81">
            <v>35.220472440944881</v>
          </cell>
          <cell r="AA81">
            <v>66.43208661417323</v>
          </cell>
          <cell r="AB81">
            <v>35.220472440944881</v>
          </cell>
          <cell r="AC81">
            <v>66.43208661417323</v>
          </cell>
          <cell r="AD81">
            <v>66.43208661417323</v>
          </cell>
          <cell r="AE81">
            <v>65.460629921259851</v>
          </cell>
          <cell r="AF81">
            <v>23.460629921259848</v>
          </cell>
          <cell r="AG81">
            <v>39.846456692913392</v>
          </cell>
          <cell r="AH81" t="str">
            <v>Y</v>
          </cell>
          <cell r="AI81">
            <v>42.997500000000002</v>
          </cell>
          <cell r="AJ81">
            <v>19.5</v>
          </cell>
          <cell r="AK81" t="str">
            <v>TBD</v>
          </cell>
          <cell r="AL81" t="str">
            <v>Y</v>
          </cell>
          <cell r="AM81">
            <v>200018403</v>
          </cell>
          <cell r="AN81">
            <v>200028403</v>
          </cell>
          <cell r="AO81">
            <v>200018303</v>
          </cell>
          <cell r="AP81">
            <v>200028303</v>
          </cell>
          <cell r="AQ81">
            <v>200018203</v>
          </cell>
          <cell r="AR81">
            <v>200028203</v>
          </cell>
          <cell r="AS81">
            <v>14.555555555555557</v>
          </cell>
          <cell r="AT81">
            <v>20.110973161651764</v>
          </cell>
          <cell r="AU81">
            <v>15.002886128524771</v>
          </cell>
          <cell r="AV81">
            <v>10.244439167746933</v>
          </cell>
          <cell r="AW81">
            <v>40746</v>
          </cell>
        </row>
        <row r="82">
          <cell r="C82" t="str">
            <v>Grape Solar - CS-P-240-DJ- GS-P-225-EUG_S</v>
          </cell>
          <cell r="D82" t="str">
            <v>Standard Claw</v>
          </cell>
          <cell r="E82">
            <v>5000005</v>
          </cell>
          <cell r="F82">
            <v>39.055118110236222</v>
          </cell>
          <cell r="G82">
            <v>64.566929133858267</v>
          </cell>
          <cell r="H82">
            <v>1.8110236220472442</v>
          </cell>
          <cell r="I82">
            <v>200010704</v>
          </cell>
          <cell r="J82">
            <v>200010804</v>
          </cell>
          <cell r="K82">
            <v>200013804</v>
          </cell>
          <cell r="L82">
            <v>200016304</v>
          </cell>
          <cell r="M82">
            <v>500012568</v>
          </cell>
          <cell r="N82">
            <v>500012668</v>
          </cell>
          <cell r="O82">
            <v>500012569</v>
          </cell>
          <cell r="P82">
            <v>500012669</v>
          </cell>
          <cell r="Q82">
            <v>11.698754267040043</v>
          </cell>
          <cell r="R82">
            <v>10.455004839041191</v>
          </cell>
          <cell r="S82">
            <v>4.9330437584696041</v>
          </cell>
          <cell r="T82">
            <v>4.9330437584696041</v>
          </cell>
          <cell r="U82">
            <v>11.698754267040043</v>
          </cell>
          <cell r="V82">
            <v>10.455004839041191</v>
          </cell>
          <cell r="W82">
            <v>30</v>
          </cell>
          <cell r="X82">
            <v>35.2992125984252</v>
          </cell>
          <cell r="Y82">
            <v>66.038385826771659</v>
          </cell>
          <cell r="Z82">
            <v>35.2992125984252</v>
          </cell>
          <cell r="AA82">
            <v>66.038385826771659</v>
          </cell>
          <cell r="AB82">
            <v>35.2992125984252</v>
          </cell>
          <cell r="AC82">
            <v>66.038385826771659</v>
          </cell>
          <cell r="AD82">
            <v>66.038385826771659</v>
          </cell>
          <cell r="AE82">
            <v>65.066929133858267</v>
          </cell>
          <cell r="AF82">
            <v>23.066929133858274</v>
          </cell>
          <cell r="AG82">
            <v>39.925196850393704</v>
          </cell>
          <cell r="AH82" t="str">
            <v>Y</v>
          </cell>
          <cell r="AI82">
            <v>42.997500000000002</v>
          </cell>
          <cell r="AJ82">
            <v>19.5</v>
          </cell>
          <cell r="AK82" t="str">
            <v>TBD</v>
          </cell>
          <cell r="AL82" t="str">
            <v>Y</v>
          </cell>
          <cell r="AM82">
            <v>200018403</v>
          </cell>
          <cell r="AN82">
            <v>200028403</v>
          </cell>
          <cell r="AO82">
            <v>200018303</v>
          </cell>
          <cell r="AP82">
            <v>200028303</v>
          </cell>
          <cell r="AQ82">
            <v>200018203</v>
          </cell>
          <cell r="AR82">
            <v>200028203</v>
          </cell>
          <cell r="AS82">
            <v>14.555555555555557</v>
          </cell>
          <cell r="AT82">
            <v>20.069602586497279</v>
          </cell>
          <cell r="AU82">
            <v>14.97260437224279</v>
          </cell>
          <cell r="AV82">
            <v>10.224017732239455</v>
          </cell>
          <cell r="AW82">
            <v>40746</v>
          </cell>
        </row>
        <row r="83">
          <cell r="C83" t="str">
            <v>Grape Solar - GS-P-235-Fab5_S</v>
          </cell>
          <cell r="D83" t="str">
            <v>Standard Claw</v>
          </cell>
          <cell r="E83">
            <v>5000005</v>
          </cell>
          <cell r="F83">
            <v>38.976377952755911</v>
          </cell>
          <cell r="G83">
            <v>64.960629921259851</v>
          </cell>
          <cell r="H83">
            <v>1.9685039370078741</v>
          </cell>
          <cell r="I83">
            <v>200010704</v>
          </cell>
          <cell r="J83">
            <v>200010804</v>
          </cell>
          <cell r="K83">
            <v>200013804</v>
          </cell>
          <cell r="L83">
            <v>200016304</v>
          </cell>
          <cell r="M83">
            <v>500012569</v>
          </cell>
          <cell r="N83">
            <v>500012669</v>
          </cell>
          <cell r="O83">
            <v>500012569</v>
          </cell>
          <cell r="P83">
            <v>500012669</v>
          </cell>
          <cell r="Q83">
            <v>11.725279318414811</v>
          </cell>
          <cell r="R83">
            <v>10.478642249707667</v>
          </cell>
          <cell r="S83">
            <v>4.9440996728708777</v>
          </cell>
          <cell r="T83">
            <v>4.9440996728708777</v>
          </cell>
          <cell r="U83">
            <v>11.725279318414811</v>
          </cell>
          <cell r="V83">
            <v>10.478642249707667</v>
          </cell>
          <cell r="W83">
            <v>30</v>
          </cell>
          <cell r="X83">
            <v>35.220472440944881</v>
          </cell>
          <cell r="Y83">
            <v>66.43208661417323</v>
          </cell>
          <cell r="Z83">
            <v>35.220472440944881</v>
          </cell>
          <cell r="AA83">
            <v>66.43208661417323</v>
          </cell>
          <cell r="AB83">
            <v>35.220472440944881</v>
          </cell>
          <cell r="AC83">
            <v>66.43208661417323</v>
          </cell>
          <cell r="AD83">
            <v>66.43208661417323</v>
          </cell>
          <cell r="AE83">
            <v>65.460629921259851</v>
          </cell>
          <cell r="AF83">
            <v>23.460629921259848</v>
          </cell>
          <cell r="AG83">
            <v>39.846456692913392</v>
          </cell>
          <cell r="AH83" t="str">
            <v>N</v>
          </cell>
          <cell r="AI83">
            <v>42.997500000000002</v>
          </cell>
          <cell r="AJ83">
            <v>19.5</v>
          </cell>
          <cell r="AK83" t="str">
            <v>TBD</v>
          </cell>
          <cell r="AL83" t="str">
            <v>Y</v>
          </cell>
          <cell r="AM83">
            <v>200018403</v>
          </cell>
          <cell r="AN83">
            <v>200028403</v>
          </cell>
          <cell r="AO83">
            <v>200018303</v>
          </cell>
          <cell r="AP83">
            <v>200028303</v>
          </cell>
          <cell r="AQ83">
            <v>200018203</v>
          </cell>
          <cell r="AR83">
            <v>200028203</v>
          </cell>
          <cell r="AS83">
            <v>14.555555555555557</v>
          </cell>
          <cell r="AT83">
            <v>20.110973161651764</v>
          </cell>
          <cell r="AU83">
            <v>15.002886128524771</v>
          </cell>
          <cell r="AV83">
            <v>10.244439167746933</v>
          </cell>
          <cell r="AW83">
            <v>40746</v>
          </cell>
        </row>
        <row r="84">
          <cell r="C84" t="str">
            <v>Grape Solar - CS-P-270-DJ_S</v>
          </cell>
          <cell r="D84" t="str">
            <v>Standard Claw</v>
          </cell>
          <cell r="E84">
            <v>5000005</v>
          </cell>
          <cell r="F84">
            <v>38.976377952755911</v>
          </cell>
          <cell r="G84">
            <v>77.047244094488192</v>
          </cell>
          <cell r="H84">
            <v>1.9685039370078741</v>
          </cell>
          <cell r="I84">
            <v>200010707</v>
          </cell>
          <cell r="J84">
            <v>200010807</v>
          </cell>
          <cell r="K84">
            <v>200013807</v>
          </cell>
          <cell r="L84">
            <v>200016307</v>
          </cell>
          <cell r="M84">
            <v>500012581</v>
          </cell>
          <cell r="N84">
            <v>500012681</v>
          </cell>
          <cell r="O84">
            <v>500012581</v>
          </cell>
          <cell r="P84">
            <v>500012681</v>
          </cell>
          <cell r="Q84">
            <v>11.725279318414811</v>
          </cell>
          <cell r="R84">
            <v>10.478642249707667</v>
          </cell>
          <cell r="S84">
            <v>4.9440996728708777</v>
          </cell>
          <cell r="T84">
            <v>4.9440996728708777</v>
          </cell>
          <cell r="U84">
            <v>11.725279318414811</v>
          </cell>
          <cell r="V84">
            <v>10.478642249707667</v>
          </cell>
          <cell r="W84">
            <v>30</v>
          </cell>
          <cell r="X84">
            <v>35.220472440944881</v>
          </cell>
          <cell r="Y84">
            <v>78.518700787401585</v>
          </cell>
          <cell r="Z84">
            <v>35.220472440944881</v>
          </cell>
          <cell r="AA84">
            <v>78.518700787401585</v>
          </cell>
          <cell r="AB84">
            <v>35.220472440944881</v>
          </cell>
          <cell r="AC84">
            <v>78.518700787401585</v>
          </cell>
          <cell r="AD84">
            <v>78.518700787401585</v>
          </cell>
          <cell r="AE84">
            <v>77.547244094488192</v>
          </cell>
          <cell r="AF84">
            <v>35.547244094488192</v>
          </cell>
          <cell r="AG84">
            <v>39.846456692913392</v>
          </cell>
          <cell r="AH84" t="str">
            <v>Y</v>
          </cell>
          <cell r="AI84">
            <v>55.125</v>
          </cell>
          <cell r="AJ84">
            <v>25</v>
          </cell>
          <cell r="AK84" t="str">
            <v>TBD</v>
          </cell>
          <cell r="AL84" t="str">
            <v>Y</v>
          </cell>
          <cell r="AM84">
            <v>200018407</v>
          </cell>
          <cell r="AN84">
            <v>200028407</v>
          </cell>
          <cell r="AO84">
            <v>200018307</v>
          </cell>
          <cell r="AP84">
            <v>200028307</v>
          </cell>
          <cell r="AQ84">
            <v>200018207</v>
          </cell>
          <cell r="AR84">
            <v>200028207</v>
          </cell>
          <cell r="AS84">
            <v>17.222222222222221</v>
          </cell>
          <cell r="AT84">
            <v>20.110973161651764</v>
          </cell>
          <cell r="AU84">
            <v>15.002886128524771</v>
          </cell>
          <cell r="AV84">
            <v>10.244439167746933</v>
          </cell>
          <cell r="AW84">
            <v>40746</v>
          </cell>
        </row>
        <row r="85">
          <cell r="C85" t="str">
            <v>Grape Solar - GS-P-EUG 275-280_S</v>
          </cell>
          <cell r="D85" t="str">
            <v>Standard Claw</v>
          </cell>
          <cell r="E85">
            <v>5000005</v>
          </cell>
          <cell r="F85">
            <v>39.055118110236222</v>
          </cell>
          <cell r="G85">
            <v>77.00787401574803</v>
          </cell>
          <cell r="H85">
            <v>1.9685039370078741</v>
          </cell>
          <cell r="I85">
            <v>200010707</v>
          </cell>
          <cell r="J85">
            <v>200010807</v>
          </cell>
          <cell r="K85">
            <v>200013807</v>
          </cell>
          <cell r="L85">
            <v>200016307</v>
          </cell>
          <cell r="M85">
            <v>500012581</v>
          </cell>
          <cell r="N85">
            <v>500012681</v>
          </cell>
          <cell r="O85">
            <v>500012581</v>
          </cell>
          <cell r="P85">
            <v>500012681</v>
          </cell>
          <cell r="Q85">
            <v>11.698754267040043</v>
          </cell>
          <cell r="R85">
            <v>10.455004839041191</v>
          </cell>
          <cell r="S85">
            <v>4.9330437584696041</v>
          </cell>
          <cell r="T85">
            <v>4.9330437584696041</v>
          </cell>
          <cell r="U85">
            <v>11.698754267040043</v>
          </cell>
          <cell r="V85">
            <v>10.455004839041191</v>
          </cell>
          <cell r="W85">
            <v>30</v>
          </cell>
          <cell r="X85">
            <v>35.2992125984252</v>
          </cell>
          <cell r="Y85">
            <v>78.479330708661422</v>
          </cell>
          <cell r="Z85">
            <v>35.2992125984252</v>
          </cell>
          <cell r="AA85">
            <v>78.479330708661422</v>
          </cell>
          <cell r="AB85">
            <v>35.2992125984252</v>
          </cell>
          <cell r="AC85">
            <v>78.479330708661422</v>
          </cell>
          <cell r="AD85">
            <v>78.479330708661422</v>
          </cell>
          <cell r="AE85">
            <v>77.507874015748044</v>
          </cell>
          <cell r="AF85">
            <v>35.507874015748037</v>
          </cell>
          <cell r="AG85">
            <v>39.925196850393704</v>
          </cell>
          <cell r="AH85" t="str">
            <v>N</v>
          </cell>
          <cell r="AI85">
            <v>51.155999999999999</v>
          </cell>
          <cell r="AJ85">
            <v>23.2</v>
          </cell>
          <cell r="AK85" t="str">
            <v>TBD</v>
          </cell>
          <cell r="AL85" t="str">
            <v>Y</v>
          </cell>
          <cell r="AM85">
            <v>200018407</v>
          </cell>
          <cell r="AN85">
            <v>200028407</v>
          </cell>
          <cell r="AO85">
            <v>200018307</v>
          </cell>
          <cell r="AP85">
            <v>200028307</v>
          </cell>
          <cell r="AQ85">
            <v>200018207</v>
          </cell>
          <cell r="AR85">
            <v>200028207</v>
          </cell>
          <cell r="AS85">
            <v>17.222222222222221</v>
          </cell>
          <cell r="AT85">
            <v>20.069602586497279</v>
          </cell>
          <cell r="AU85">
            <v>14.97260437224279</v>
          </cell>
          <cell r="AV85">
            <v>10.224017732239455</v>
          </cell>
          <cell r="AW85">
            <v>40746</v>
          </cell>
        </row>
        <row r="86">
          <cell r="C86" t="str">
            <v>Grape Solar - GS-P-285-Fab1_S</v>
          </cell>
          <cell r="D86" t="str">
            <v>Standard Claw</v>
          </cell>
          <cell r="E86">
            <v>5000005</v>
          </cell>
          <cell r="F86">
            <v>39.370078740157481</v>
          </cell>
          <cell r="G86">
            <v>77.480314960629926</v>
          </cell>
          <cell r="H86">
            <v>1.5748031496062993</v>
          </cell>
          <cell r="I86">
            <v>200010707</v>
          </cell>
          <cell r="J86">
            <v>200010807</v>
          </cell>
          <cell r="K86">
            <v>200013807</v>
          </cell>
          <cell r="L86">
            <v>200016307</v>
          </cell>
          <cell r="M86">
            <v>500012581</v>
          </cell>
          <cell r="N86">
            <v>500012681</v>
          </cell>
          <cell r="O86">
            <v>500012581</v>
          </cell>
          <cell r="P86">
            <v>500012681</v>
          </cell>
          <cell r="Q86">
            <v>11.593851817515533</v>
          </cell>
          <cell r="R86">
            <v>10.361517999726759</v>
          </cell>
          <cell r="S86">
            <v>4.8893107769288457</v>
          </cell>
          <cell r="T86">
            <v>4.8893107769288457</v>
          </cell>
          <cell r="U86">
            <v>11.593851817515533</v>
          </cell>
          <cell r="V86">
            <v>10.361517999726759</v>
          </cell>
          <cell r="W86">
            <v>30</v>
          </cell>
          <cell r="X86">
            <v>35.614173228346459</v>
          </cell>
          <cell r="Y86">
            <v>78.951771653543318</v>
          </cell>
          <cell r="Z86">
            <v>35.614173228346459</v>
          </cell>
          <cell r="AA86">
            <v>78.951771653543318</v>
          </cell>
          <cell r="AB86">
            <v>35.614173228346459</v>
          </cell>
          <cell r="AC86">
            <v>78.951771653543318</v>
          </cell>
          <cell r="AD86">
            <v>78.951771653543318</v>
          </cell>
          <cell r="AE86">
            <v>77.980314960629926</v>
          </cell>
          <cell r="AF86">
            <v>35.980314960629926</v>
          </cell>
          <cell r="AG86">
            <v>40.240157480314963</v>
          </cell>
          <cell r="AH86" t="str">
            <v>N</v>
          </cell>
          <cell r="AI86">
            <v>51.155999999999999</v>
          </cell>
          <cell r="AJ86">
            <v>23.2</v>
          </cell>
          <cell r="AK86" t="str">
            <v>TBD</v>
          </cell>
          <cell r="AL86" t="str">
            <v>Y</v>
          </cell>
          <cell r="AM86">
            <v>200018407</v>
          </cell>
          <cell r="AN86">
            <v>200028407</v>
          </cell>
          <cell r="AO86">
            <v>200018307</v>
          </cell>
          <cell r="AP86">
            <v>200028307</v>
          </cell>
          <cell r="AQ86">
            <v>200018207</v>
          </cell>
          <cell r="AR86">
            <v>200028207</v>
          </cell>
          <cell r="AS86">
            <v>17.222222222222221</v>
          </cell>
          <cell r="AT86">
            <v>19.905846229389603</v>
          </cell>
          <cell r="AU86">
            <v>14.852704372847956</v>
          </cell>
          <cell r="AV86">
            <v>10.143144054640397</v>
          </cell>
          <cell r="AW86">
            <v>40746</v>
          </cell>
        </row>
        <row r="87">
          <cell r="C87" t="str">
            <v>Hanwha SolarOne - SF220-30-P 200-255 L_S</v>
          </cell>
          <cell r="D87" t="str">
            <v>Standard Claw</v>
          </cell>
          <cell r="E87">
            <v>5000005</v>
          </cell>
          <cell r="F87">
            <v>39.370078740157481</v>
          </cell>
          <cell r="G87">
            <v>65.039370078740163</v>
          </cell>
          <cell r="H87">
            <v>1.9685039370078741</v>
          </cell>
          <cell r="I87">
            <v>200010704</v>
          </cell>
          <cell r="J87">
            <v>200010804</v>
          </cell>
          <cell r="K87">
            <v>200013804</v>
          </cell>
          <cell r="L87">
            <v>200016304</v>
          </cell>
          <cell r="M87">
            <v>500012568</v>
          </cell>
          <cell r="N87">
            <v>500012668</v>
          </cell>
          <cell r="O87">
            <v>500012569</v>
          </cell>
          <cell r="P87">
            <v>500012669</v>
          </cell>
          <cell r="Q87">
            <v>11.725279318414811</v>
          </cell>
          <cell r="R87">
            <v>10.478642249707667</v>
          </cell>
          <cell r="S87">
            <v>4.9440996728708777</v>
          </cell>
          <cell r="T87">
            <v>4.9440996728708777</v>
          </cell>
          <cell r="U87">
            <v>11.725279318414811</v>
          </cell>
          <cell r="V87">
            <v>10.478642249707667</v>
          </cell>
          <cell r="W87">
            <v>50</v>
          </cell>
          <cell r="X87">
            <v>35.220472440944881</v>
          </cell>
          <cell r="Y87">
            <v>66.11712598425197</v>
          </cell>
          <cell r="Z87">
            <v>35.220472440944881</v>
          </cell>
          <cell r="AA87">
            <v>66.11712598425197</v>
          </cell>
          <cell r="AB87">
            <v>35.220472440944881</v>
          </cell>
          <cell r="AC87">
            <v>66.11712598425197</v>
          </cell>
          <cell r="AD87">
            <v>66.11712598425197</v>
          </cell>
          <cell r="AE87">
            <v>65.539370078740163</v>
          </cell>
          <cell r="AF87">
            <v>23.539370078740163</v>
          </cell>
          <cell r="AG87">
            <v>39.846456692913392</v>
          </cell>
          <cell r="AH87" t="str">
            <v>Y</v>
          </cell>
          <cell r="AI87">
            <v>48.510000000000005</v>
          </cell>
          <cell r="AJ87">
            <v>22</v>
          </cell>
          <cell r="AK87" t="str">
            <v>TBD</v>
          </cell>
          <cell r="AL87" t="str">
            <v>Y</v>
          </cell>
          <cell r="AM87">
            <v>200018403</v>
          </cell>
          <cell r="AN87">
            <v>200028403</v>
          </cell>
          <cell r="AO87">
            <v>200018303</v>
          </cell>
          <cell r="AP87">
            <v>200028303</v>
          </cell>
          <cell r="AQ87">
            <v>200018203</v>
          </cell>
          <cell r="AR87">
            <v>200028203</v>
          </cell>
          <cell r="AS87">
            <v>14.555555555555557</v>
          </cell>
          <cell r="AT87">
            <v>20.110973161651764</v>
          </cell>
          <cell r="AU87">
            <v>15.002886128524771</v>
          </cell>
          <cell r="AV87">
            <v>10.244439167746933</v>
          </cell>
          <cell r="AW87">
            <v>41277</v>
          </cell>
        </row>
        <row r="88">
          <cell r="C88" t="str">
            <v>Hanwha SolarOne - SF260-36-P 270-295 L_S</v>
          </cell>
          <cell r="D88" t="str">
            <v>Standard Claw</v>
          </cell>
          <cell r="E88">
            <v>5000005</v>
          </cell>
          <cell r="F88">
            <v>39.370078740157481</v>
          </cell>
          <cell r="G88">
            <v>77.401574803149614</v>
          </cell>
          <cell r="H88">
            <v>1.9685039370078741</v>
          </cell>
          <cell r="I88">
            <v>200010707</v>
          </cell>
          <cell r="J88">
            <v>200010807</v>
          </cell>
          <cell r="K88">
            <v>200013807</v>
          </cell>
          <cell r="L88">
            <v>200016307</v>
          </cell>
          <cell r="M88">
            <v>500012581</v>
          </cell>
          <cell r="N88">
            <v>500012681</v>
          </cell>
          <cell r="O88">
            <v>500012581</v>
          </cell>
          <cell r="P88">
            <v>500012681</v>
          </cell>
          <cell r="Q88">
            <v>11.725279318414811</v>
          </cell>
          <cell r="R88">
            <v>10.478642249707667</v>
          </cell>
          <cell r="S88">
            <v>4.9440996728708777</v>
          </cell>
          <cell r="T88">
            <v>4.9440996728708777</v>
          </cell>
          <cell r="U88">
            <v>11.725279318414811</v>
          </cell>
          <cell r="V88">
            <v>10.478642249707667</v>
          </cell>
          <cell r="W88">
            <v>30</v>
          </cell>
          <cell r="X88">
            <v>35.220472440944881</v>
          </cell>
          <cell r="Y88">
            <v>78.479330708661422</v>
          </cell>
          <cell r="Z88">
            <v>35.220472440944881</v>
          </cell>
          <cell r="AA88">
            <v>78.479330708661422</v>
          </cell>
          <cell r="AB88">
            <v>35.220472440944881</v>
          </cell>
          <cell r="AC88">
            <v>78.479330708661422</v>
          </cell>
          <cell r="AD88">
            <v>78.479330708661422</v>
          </cell>
          <cell r="AE88">
            <v>77.901574803149614</v>
          </cell>
          <cell r="AF88">
            <v>35.901574803149614</v>
          </cell>
          <cell r="AG88">
            <v>39.846456692913392</v>
          </cell>
          <cell r="AH88" t="str">
            <v>Y</v>
          </cell>
          <cell r="AI88">
            <v>57.33</v>
          </cell>
          <cell r="AJ88">
            <v>26</v>
          </cell>
          <cell r="AK88" t="str">
            <v>TBD</v>
          </cell>
          <cell r="AL88" t="str">
            <v>Y</v>
          </cell>
          <cell r="AM88">
            <v>200018407</v>
          </cell>
          <cell r="AN88">
            <v>200028407</v>
          </cell>
          <cell r="AO88">
            <v>200018307</v>
          </cell>
          <cell r="AP88">
            <v>200028307</v>
          </cell>
          <cell r="AQ88">
            <v>200018207</v>
          </cell>
          <cell r="AR88">
            <v>200028207</v>
          </cell>
          <cell r="AS88">
            <v>17.222222222222221</v>
          </cell>
          <cell r="AT88">
            <v>20.110973161651764</v>
          </cell>
          <cell r="AU88">
            <v>15.002886128524771</v>
          </cell>
          <cell r="AV88">
            <v>10.244439167746933</v>
          </cell>
          <cell r="AW88">
            <v>41317</v>
          </cell>
        </row>
        <row r="89">
          <cell r="C89" t="str">
            <v>Helios Solar Works - 6T Series 240-255_S</v>
          </cell>
          <cell r="D89" t="str">
            <v>Standard Claw</v>
          </cell>
          <cell r="E89">
            <v>5000005</v>
          </cell>
          <cell r="F89">
            <v>38.976377952755911</v>
          </cell>
          <cell r="G89">
            <v>66.141732283464577</v>
          </cell>
          <cell r="H89">
            <v>1.5748031496062993</v>
          </cell>
          <cell r="I89">
            <v>200010705</v>
          </cell>
          <cell r="J89">
            <v>200010805</v>
          </cell>
          <cell r="K89">
            <v>200013805</v>
          </cell>
          <cell r="L89">
            <v>200016305</v>
          </cell>
          <cell r="M89">
            <v>500012570</v>
          </cell>
          <cell r="N89">
            <v>500012670</v>
          </cell>
          <cell r="O89">
            <v>500012571</v>
          </cell>
          <cell r="P89">
            <v>500012671</v>
          </cell>
          <cell r="Q89">
            <v>11.593851817515533</v>
          </cell>
          <cell r="R89">
            <v>10.361517999726759</v>
          </cell>
          <cell r="S89">
            <v>4.8893107769288457</v>
          </cell>
          <cell r="T89">
            <v>4.8893107769288457</v>
          </cell>
          <cell r="U89">
            <v>11.593851817515533</v>
          </cell>
          <cell r="V89">
            <v>10.361517999726759</v>
          </cell>
          <cell r="W89">
            <v>50</v>
          </cell>
          <cell r="X89">
            <v>35.614173228346459</v>
          </cell>
          <cell r="Y89">
            <v>68.006889763779526</v>
          </cell>
          <cell r="Z89">
            <v>35.614173228346459</v>
          </cell>
          <cell r="AA89">
            <v>68.006889763779526</v>
          </cell>
          <cell r="AB89">
            <v>35.614173228346459</v>
          </cell>
          <cell r="AC89">
            <v>68.006889763779526</v>
          </cell>
          <cell r="AD89">
            <v>68.006889763779526</v>
          </cell>
          <cell r="AE89">
            <v>66.641732283464577</v>
          </cell>
          <cell r="AF89">
            <v>24.64173228346457</v>
          </cell>
          <cell r="AG89">
            <v>40.240157480314963</v>
          </cell>
          <cell r="AH89" t="str">
            <v>Y</v>
          </cell>
          <cell r="AI89">
            <v>52.92</v>
          </cell>
          <cell r="AJ89">
            <v>24</v>
          </cell>
          <cell r="AK89" t="str">
            <v>TBD</v>
          </cell>
          <cell r="AL89" t="str">
            <v>Y</v>
          </cell>
          <cell r="AM89">
            <v>200018403</v>
          </cell>
          <cell r="AN89">
            <v>200028403</v>
          </cell>
          <cell r="AO89">
            <v>200018303</v>
          </cell>
          <cell r="AP89">
            <v>200028303</v>
          </cell>
          <cell r="AQ89">
            <v>200018203</v>
          </cell>
          <cell r="AR89">
            <v>200028203</v>
          </cell>
          <cell r="AS89">
            <v>14.555555555555557</v>
          </cell>
          <cell r="AT89">
            <v>19.905846229389603</v>
          </cell>
          <cell r="AU89">
            <v>14.852704372847956</v>
          </cell>
          <cell r="AV89">
            <v>10.143144054640397</v>
          </cell>
          <cell r="AW89">
            <v>40862</v>
          </cell>
        </row>
        <row r="90">
          <cell r="C90" t="str">
            <v>Helios Solar Works - 7T2 Series 280-305_S</v>
          </cell>
          <cell r="D90" t="str">
            <v>Standard Claw</v>
          </cell>
          <cell r="E90">
            <v>5000005</v>
          </cell>
          <cell r="F90">
            <v>38.740157480314963</v>
          </cell>
          <cell r="G90">
            <v>78.110236220472444</v>
          </cell>
          <cell r="H90">
            <v>1.5748031496062993</v>
          </cell>
          <cell r="I90">
            <v>200010708</v>
          </cell>
          <cell r="J90">
            <v>200010808</v>
          </cell>
          <cell r="K90">
            <v>200013808</v>
          </cell>
          <cell r="L90">
            <v>200016308</v>
          </cell>
          <cell r="M90">
            <v>500012582</v>
          </cell>
          <cell r="N90">
            <v>500012682</v>
          </cell>
          <cell r="O90">
            <v>500012582</v>
          </cell>
          <cell r="P90">
            <v>500012682</v>
          </cell>
          <cell r="Q90">
            <v>11.672349814003409</v>
          </cell>
          <cell r="R90">
            <v>10.431474434518069</v>
          </cell>
          <cell r="S90">
            <v>4.9220372409246478</v>
          </cell>
          <cell r="T90">
            <v>4.9220372409246478</v>
          </cell>
          <cell r="U90">
            <v>11.672349814003409</v>
          </cell>
          <cell r="V90">
            <v>10.431474434518069</v>
          </cell>
          <cell r="W90">
            <v>30</v>
          </cell>
          <cell r="X90">
            <v>35.377952755905511</v>
          </cell>
          <cell r="Y90">
            <v>79.975393700787407</v>
          </cell>
          <cell r="Z90">
            <v>35.377952755905511</v>
          </cell>
          <cell r="AA90">
            <v>79.975393700787407</v>
          </cell>
          <cell r="AB90">
            <v>35.377952755905511</v>
          </cell>
          <cell r="AC90">
            <v>79.975393700787407</v>
          </cell>
          <cell r="AD90">
            <v>79.975393700787407</v>
          </cell>
          <cell r="AE90">
            <v>78.610236220472444</v>
          </cell>
          <cell r="AF90">
            <v>36.610236220472444</v>
          </cell>
          <cell r="AG90">
            <v>40.003937007874022</v>
          </cell>
          <cell r="AH90" t="str">
            <v>Y</v>
          </cell>
          <cell r="AI90">
            <v>57.33</v>
          </cell>
          <cell r="AJ90">
            <v>26</v>
          </cell>
          <cell r="AK90" t="str">
            <v>TBD</v>
          </cell>
          <cell r="AL90" t="str">
            <v>Y</v>
          </cell>
          <cell r="AM90">
            <v>200018407</v>
          </cell>
          <cell r="AN90">
            <v>200028407</v>
          </cell>
          <cell r="AO90">
            <v>200018307</v>
          </cell>
          <cell r="AP90">
            <v>200028307</v>
          </cell>
          <cell r="AQ90">
            <v>200018207</v>
          </cell>
          <cell r="AR90">
            <v>200028207</v>
          </cell>
          <cell r="AS90">
            <v>17.222222222222221</v>
          </cell>
          <cell r="AT90">
            <v>20.028405717951866</v>
          </cell>
          <cell r="AU90">
            <v>14.942446078078534</v>
          </cell>
          <cell r="AV90">
            <v>10.203677993133164</v>
          </cell>
          <cell r="AW90">
            <v>40862</v>
          </cell>
        </row>
        <row r="91">
          <cell r="C91" t="str">
            <v>Helios Solar Works - 9T6 Series 390-420_S</v>
          </cell>
          <cell r="D91" t="str">
            <v>Standard Claw</v>
          </cell>
          <cell r="E91">
            <v>5000005</v>
          </cell>
          <cell r="F91">
            <v>51.574803149606304</v>
          </cell>
          <cell r="G91">
            <v>77.795275590551185</v>
          </cell>
          <cell r="H91">
            <v>1.5748031496062993</v>
          </cell>
          <cell r="I91">
            <v>200010708</v>
          </cell>
          <cell r="J91">
            <v>200010808</v>
          </cell>
          <cell r="K91">
            <v>200013808</v>
          </cell>
          <cell r="L91">
            <v>200016308</v>
          </cell>
          <cell r="M91">
            <v>500012582</v>
          </cell>
          <cell r="N91">
            <v>500012682</v>
          </cell>
          <cell r="O91">
            <v>500012582</v>
          </cell>
          <cell r="P91">
            <v>500012682</v>
          </cell>
          <cell r="Q91">
            <v>8.5374971094053489</v>
          </cell>
          <cell r="R91">
            <v>7.6348754019361866</v>
          </cell>
          <cell r="S91">
            <v>3.6096915127079598</v>
          </cell>
          <cell r="T91">
            <v>3.6096915127079598</v>
          </cell>
          <cell r="U91">
            <v>8.5374971094053489</v>
          </cell>
          <cell r="V91">
            <v>7.6348754019361866</v>
          </cell>
          <cell r="W91">
            <v>30</v>
          </cell>
          <cell r="X91">
            <v>48.212598425196852</v>
          </cell>
          <cell r="Y91">
            <v>79.660433070866148</v>
          </cell>
          <cell r="Z91">
            <v>48.212598425196852</v>
          </cell>
          <cell r="AA91">
            <v>79.660433070866148</v>
          </cell>
          <cell r="AB91">
            <v>48.212598425196852</v>
          </cell>
          <cell r="AC91">
            <v>79.660433070866148</v>
          </cell>
          <cell r="AD91">
            <v>79.660433070866148</v>
          </cell>
          <cell r="AE91">
            <v>78.295275590551185</v>
          </cell>
          <cell r="AF91">
            <v>36.295275590551185</v>
          </cell>
          <cell r="AG91">
            <v>52.838582677165356</v>
          </cell>
          <cell r="AH91" t="str">
            <v>N</v>
          </cell>
          <cell r="AI91">
            <v>76.425299999999993</v>
          </cell>
          <cell r="AJ91">
            <v>34.659999999999997</v>
          </cell>
          <cell r="AK91" t="str">
            <v>TBD</v>
          </cell>
          <cell r="AL91" t="str">
            <v>Y</v>
          </cell>
          <cell r="AM91">
            <v>200018407</v>
          </cell>
          <cell r="AN91">
            <v>200028407</v>
          </cell>
          <cell r="AO91">
            <v>200018307</v>
          </cell>
          <cell r="AP91">
            <v>200028307</v>
          </cell>
          <cell r="AQ91">
            <v>200018207</v>
          </cell>
          <cell r="AR91">
            <v>200028207</v>
          </cell>
          <cell r="AS91">
            <v>17.222222222222221</v>
          </cell>
          <cell r="AT91">
            <v>15.02824203938145</v>
          </cell>
          <cell r="AU91">
            <v>11.257368379765095</v>
          </cell>
          <cell r="AV91">
            <v>7.7076312092971628</v>
          </cell>
          <cell r="AW91">
            <v>40955</v>
          </cell>
        </row>
        <row r="92">
          <cell r="C92" t="str">
            <v>Hyundai - HiS-MSF 194-212 - HiS-SSF 197-215_S</v>
          </cell>
          <cell r="D92" t="str">
            <v>Standard Claw</v>
          </cell>
          <cell r="E92">
            <v>5000005</v>
          </cell>
          <cell r="F92">
            <v>38.700787401574807</v>
          </cell>
          <cell r="G92">
            <v>58.110236220472444</v>
          </cell>
          <cell r="H92">
            <v>1.3779527559055118</v>
          </cell>
          <cell r="I92">
            <v>200010703</v>
          </cell>
          <cell r="J92">
            <v>200010803</v>
          </cell>
          <cell r="K92">
            <v>200013803</v>
          </cell>
          <cell r="L92">
            <v>200016303</v>
          </cell>
          <cell r="M92">
            <v>500012562</v>
          </cell>
          <cell r="N92">
            <v>500012662</v>
          </cell>
          <cell r="O92">
            <v>500012563</v>
          </cell>
          <cell r="P92">
            <v>500012663</v>
          </cell>
          <cell r="Q92">
            <v>11.685537017566332</v>
          </cell>
          <cell r="R92">
            <v>10.443226306738659</v>
          </cell>
          <cell r="S92">
            <v>4.9275343458296801</v>
          </cell>
          <cell r="T92">
            <v>4.9275343458296801</v>
          </cell>
          <cell r="U92">
            <v>11.685537017566332</v>
          </cell>
          <cell r="V92">
            <v>10.443226306738659</v>
          </cell>
          <cell r="W92">
            <v>40</v>
          </cell>
          <cell r="X92">
            <v>35.338582677165356</v>
          </cell>
          <cell r="Y92">
            <v>59.975393700787407</v>
          </cell>
          <cell r="Z92">
            <v>35.338582677165356</v>
          </cell>
          <cell r="AA92">
            <v>59.975393700787407</v>
          </cell>
          <cell r="AB92">
            <v>35.338582677165356</v>
          </cell>
          <cell r="AC92">
            <v>59.975393700787407</v>
          </cell>
          <cell r="AD92">
            <v>59.975393700787407</v>
          </cell>
          <cell r="AE92">
            <v>58.610236220472444</v>
          </cell>
          <cell r="AF92">
            <v>16.610236220472444</v>
          </cell>
          <cell r="AG92">
            <v>39.964566929133859</v>
          </cell>
          <cell r="AH92" t="str">
            <v>Y</v>
          </cell>
          <cell r="AI92">
            <v>37.484999999999999</v>
          </cell>
          <cell r="AJ92">
            <v>17</v>
          </cell>
          <cell r="AK92" t="str">
            <v>TBD</v>
          </cell>
          <cell r="AL92" t="str">
            <v>Y</v>
          </cell>
          <cell r="AM92">
            <v>200018401</v>
          </cell>
          <cell r="AN92">
            <v>200028401</v>
          </cell>
          <cell r="AO92">
            <v>200018301</v>
          </cell>
          <cell r="AP92">
            <v>200028301</v>
          </cell>
          <cell r="AQ92">
            <v>200018201</v>
          </cell>
          <cell r="AR92">
            <v>200028201</v>
          </cell>
          <cell r="AS92">
            <v>13.22222222222222</v>
          </cell>
          <cell r="AT92">
            <v>20.048982508950235</v>
          </cell>
          <cell r="AU92">
            <v>14.957509840214923</v>
          </cell>
          <cell r="AV92">
            <v>10.213837681475505</v>
          </cell>
          <cell r="AW92">
            <v>40746</v>
          </cell>
        </row>
        <row r="93">
          <cell r="C93" t="str">
            <v>Hyundai - HiS-MSG-SSG-MMG-SMG 218-250_S</v>
          </cell>
          <cell r="D93" t="str">
            <v>Standard Claw</v>
          </cell>
          <cell r="E93">
            <v>5000005</v>
          </cell>
          <cell r="F93">
            <v>38.700787401574807</v>
          </cell>
          <cell r="G93">
            <v>64.763779527559052</v>
          </cell>
          <cell r="H93">
            <v>1.3779527559055118</v>
          </cell>
          <cell r="I93">
            <v>200010704</v>
          </cell>
          <cell r="J93">
            <v>200010804</v>
          </cell>
          <cell r="K93">
            <v>200013804</v>
          </cell>
          <cell r="L93">
            <v>200016304</v>
          </cell>
          <cell r="M93">
            <v>500012569</v>
          </cell>
          <cell r="N93">
            <v>500012669</v>
          </cell>
          <cell r="O93">
            <v>500012569</v>
          </cell>
          <cell r="P93">
            <v>500012669</v>
          </cell>
          <cell r="Q93">
            <v>11.685537017566332</v>
          </cell>
          <cell r="R93">
            <v>10.443226306738659</v>
          </cell>
          <cell r="S93">
            <v>4.9275343458296801</v>
          </cell>
          <cell r="T93">
            <v>4.9275343458296801</v>
          </cell>
          <cell r="U93">
            <v>11.685537017566332</v>
          </cell>
          <cell r="V93">
            <v>10.443226306738659</v>
          </cell>
          <cell r="W93">
            <v>40</v>
          </cell>
          <cell r="X93">
            <v>35.338582677165356</v>
          </cell>
          <cell r="Y93">
            <v>66.628937007874015</v>
          </cell>
          <cell r="Z93">
            <v>35.338582677165356</v>
          </cell>
          <cell r="AA93">
            <v>66.628937007874015</v>
          </cell>
          <cell r="AB93">
            <v>35.338582677165356</v>
          </cell>
          <cell r="AC93">
            <v>66.628937007874015</v>
          </cell>
          <cell r="AD93">
            <v>66.628937007874015</v>
          </cell>
          <cell r="AE93">
            <v>65.263779527559066</v>
          </cell>
          <cell r="AF93">
            <v>23.263779527559059</v>
          </cell>
          <cell r="AG93">
            <v>39.964566929133859</v>
          </cell>
          <cell r="AH93" t="str">
            <v>Y</v>
          </cell>
          <cell r="AI93">
            <v>41.895000000000003</v>
          </cell>
          <cell r="AJ93">
            <v>19</v>
          </cell>
          <cell r="AK93" t="str">
            <v>TBD</v>
          </cell>
          <cell r="AL93" t="str">
            <v>Y</v>
          </cell>
          <cell r="AM93">
            <v>200018403</v>
          </cell>
          <cell r="AN93">
            <v>200028403</v>
          </cell>
          <cell r="AO93">
            <v>200018303</v>
          </cell>
          <cell r="AP93">
            <v>200028303</v>
          </cell>
          <cell r="AQ93">
            <v>200018203</v>
          </cell>
          <cell r="AR93">
            <v>200028203</v>
          </cell>
          <cell r="AS93">
            <v>14.555555555555557</v>
          </cell>
          <cell r="AT93">
            <v>20.048982508950235</v>
          </cell>
          <cell r="AU93">
            <v>14.957509840214923</v>
          </cell>
          <cell r="AV93">
            <v>10.213837681475505</v>
          </cell>
          <cell r="AW93">
            <v>40746</v>
          </cell>
        </row>
        <row r="94">
          <cell r="C94" t="str">
            <v>Hyundai - HiS-MMI-SMI 275-295_S</v>
          </cell>
          <cell r="D94" t="str">
            <v>Standard Claw</v>
          </cell>
          <cell r="E94">
            <v>5000005</v>
          </cell>
          <cell r="F94">
            <v>38.858267716535437</v>
          </cell>
          <cell r="G94">
            <v>77.362204724409452</v>
          </cell>
          <cell r="H94">
            <v>1.9685039370078741</v>
          </cell>
          <cell r="I94">
            <v>200010708</v>
          </cell>
          <cell r="J94">
            <v>200010808</v>
          </cell>
          <cell r="K94">
            <v>200013808</v>
          </cell>
          <cell r="L94">
            <v>200016308</v>
          </cell>
          <cell r="M94">
            <v>500012581</v>
          </cell>
          <cell r="N94">
            <v>500012681</v>
          </cell>
          <cell r="O94">
            <v>500012582</v>
          </cell>
          <cell r="P94">
            <v>500012682</v>
          </cell>
          <cell r="Q94">
            <v>11.63296745038237</v>
          </cell>
          <cell r="R94">
            <v>10.396377871112776</v>
          </cell>
          <cell r="S94">
            <v>4.9056193610673633</v>
          </cell>
          <cell r="T94">
            <v>4.9056193610673633</v>
          </cell>
          <cell r="U94">
            <v>11.63296745038237</v>
          </cell>
          <cell r="V94">
            <v>10.396377871112776</v>
          </cell>
          <cell r="W94">
            <v>40</v>
          </cell>
          <cell r="X94">
            <v>35.496062992125985</v>
          </cell>
          <cell r="Y94">
            <v>79.227362204724415</v>
          </cell>
          <cell r="Z94">
            <v>35.496062992125985</v>
          </cell>
          <cell r="AA94">
            <v>79.227362204724415</v>
          </cell>
          <cell r="AB94">
            <v>35.496062992125985</v>
          </cell>
          <cell r="AC94">
            <v>79.227362204724415</v>
          </cell>
          <cell r="AD94">
            <v>79.227362204724415</v>
          </cell>
          <cell r="AE94">
            <v>77.862204724409452</v>
          </cell>
          <cell r="AF94">
            <v>35.862204724409452</v>
          </cell>
          <cell r="AG94">
            <v>40.122047244094489</v>
          </cell>
          <cell r="AH94" t="str">
            <v>Y</v>
          </cell>
          <cell r="AI94">
            <v>55.125</v>
          </cell>
          <cell r="AJ94">
            <v>25</v>
          </cell>
          <cell r="AK94" t="str">
            <v>TBD</v>
          </cell>
          <cell r="AL94" t="str">
            <v>Y</v>
          </cell>
          <cell r="AM94">
            <v>200018407</v>
          </cell>
          <cell r="AN94">
            <v>200028407</v>
          </cell>
          <cell r="AO94">
            <v>200018307</v>
          </cell>
          <cell r="AP94">
            <v>200028307</v>
          </cell>
          <cell r="AQ94">
            <v>200018207</v>
          </cell>
          <cell r="AR94">
            <v>200028207</v>
          </cell>
          <cell r="AS94">
            <v>17.222222222222221</v>
          </cell>
          <cell r="AT94">
            <v>19.966933673962352</v>
          </cell>
          <cell r="AU94">
            <v>14.897438461609681</v>
          </cell>
          <cell r="AV94">
            <v>10.173320490201343</v>
          </cell>
          <cell r="AW94">
            <v>40995</v>
          </cell>
        </row>
        <row r="95">
          <cell r="C95" t="str">
            <v>Innotech Solar (ITS) - EcoPlus- EcoFocus 210-250_S</v>
          </cell>
          <cell r="D95" t="str">
            <v>Standard Claw</v>
          </cell>
          <cell r="E95">
            <v>5000005</v>
          </cell>
          <cell r="F95">
            <v>39.015748031496067</v>
          </cell>
          <cell r="G95">
            <v>65.551181102362207</v>
          </cell>
          <cell r="H95">
            <v>1.6929133858267718</v>
          </cell>
          <cell r="I95">
            <v>200010705</v>
          </cell>
          <cell r="J95">
            <v>200010805</v>
          </cell>
          <cell r="K95">
            <v>200013805</v>
          </cell>
          <cell r="L95">
            <v>200016305</v>
          </cell>
          <cell r="M95">
            <v>500012570</v>
          </cell>
          <cell r="N95">
            <v>500012670</v>
          </cell>
          <cell r="O95">
            <v>500012570</v>
          </cell>
          <cell r="P95">
            <v>500012670</v>
          </cell>
          <cell r="Q95">
            <v>11.478078290031977</v>
          </cell>
          <cell r="R95">
            <v>10.258334702145449</v>
          </cell>
          <cell r="S95">
            <v>4.8410299798522196</v>
          </cell>
          <cell r="T95">
            <v>4.8410299798522196</v>
          </cell>
          <cell r="U95">
            <v>11.478078290031977</v>
          </cell>
          <cell r="V95">
            <v>10.258334702145449</v>
          </cell>
          <cell r="W95">
            <v>50</v>
          </cell>
          <cell r="X95">
            <v>35.968503937007874</v>
          </cell>
          <cell r="Y95">
            <v>67.647834645669292</v>
          </cell>
          <cell r="Z95">
            <v>35.968503937007874</v>
          </cell>
          <cell r="AA95">
            <v>67.647834645669292</v>
          </cell>
          <cell r="AB95">
            <v>35.968503937007874</v>
          </cell>
          <cell r="AC95">
            <v>67.647834645669292</v>
          </cell>
          <cell r="AD95">
            <v>67.647834645669292</v>
          </cell>
          <cell r="AE95">
            <v>66.051181102362207</v>
          </cell>
          <cell r="AF95">
            <v>24.051181102362211</v>
          </cell>
          <cell r="AG95">
            <v>40.507874015748037</v>
          </cell>
          <cell r="AH95" t="str">
            <v>N</v>
          </cell>
          <cell r="AI95">
            <v>48.510000000000005</v>
          </cell>
          <cell r="AJ95">
            <v>22</v>
          </cell>
          <cell r="AK95" t="str">
            <v>TBD</v>
          </cell>
          <cell r="AL95" t="str">
            <v>Y</v>
          </cell>
          <cell r="AM95">
            <v>200018403</v>
          </cell>
          <cell r="AN95">
            <v>200028403</v>
          </cell>
          <cell r="AO95">
            <v>200018303</v>
          </cell>
          <cell r="AP95">
            <v>200028303</v>
          </cell>
          <cell r="AQ95">
            <v>200018203</v>
          </cell>
          <cell r="AR95">
            <v>200028203</v>
          </cell>
          <cell r="AS95">
            <v>14.555555555555557</v>
          </cell>
          <cell r="AT95">
            <v>19.768785928187786</v>
          </cell>
          <cell r="AU95">
            <v>14.752306570454085</v>
          </cell>
          <cell r="AV95">
            <v>10.075405967947155</v>
          </cell>
          <cell r="AW95">
            <v>41026</v>
          </cell>
        </row>
        <row r="96">
          <cell r="C96" t="str">
            <v>Innotech Solar (ITS) - EcoClassic- EcoUp- EcoCut 200-230_S</v>
          </cell>
          <cell r="D96" t="str">
            <v>Standard Claw</v>
          </cell>
          <cell r="E96">
            <v>5000005</v>
          </cell>
          <cell r="F96">
            <v>38.858267716535437</v>
          </cell>
          <cell r="G96">
            <v>65.236220472440948</v>
          </cell>
          <cell r="H96">
            <v>1.5748031496062993</v>
          </cell>
          <cell r="I96">
            <v>200010705</v>
          </cell>
          <cell r="J96">
            <v>200010805</v>
          </cell>
          <cell r="K96">
            <v>200013805</v>
          </cell>
          <cell r="L96">
            <v>200016305</v>
          </cell>
          <cell r="M96">
            <v>500012570</v>
          </cell>
          <cell r="N96">
            <v>500012670</v>
          </cell>
          <cell r="O96">
            <v>500012570</v>
          </cell>
          <cell r="P96">
            <v>500012670</v>
          </cell>
          <cell r="Q96">
            <v>11.529244460694249</v>
          </cell>
          <cell r="R96">
            <v>10.303937693229198</v>
          </cell>
          <cell r="S96">
            <v>4.8623697312523513</v>
          </cell>
          <cell r="T96">
            <v>4.8623697312523513</v>
          </cell>
          <cell r="U96">
            <v>11.529244460694249</v>
          </cell>
          <cell r="V96">
            <v>10.303937693229198</v>
          </cell>
          <cell r="W96">
            <v>50</v>
          </cell>
          <cell r="X96">
            <v>35.811023622047244</v>
          </cell>
          <cell r="Y96">
            <v>67.332874015748033</v>
          </cell>
          <cell r="Z96">
            <v>35.811023622047244</v>
          </cell>
          <cell r="AA96">
            <v>67.332874015748033</v>
          </cell>
          <cell r="AB96">
            <v>35.811023622047244</v>
          </cell>
          <cell r="AC96">
            <v>67.332874015748033</v>
          </cell>
          <cell r="AD96">
            <v>67.332874015748033</v>
          </cell>
          <cell r="AE96">
            <v>65.736220472440948</v>
          </cell>
          <cell r="AF96">
            <v>23.736220472440948</v>
          </cell>
          <cell r="AG96">
            <v>40.350393700787407</v>
          </cell>
          <cell r="AH96" t="str">
            <v>N</v>
          </cell>
          <cell r="AI96">
            <v>40.792500000000004</v>
          </cell>
          <cell r="AJ96">
            <v>18.5</v>
          </cell>
          <cell r="AK96" t="str">
            <v>TBD</v>
          </cell>
          <cell r="AL96" t="str">
            <v>Y</v>
          </cell>
          <cell r="AM96">
            <v>200018403</v>
          </cell>
          <cell r="AN96">
            <v>200028403</v>
          </cell>
          <cell r="AO96">
            <v>200018303</v>
          </cell>
          <cell r="AP96">
            <v>200028303</v>
          </cell>
          <cell r="AQ96">
            <v>200018203</v>
          </cell>
          <cell r="AR96">
            <v>200028203</v>
          </cell>
          <cell r="AS96">
            <v>14.555555555555557</v>
          </cell>
          <cell r="AT96">
            <v>19.849175027736852</v>
          </cell>
          <cell r="AU96">
            <v>14.811197119599205</v>
          </cell>
          <cell r="AV96">
            <v>10.115141311657808</v>
          </cell>
          <cell r="AW96">
            <v>41026</v>
          </cell>
        </row>
        <row r="97">
          <cell r="C97" t="str">
            <v>JA Solar - JAP6 72 280-325_S</v>
          </cell>
          <cell r="D97" t="str">
            <v>Standard Claw</v>
          </cell>
          <cell r="E97">
            <v>5000005</v>
          </cell>
          <cell r="F97">
            <v>39.015748031496067</v>
          </cell>
          <cell r="G97">
            <v>77.00787401574803</v>
          </cell>
          <cell r="H97">
            <v>1.7716535433070868</v>
          </cell>
          <cell r="I97">
            <v>200010707</v>
          </cell>
          <cell r="J97">
            <v>200010807</v>
          </cell>
          <cell r="K97">
            <v>200013807</v>
          </cell>
          <cell r="L97">
            <v>200016307</v>
          </cell>
          <cell r="M97">
            <v>500012581</v>
          </cell>
          <cell r="N97">
            <v>500012681</v>
          </cell>
          <cell r="O97">
            <v>500012581</v>
          </cell>
          <cell r="P97">
            <v>500012681</v>
          </cell>
          <cell r="Q97">
            <v>11.712001665978303</v>
          </cell>
          <cell r="R97">
            <v>10.466810122774502</v>
          </cell>
          <cell r="S97">
            <v>4.9385655202770034</v>
          </cell>
          <cell r="T97">
            <v>4.9385655202770034</v>
          </cell>
          <cell r="U97">
            <v>11.712001665978303</v>
          </cell>
          <cell r="V97">
            <v>10.466810122774502</v>
          </cell>
          <cell r="W97">
            <v>30</v>
          </cell>
          <cell r="X97">
            <v>35.259842519685044</v>
          </cell>
          <cell r="Y97">
            <v>78.479330708661422</v>
          </cell>
          <cell r="Z97">
            <v>35.259842519685044</v>
          </cell>
          <cell r="AA97">
            <v>78.479330708661422</v>
          </cell>
          <cell r="AB97">
            <v>35.259842519685044</v>
          </cell>
          <cell r="AC97">
            <v>78.479330708661422</v>
          </cell>
          <cell r="AD97">
            <v>78.479330708661422</v>
          </cell>
          <cell r="AE97">
            <v>77.507874015748044</v>
          </cell>
          <cell r="AF97">
            <v>35.507874015748037</v>
          </cell>
          <cell r="AG97">
            <v>39.885826771653548</v>
          </cell>
          <cell r="AH97" t="str">
            <v>Y</v>
          </cell>
          <cell r="AI97">
            <v>49.612500000000004</v>
          </cell>
          <cell r="AJ97">
            <v>22.5</v>
          </cell>
          <cell r="AK97" t="str">
            <v>TBD</v>
          </cell>
          <cell r="AL97" t="str">
            <v>Y</v>
          </cell>
          <cell r="AM97">
            <v>200018407</v>
          </cell>
          <cell r="AN97">
            <v>200028407</v>
          </cell>
          <cell r="AO97">
            <v>200018307</v>
          </cell>
          <cell r="AP97">
            <v>200028307</v>
          </cell>
          <cell r="AQ97">
            <v>200018207</v>
          </cell>
          <cell r="AR97">
            <v>200028207</v>
          </cell>
          <cell r="AS97">
            <v>17.222222222222221</v>
          </cell>
          <cell r="AT97">
            <v>20.090266090541991</v>
          </cell>
          <cell r="AU97">
            <v>14.987729769699868</v>
          </cell>
          <cell r="AV97">
            <v>10.23421820704114</v>
          </cell>
          <cell r="AW97">
            <v>41192</v>
          </cell>
        </row>
        <row r="98">
          <cell r="C98" t="str">
            <v>JA Solar - JAP6 60 235-255_S</v>
          </cell>
          <cell r="D98" t="str">
            <v>Standard Claw</v>
          </cell>
          <cell r="E98">
            <v>5000005</v>
          </cell>
          <cell r="F98">
            <v>39.015748031496067</v>
          </cell>
          <cell r="G98">
            <v>64.960629921259851</v>
          </cell>
          <cell r="H98">
            <v>1.5748031496062993</v>
          </cell>
          <cell r="I98">
            <v>200010704</v>
          </cell>
          <cell r="J98">
            <v>200010804</v>
          </cell>
          <cell r="K98">
            <v>200013804</v>
          </cell>
          <cell r="L98">
            <v>200016304</v>
          </cell>
          <cell r="M98">
            <v>500012569</v>
          </cell>
          <cell r="N98">
            <v>500012669</v>
          </cell>
          <cell r="O98">
            <v>500012569</v>
          </cell>
          <cell r="P98">
            <v>500012669</v>
          </cell>
          <cell r="Q98">
            <v>11.580872075557229</v>
          </cell>
          <cell r="R98">
            <v>10.349950225110131</v>
          </cell>
          <cell r="S98">
            <v>4.8838986814969125</v>
          </cell>
          <cell r="T98">
            <v>4.8838986814969125</v>
          </cell>
          <cell r="U98">
            <v>11.580872075557229</v>
          </cell>
          <cell r="V98">
            <v>10.349950225110131</v>
          </cell>
          <cell r="W98">
            <v>40</v>
          </cell>
          <cell r="X98">
            <v>35.653543307086615</v>
          </cell>
          <cell r="Y98">
            <v>66.8257874015748</v>
          </cell>
          <cell r="Z98">
            <v>35.653543307086615</v>
          </cell>
          <cell r="AA98">
            <v>66.8257874015748</v>
          </cell>
          <cell r="AB98">
            <v>35.653543307086615</v>
          </cell>
          <cell r="AC98">
            <v>66.8257874015748</v>
          </cell>
          <cell r="AD98">
            <v>66.8257874015748</v>
          </cell>
          <cell r="AE98">
            <v>65.460629921259851</v>
          </cell>
          <cell r="AF98">
            <v>23.460629921259848</v>
          </cell>
          <cell r="AG98">
            <v>40.279527559055119</v>
          </cell>
          <cell r="AH98" t="str">
            <v>Y</v>
          </cell>
          <cell r="AI98">
            <v>40.792500000000004</v>
          </cell>
          <cell r="AJ98">
            <v>18.5</v>
          </cell>
          <cell r="AK98" t="str">
            <v>TBD</v>
          </cell>
          <cell r="AL98" t="str">
            <v>Y</v>
          </cell>
          <cell r="AM98">
            <v>200018403</v>
          </cell>
          <cell r="AN98">
            <v>200028403</v>
          </cell>
          <cell r="AO98">
            <v>200018303</v>
          </cell>
          <cell r="AP98">
            <v>200028303</v>
          </cell>
          <cell r="AQ98">
            <v>200018203</v>
          </cell>
          <cell r="AR98">
            <v>200028203</v>
          </cell>
          <cell r="AS98">
            <v>14.555555555555557</v>
          </cell>
          <cell r="AT98">
            <v>19.885568576882878</v>
          </cell>
          <cell r="AU98">
            <v>14.83785335812782</v>
          </cell>
          <cell r="AV98">
            <v>10.133125198752381</v>
          </cell>
          <cell r="AW98">
            <v>41192</v>
          </cell>
        </row>
        <row r="99">
          <cell r="C99" t="str">
            <v>JA Solar - JAM6 60 245-275_S</v>
          </cell>
          <cell r="D99" t="str">
            <v>Standard Claw</v>
          </cell>
          <cell r="E99">
            <v>5000005</v>
          </cell>
          <cell r="F99">
            <v>39.015748031496067</v>
          </cell>
          <cell r="G99">
            <v>64.960629921259851</v>
          </cell>
          <cell r="H99">
            <v>1.5748031496062993</v>
          </cell>
          <cell r="I99">
            <v>200010704</v>
          </cell>
          <cell r="J99">
            <v>200010804</v>
          </cell>
          <cell r="K99">
            <v>200013804</v>
          </cell>
          <cell r="L99">
            <v>200016304</v>
          </cell>
          <cell r="M99">
            <v>500012569</v>
          </cell>
          <cell r="N99">
            <v>500012669</v>
          </cell>
          <cell r="O99">
            <v>500012569</v>
          </cell>
          <cell r="P99">
            <v>500012669</v>
          </cell>
          <cell r="Q99">
            <v>11.580872075557229</v>
          </cell>
          <cell r="R99">
            <v>10.349950225110131</v>
          </cell>
          <cell r="S99">
            <v>4.8838986814969125</v>
          </cell>
          <cell r="T99">
            <v>4.8838986814969125</v>
          </cell>
          <cell r="U99">
            <v>11.580872075557229</v>
          </cell>
          <cell r="V99">
            <v>10.349950225110131</v>
          </cell>
          <cell r="W99">
            <v>40</v>
          </cell>
          <cell r="X99">
            <v>35.653543307086615</v>
          </cell>
          <cell r="Y99">
            <v>66.8257874015748</v>
          </cell>
          <cell r="Z99">
            <v>35.653543307086615</v>
          </cell>
          <cell r="AA99">
            <v>66.8257874015748</v>
          </cell>
          <cell r="AB99">
            <v>35.653543307086615</v>
          </cell>
          <cell r="AC99">
            <v>66.8257874015748</v>
          </cell>
          <cell r="AD99">
            <v>66.8257874015748</v>
          </cell>
          <cell r="AE99">
            <v>65.460629921259851</v>
          </cell>
          <cell r="AF99">
            <v>23.460629921259848</v>
          </cell>
          <cell r="AG99">
            <v>40.279527559055119</v>
          </cell>
          <cell r="AH99" t="str">
            <v>Y</v>
          </cell>
          <cell r="AI99">
            <v>40.792500000000004</v>
          </cell>
          <cell r="AJ99">
            <v>18.5</v>
          </cell>
          <cell r="AK99" t="str">
            <v>TBD</v>
          </cell>
          <cell r="AL99" t="str">
            <v>Y</v>
          </cell>
          <cell r="AM99">
            <v>200018403</v>
          </cell>
          <cell r="AN99">
            <v>200028403</v>
          </cell>
          <cell r="AO99">
            <v>200018303</v>
          </cell>
          <cell r="AP99">
            <v>200028303</v>
          </cell>
          <cell r="AQ99">
            <v>200018203</v>
          </cell>
          <cell r="AR99">
            <v>200028203</v>
          </cell>
          <cell r="AS99">
            <v>14.555555555555557</v>
          </cell>
          <cell r="AT99">
            <v>19.885568576882878</v>
          </cell>
          <cell r="AU99">
            <v>14.83785335812782</v>
          </cell>
          <cell r="AV99">
            <v>10.133125198752381</v>
          </cell>
          <cell r="AW99">
            <v>41192</v>
          </cell>
        </row>
        <row r="100">
          <cell r="C100" t="str">
            <v>JA Solar - JAM5L 72 190-215_S</v>
          </cell>
          <cell r="D100" t="str">
            <v>Standard Claw</v>
          </cell>
          <cell r="E100">
            <v>5000005</v>
          </cell>
          <cell r="F100">
            <v>31.811023622047244</v>
          </cell>
          <cell r="G100">
            <v>62.204724409448822</v>
          </cell>
          <cell r="H100">
            <v>1.5748031496062993</v>
          </cell>
          <cell r="I100">
            <v>200010704</v>
          </cell>
          <cell r="J100">
            <v>200010804</v>
          </cell>
          <cell r="K100">
            <v>200013804</v>
          </cell>
          <cell r="L100">
            <v>200016304</v>
          </cell>
          <cell r="M100">
            <v>500012566</v>
          </cell>
          <cell r="N100">
            <v>500012666</v>
          </cell>
          <cell r="O100">
            <v>500012567</v>
          </cell>
          <cell r="P100">
            <v>500012667</v>
          </cell>
          <cell r="Q100">
            <v>14.571707491264988</v>
          </cell>
          <cell r="R100">
            <v>13.012236782891378</v>
          </cell>
          <cell r="S100">
            <v>6.1250064477535702</v>
          </cell>
          <cell r="T100">
            <v>6.1250064477535702</v>
          </cell>
          <cell r="U100">
            <v>14.571707491264988</v>
          </cell>
          <cell r="V100">
            <v>13.012236782891378</v>
          </cell>
          <cell r="W100">
            <v>40</v>
          </cell>
          <cell r="X100">
            <v>28.448818897637796</v>
          </cell>
          <cell r="Y100">
            <v>64.069881889763778</v>
          </cell>
          <cell r="Z100">
            <v>28.448818897637796</v>
          </cell>
          <cell r="AA100">
            <v>64.069881889763778</v>
          </cell>
          <cell r="AB100">
            <v>28.448818897637796</v>
          </cell>
          <cell r="AC100">
            <v>64.069881889763778</v>
          </cell>
          <cell r="AD100">
            <v>64.069881889763778</v>
          </cell>
          <cell r="AE100">
            <v>62.704724409448822</v>
          </cell>
          <cell r="AF100">
            <v>20.704724409448822</v>
          </cell>
          <cell r="AG100">
            <v>33.074803149606304</v>
          </cell>
          <cell r="AH100" t="str">
            <v>Y</v>
          </cell>
          <cell r="AI100">
            <v>33.075000000000003</v>
          </cell>
          <cell r="AJ100">
            <v>15</v>
          </cell>
          <cell r="AK100" t="str">
            <v>TBD</v>
          </cell>
          <cell r="AL100" t="str">
            <v>Y</v>
          </cell>
          <cell r="AM100">
            <v>200018402</v>
          </cell>
          <cell r="AN100">
            <v>200028402</v>
          </cell>
          <cell r="AO100">
            <v>200018302</v>
          </cell>
          <cell r="AP100">
            <v>200028302</v>
          </cell>
          <cell r="AQ100">
            <v>200018202</v>
          </cell>
          <cell r="AR100">
            <v>200028202</v>
          </cell>
          <cell r="AS100">
            <v>13.888888888888888</v>
          </cell>
          <cell r="AT100">
            <v>24.471238183648364</v>
          </cell>
          <cell r="AU100">
            <v>18.171818938620692</v>
          </cell>
          <cell r="AV100">
            <v>12.372128912037903</v>
          </cell>
          <cell r="AW100">
            <v>41192</v>
          </cell>
        </row>
        <row r="101">
          <cell r="C101" t="str">
            <v>Jinko - JKM 235P-M-60_S</v>
          </cell>
          <cell r="D101" t="str">
            <v>Standard Claw</v>
          </cell>
          <cell r="E101">
            <v>5000005</v>
          </cell>
          <cell r="F101">
            <v>39.055118110236222</v>
          </cell>
          <cell r="G101">
            <v>64.960629921259851</v>
          </cell>
          <cell r="H101">
            <v>1.7716535433070868</v>
          </cell>
          <cell r="I101">
            <v>200010704</v>
          </cell>
          <cell r="J101">
            <v>200010804</v>
          </cell>
          <cell r="K101">
            <v>200013804</v>
          </cell>
          <cell r="L101">
            <v>200016304</v>
          </cell>
          <cell r="M101">
            <v>500012569</v>
          </cell>
          <cell r="N101">
            <v>500012669</v>
          </cell>
          <cell r="O101">
            <v>500012569</v>
          </cell>
          <cell r="P101">
            <v>500012669</v>
          </cell>
          <cell r="Q101">
            <v>11.698754267040043</v>
          </cell>
          <cell r="R101">
            <v>10.455004839041191</v>
          </cell>
          <cell r="S101">
            <v>4.9330437584696041</v>
          </cell>
          <cell r="T101">
            <v>4.9330437584696041</v>
          </cell>
          <cell r="U101">
            <v>11.698754267040043</v>
          </cell>
          <cell r="V101">
            <v>10.455004839041191</v>
          </cell>
          <cell r="W101">
            <v>50</v>
          </cell>
          <cell r="X101">
            <v>35.2992125984252</v>
          </cell>
          <cell r="Y101">
            <v>66.43208661417323</v>
          </cell>
          <cell r="Z101">
            <v>35.2992125984252</v>
          </cell>
          <cell r="AA101">
            <v>66.43208661417323</v>
          </cell>
          <cell r="AB101">
            <v>35.2992125984252</v>
          </cell>
          <cell r="AC101">
            <v>66.43208661417323</v>
          </cell>
          <cell r="AD101">
            <v>66.43208661417323</v>
          </cell>
          <cell r="AE101">
            <v>65.460629921259851</v>
          </cell>
          <cell r="AF101">
            <v>23.460629921259848</v>
          </cell>
          <cell r="AG101">
            <v>39.925196850393704</v>
          </cell>
          <cell r="AH101" t="str">
            <v>N</v>
          </cell>
          <cell r="AI101">
            <v>41.895000000000003</v>
          </cell>
          <cell r="AJ101">
            <v>19</v>
          </cell>
          <cell r="AK101" t="str">
            <v>TBD</v>
          </cell>
          <cell r="AL101" t="str">
            <v>Y</v>
          </cell>
          <cell r="AM101">
            <v>200018403</v>
          </cell>
          <cell r="AN101">
            <v>200028403</v>
          </cell>
          <cell r="AO101">
            <v>200018303</v>
          </cell>
          <cell r="AP101">
            <v>200028303</v>
          </cell>
          <cell r="AQ101">
            <v>200018203</v>
          </cell>
          <cell r="AR101">
            <v>200028203</v>
          </cell>
          <cell r="AS101">
            <v>14.555555555555557</v>
          </cell>
          <cell r="AT101">
            <v>20.069602586497279</v>
          </cell>
          <cell r="AU101">
            <v>14.97260437224279</v>
          </cell>
          <cell r="AV101">
            <v>10.224017732239455</v>
          </cell>
          <cell r="AW101">
            <v>40966</v>
          </cell>
        </row>
        <row r="102">
          <cell r="C102" t="str">
            <v>Jinko - JKM 290P-M-72_S</v>
          </cell>
          <cell r="D102" t="str">
            <v>Standard Claw</v>
          </cell>
          <cell r="E102">
            <v>5000005</v>
          </cell>
          <cell r="F102">
            <v>39.055118110236222</v>
          </cell>
          <cell r="G102">
            <v>77.00787401574803</v>
          </cell>
          <cell r="H102">
            <v>1.9685039370078741</v>
          </cell>
          <cell r="I102">
            <v>200010707</v>
          </cell>
          <cell r="J102">
            <v>200010807</v>
          </cell>
          <cell r="K102">
            <v>200013807</v>
          </cell>
          <cell r="L102">
            <v>200016307</v>
          </cell>
          <cell r="M102">
            <v>500012581</v>
          </cell>
          <cell r="N102">
            <v>500012681</v>
          </cell>
          <cell r="O102">
            <v>500012581</v>
          </cell>
          <cell r="P102">
            <v>500012681</v>
          </cell>
          <cell r="Q102">
            <v>11.698754267040043</v>
          </cell>
          <cell r="R102">
            <v>10.455004839041191</v>
          </cell>
          <cell r="S102">
            <v>4.9330437584696041</v>
          </cell>
          <cell r="T102">
            <v>4.9330437584696041</v>
          </cell>
          <cell r="U102">
            <v>11.698754267040043</v>
          </cell>
          <cell r="V102">
            <v>10.455004839041191</v>
          </cell>
          <cell r="W102">
            <v>50</v>
          </cell>
          <cell r="X102">
            <v>35.2992125984252</v>
          </cell>
          <cell r="Y102">
            <v>78.479330708661422</v>
          </cell>
          <cell r="Z102">
            <v>35.2992125984252</v>
          </cell>
          <cell r="AA102">
            <v>78.479330708661422</v>
          </cell>
          <cell r="AB102">
            <v>35.2992125984252</v>
          </cell>
          <cell r="AC102">
            <v>78.479330708661422</v>
          </cell>
          <cell r="AD102">
            <v>78.479330708661422</v>
          </cell>
          <cell r="AE102">
            <v>77.507874015748044</v>
          </cell>
          <cell r="AF102">
            <v>35.507874015748037</v>
          </cell>
          <cell r="AG102">
            <v>39.925196850393704</v>
          </cell>
          <cell r="AH102" t="str">
            <v>N</v>
          </cell>
          <cell r="AI102">
            <v>59.535000000000004</v>
          </cell>
          <cell r="AJ102">
            <v>27</v>
          </cell>
          <cell r="AK102" t="str">
            <v>TBD</v>
          </cell>
          <cell r="AL102" t="str">
            <v>Y</v>
          </cell>
          <cell r="AM102">
            <v>200018407</v>
          </cell>
          <cell r="AN102">
            <v>200028407</v>
          </cell>
          <cell r="AO102">
            <v>200018307</v>
          </cell>
          <cell r="AP102">
            <v>200028307</v>
          </cell>
          <cell r="AQ102">
            <v>200018207</v>
          </cell>
          <cell r="AR102">
            <v>200028207</v>
          </cell>
          <cell r="AS102">
            <v>17.222222222222221</v>
          </cell>
          <cell r="AT102">
            <v>20.069602586497279</v>
          </cell>
          <cell r="AU102">
            <v>14.97260437224279</v>
          </cell>
          <cell r="AV102">
            <v>10.224017732239455</v>
          </cell>
          <cell r="AW102">
            <v>40966</v>
          </cell>
        </row>
        <row r="103">
          <cell r="C103" t="str">
            <v>Jinko - JKM 220-270 M-96_S</v>
          </cell>
          <cell r="D103" t="str">
            <v>Standard Claw</v>
          </cell>
          <cell r="E103">
            <v>5000005</v>
          </cell>
          <cell r="F103">
            <v>42.598425196850393</v>
          </cell>
          <cell r="G103">
            <v>62.007874015748037</v>
          </cell>
          <cell r="H103">
            <v>1.7716535433070868</v>
          </cell>
          <cell r="I103">
            <v>200010704</v>
          </cell>
          <cell r="J103">
            <v>200010804</v>
          </cell>
          <cell r="K103">
            <v>200013804</v>
          </cell>
          <cell r="L103">
            <v>200016304</v>
          </cell>
          <cell r="M103">
            <v>500012566</v>
          </cell>
          <cell r="N103">
            <v>500012666</v>
          </cell>
          <cell r="O103">
            <v>500012566</v>
          </cell>
          <cell r="P103">
            <v>500012666</v>
          </cell>
          <cell r="Q103">
            <v>10.618528586472532</v>
          </cell>
          <cell r="R103">
            <v>9.49199409786738</v>
          </cell>
          <cell r="S103">
            <v>4.4820730498956358</v>
          </cell>
          <cell r="T103">
            <v>4.4820730498956358</v>
          </cell>
          <cell r="U103">
            <v>10.618528586472532</v>
          </cell>
          <cell r="V103">
            <v>9.49199409786738</v>
          </cell>
          <cell r="W103">
            <v>30</v>
          </cell>
          <cell r="X103">
            <v>38.84251968503937</v>
          </cell>
          <cell r="Y103">
            <v>63.479330708661422</v>
          </cell>
          <cell r="Z103">
            <v>38.84251968503937</v>
          </cell>
          <cell r="AA103">
            <v>63.479330708661422</v>
          </cell>
          <cell r="AB103">
            <v>38.84251968503937</v>
          </cell>
          <cell r="AC103">
            <v>63.479330708661422</v>
          </cell>
          <cell r="AD103">
            <v>63.479330708661422</v>
          </cell>
          <cell r="AE103">
            <v>62.507874015748037</v>
          </cell>
          <cell r="AF103">
            <v>20.507874015748037</v>
          </cell>
          <cell r="AG103">
            <v>43.468503937007874</v>
          </cell>
          <cell r="AH103" t="str">
            <v>N</v>
          </cell>
          <cell r="AI103">
            <v>41.895000000000003</v>
          </cell>
          <cell r="AJ103">
            <v>19</v>
          </cell>
          <cell r="AK103" t="str">
            <v>TBD</v>
          </cell>
          <cell r="AL103" t="str">
            <v>Y</v>
          </cell>
          <cell r="AM103">
            <v>200018402</v>
          </cell>
          <cell r="AN103">
            <v>200028402</v>
          </cell>
          <cell r="AO103">
            <v>200018302</v>
          </cell>
          <cell r="AP103">
            <v>200028302</v>
          </cell>
          <cell r="AQ103">
            <v>200018202</v>
          </cell>
          <cell r="AR103">
            <v>200028202</v>
          </cell>
          <cell r="AS103">
            <v>13.888888888888888</v>
          </cell>
          <cell r="AT103">
            <v>18.372214361238854</v>
          </cell>
          <cell r="AU103">
            <v>13.727082263910484</v>
          </cell>
          <cell r="AV103">
            <v>9.3827373929724605</v>
          </cell>
          <cell r="AW103">
            <v>40966</v>
          </cell>
        </row>
        <row r="104">
          <cell r="C104" t="str">
            <v>Kyocera - KD 225-245 GX-LPB_X</v>
          </cell>
          <cell r="D104" t="str">
            <v>Long Claw (Kyocera LPB)</v>
          </cell>
          <cell r="E104">
            <v>500003902</v>
          </cell>
          <cell r="F104">
            <v>38.976377952755911</v>
          </cell>
          <cell r="G104">
            <v>65.433070866141733</v>
          </cell>
          <cell r="H104">
            <v>1.8110236220472442</v>
          </cell>
          <cell r="I104">
            <v>200010704</v>
          </cell>
          <cell r="J104">
            <v>200010804</v>
          </cell>
          <cell r="K104">
            <v>200013804</v>
          </cell>
          <cell r="L104">
            <v>200016304</v>
          </cell>
          <cell r="M104">
            <v>500012568</v>
          </cell>
          <cell r="N104">
            <v>500012668</v>
          </cell>
          <cell r="O104">
            <v>500012569</v>
          </cell>
          <cell r="P104">
            <v>500012669</v>
          </cell>
          <cell r="Q104">
            <v>10.948638384786955</v>
          </cell>
          <cell r="R104">
            <v>9.7863612556795889</v>
          </cell>
          <cell r="S104">
            <v>4.620032713407368</v>
          </cell>
          <cell r="T104">
            <v>4.620032713407368</v>
          </cell>
          <cell r="U104">
            <v>10.948638384786955</v>
          </cell>
          <cell r="V104">
            <v>9.7863612556795889</v>
          </cell>
          <cell r="W104">
            <v>50</v>
          </cell>
          <cell r="X104">
            <v>37.685039370078741</v>
          </cell>
          <cell r="Y104">
            <v>66.187992125984252</v>
          </cell>
          <cell r="Z104">
            <v>37.685039370078741</v>
          </cell>
          <cell r="AA104">
            <v>66.187992125984252</v>
          </cell>
          <cell r="AB104">
            <v>37.685039370078741</v>
          </cell>
          <cell r="AC104">
            <v>66.187992125984252</v>
          </cell>
          <cell r="AD104">
            <v>66.187992125984252</v>
          </cell>
          <cell r="AE104">
            <v>65.933070866141733</v>
          </cell>
          <cell r="AF104">
            <v>23.933070866141737</v>
          </cell>
          <cell r="AG104">
            <v>40.862204724409452</v>
          </cell>
          <cell r="AH104" t="str">
            <v>Y</v>
          </cell>
          <cell r="AI104">
            <v>46.305</v>
          </cell>
          <cell r="AJ104">
            <v>21</v>
          </cell>
          <cell r="AK104" t="str">
            <v>TBD</v>
          </cell>
          <cell r="AL104" t="str">
            <v>Y</v>
          </cell>
          <cell r="AM104">
            <v>200018403</v>
          </cell>
          <cell r="AN104">
            <v>200028403</v>
          </cell>
          <cell r="AO104">
            <v>200018303</v>
          </cell>
          <cell r="AP104">
            <v>200028303</v>
          </cell>
          <cell r="AQ104">
            <v>200018203</v>
          </cell>
          <cell r="AR104">
            <v>200028203</v>
          </cell>
          <cell r="AS104">
            <v>14.555555555555557</v>
          </cell>
          <cell r="AT104">
            <v>19.59032067014968</v>
          </cell>
          <cell r="AU104">
            <v>14.621519405121935</v>
          </cell>
          <cell r="AV104">
            <v>9.9871387547568311</v>
          </cell>
          <cell r="AW104">
            <v>41318</v>
          </cell>
        </row>
        <row r="105">
          <cell r="C105" t="str">
            <v>Kyocera - KD 225-245 GX-LPB_L</v>
          </cell>
          <cell r="D105" t="str">
            <v>2nd Gen Long Claw (Kyocera LPB)</v>
          </cell>
          <cell r="E105">
            <v>500014402</v>
          </cell>
          <cell r="F105">
            <v>38.976377952755911</v>
          </cell>
          <cell r="G105">
            <v>65.433070866141733</v>
          </cell>
          <cell r="H105">
            <v>1.8110236220472442</v>
          </cell>
          <cell r="I105">
            <v>200010704</v>
          </cell>
          <cell r="J105">
            <v>200010804</v>
          </cell>
          <cell r="K105">
            <v>200013804</v>
          </cell>
          <cell r="L105">
            <v>200016304</v>
          </cell>
          <cell r="M105">
            <v>500012568</v>
          </cell>
          <cell r="N105">
            <v>500012668</v>
          </cell>
          <cell r="O105">
            <v>500012569</v>
          </cell>
          <cell r="P105">
            <v>500012669</v>
          </cell>
          <cell r="Q105">
            <v>10.210324757196451</v>
          </cell>
          <cell r="R105">
            <v>9.127898782246433</v>
          </cell>
          <cell r="S105">
            <v>4.3113065848517067</v>
          </cell>
          <cell r="T105">
            <v>4.3113065848517067</v>
          </cell>
          <cell r="U105">
            <v>10.210324757196451</v>
          </cell>
          <cell r="V105">
            <v>9.127898782246433</v>
          </cell>
          <cell r="W105">
            <v>50</v>
          </cell>
          <cell r="X105">
            <v>40.377952755905511</v>
          </cell>
          <cell r="Y105">
            <v>66.187992125984252</v>
          </cell>
          <cell r="Z105">
            <v>40.377952755905511</v>
          </cell>
          <cell r="AA105">
            <v>66.187992125984252</v>
          </cell>
          <cell r="AB105">
            <v>40.377952755905511</v>
          </cell>
          <cell r="AC105">
            <v>66.187992125984252</v>
          </cell>
          <cell r="AD105">
            <v>66.187992125984252</v>
          </cell>
          <cell r="AE105">
            <v>65.933070866141733</v>
          </cell>
          <cell r="AF105">
            <v>23.933070866141737</v>
          </cell>
          <cell r="AG105">
            <v>40.862204724409452</v>
          </cell>
          <cell r="AH105" t="str">
            <v>Y</v>
          </cell>
          <cell r="AI105">
            <v>46.305</v>
          </cell>
          <cell r="AJ105">
            <v>21</v>
          </cell>
          <cell r="AK105" t="str">
            <v>TBD</v>
          </cell>
          <cell r="AL105" t="str">
            <v>Y</v>
          </cell>
          <cell r="AM105">
            <v>200018403</v>
          </cell>
          <cell r="AN105">
            <v>200028403</v>
          </cell>
          <cell r="AO105">
            <v>200018303</v>
          </cell>
          <cell r="AP105">
            <v>200028303</v>
          </cell>
          <cell r="AQ105">
            <v>200018203</v>
          </cell>
          <cell r="AR105">
            <v>200028203</v>
          </cell>
          <cell r="AS105">
            <v>14.555555555555557</v>
          </cell>
          <cell r="AT105">
            <v>19.59032067014968</v>
          </cell>
          <cell r="AU105">
            <v>14.621519405121935</v>
          </cell>
          <cell r="AV105">
            <v>9.9871387547568311</v>
          </cell>
          <cell r="AW105">
            <v>41318</v>
          </cell>
        </row>
        <row r="106">
          <cell r="C106" t="str">
            <v>Kyocera - KD 205-220 GX-LPU_X</v>
          </cell>
          <cell r="D106" t="str">
            <v>Long Claw (Kyocera LPU)</v>
          </cell>
          <cell r="E106">
            <v>500003903</v>
          </cell>
          <cell r="F106">
            <v>38.976377952755911</v>
          </cell>
          <cell r="G106">
            <v>59.055118110236222</v>
          </cell>
          <cell r="H106">
            <v>1.8110236220472442</v>
          </cell>
          <cell r="I106">
            <v>200010703</v>
          </cell>
          <cell r="J106">
            <v>200010803</v>
          </cell>
          <cell r="K106">
            <v>200013803</v>
          </cell>
          <cell r="L106">
            <v>200016303</v>
          </cell>
          <cell r="M106">
            <v>500012562</v>
          </cell>
          <cell r="N106">
            <v>500012662</v>
          </cell>
          <cell r="O106">
            <v>500012563</v>
          </cell>
          <cell r="P106">
            <v>500012663</v>
          </cell>
          <cell r="Q106">
            <v>10.948638384786955</v>
          </cell>
          <cell r="R106">
            <v>9.7863612556795889</v>
          </cell>
          <cell r="S106">
            <v>4.620032713407368</v>
          </cell>
          <cell r="T106">
            <v>4.620032713407368</v>
          </cell>
          <cell r="U106">
            <v>10.948638384786955</v>
          </cell>
          <cell r="V106">
            <v>9.7863612556795889</v>
          </cell>
          <cell r="W106">
            <v>50</v>
          </cell>
          <cell r="X106">
            <v>37.685039370078741</v>
          </cell>
          <cell r="Y106">
            <v>59.810039370078741</v>
          </cell>
          <cell r="Z106">
            <v>37.685039370078741</v>
          </cell>
          <cell r="AA106">
            <v>59.810039370078741</v>
          </cell>
          <cell r="AB106">
            <v>37.685039370078741</v>
          </cell>
          <cell r="AC106">
            <v>59.810039370078741</v>
          </cell>
          <cell r="AD106">
            <v>59.810039370078741</v>
          </cell>
          <cell r="AE106">
            <v>59.555118110236222</v>
          </cell>
          <cell r="AF106">
            <v>17.555118110236226</v>
          </cell>
          <cell r="AG106">
            <v>40.94094488188977</v>
          </cell>
          <cell r="AH106" t="str">
            <v>Y</v>
          </cell>
          <cell r="AI106">
            <v>39.69</v>
          </cell>
          <cell r="AJ106">
            <v>18</v>
          </cell>
          <cell r="AK106" t="str">
            <v>TBD</v>
          </cell>
          <cell r="AL106" t="str">
            <v>Y</v>
          </cell>
          <cell r="AM106">
            <v>200018401</v>
          </cell>
          <cell r="AN106">
            <v>200028401</v>
          </cell>
          <cell r="AO106">
            <v>200018301</v>
          </cell>
          <cell r="AP106">
            <v>200028301</v>
          </cell>
          <cell r="AQ106">
            <v>200018201</v>
          </cell>
          <cell r="AR106">
            <v>200028201</v>
          </cell>
          <cell r="AS106">
            <v>13.22222222222222</v>
          </cell>
          <cell r="AT106">
            <v>19.551107819050522</v>
          </cell>
          <cell r="AU106">
            <v>14.592773493187313</v>
          </cell>
          <cell r="AV106">
            <v>9.9677345225049123</v>
          </cell>
          <cell r="AW106">
            <v>40966</v>
          </cell>
        </row>
        <row r="107">
          <cell r="C107" t="str">
            <v>Kyocera - KD 205-220 GX-LPU_L</v>
          </cell>
          <cell r="D107" t="str">
            <v>2nd Gen Long Claw (Kyocera LPU)</v>
          </cell>
          <cell r="E107">
            <v>500014403</v>
          </cell>
          <cell r="F107">
            <v>38.976377952755911</v>
          </cell>
          <cell r="G107">
            <v>59.055118110236222</v>
          </cell>
          <cell r="H107">
            <v>1.8110236220472442</v>
          </cell>
          <cell r="I107">
            <v>200010703</v>
          </cell>
          <cell r="J107">
            <v>200010803</v>
          </cell>
          <cell r="K107">
            <v>200013803</v>
          </cell>
          <cell r="L107">
            <v>200016303</v>
          </cell>
          <cell r="M107">
            <v>500012562</v>
          </cell>
          <cell r="N107">
            <v>500012662</v>
          </cell>
          <cell r="O107">
            <v>500012563</v>
          </cell>
          <cell r="P107">
            <v>500012663</v>
          </cell>
          <cell r="Q107">
            <v>10.210324757196451</v>
          </cell>
          <cell r="R107">
            <v>9.127898782246433</v>
          </cell>
          <cell r="S107">
            <v>4.3113065848517067</v>
          </cell>
          <cell r="T107">
            <v>4.3113065848517067</v>
          </cell>
          <cell r="U107">
            <v>10.210324757196451</v>
          </cell>
          <cell r="V107">
            <v>9.127898782246433</v>
          </cell>
          <cell r="W107">
            <v>50</v>
          </cell>
          <cell r="X107">
            <v>40.377952755905511</v>
          </cell>
          <cell r="Y107">
            <v>59.810039370078741</v>
          </cell>
          <cell r="Z107">
            <v>40.377952755905511</v>
          </cell>
          <cell r="AA107">
            <v>59.810039370078741</v>
          </cell>
          <cell r="AB107">
            <v>40.377952755905511</v>
          </cell>
          <cell r="AC107">
            <v>59.810039370078741</v>
          </cell>
          <cell r="AD107">
            <v>59.810039370078741</v>
          </cell>
          <cell r="AE107">
            <v>59.555118110236222</v>
          </cell>
          <cell r="AF107">
            <v>17.555118110236226</v>
          </cell>
          <cell r="AG107">
            <v>40.94094488188977</v>
          </cell>
          <cell r="AH107" t="str">
            <v>Y</v>
          </cell>
          <cell r="AI107">
            <v>39.69</v>
          </cell>
          <cell r="AJ107">
            <v>18</v>
          </cell>
          <cell r="AK107" t="str">
            <v>TBD</v>
          </cell>
          <cell r="AL107" t="str">
            <v>Y</v>
          </cell>
          <cell r="AM107">
            <v>200018401</v>
          </cell>
          <cell r="AN107">
            <v>200028401</v>
          </cell>
          <cell r="AO107">
            <v>200018301</v>
          </cell>
          <cell r="AP107">
            <v>200028301</v>
          </cell>
          <cell r="AQ107">
            <v>200018201</v>
          </cell>
          <cell r="AR107">
            <v>200028201</v>
          </cell>
          <cell r="AS107">
            <v>13.22222222222222</v>
          </cell>
          <cell r="AT107">
            <v>19.551107819050522</v>
          </cell>
          <cell r="AU107">
            <v>14.592773493187313</v>
          </cell>
          <cell r="AV107">
            <v>9.9677345225049123</v>
          </cell>
          <cell r="AW107">
            <v>40966</v>
          </cell>
        </row>
        <row r="108">
          <cell r="C108" t="str">
            <v>Kyocera - KD 240-250 GX-LFB _X</v>
          </cell>
          <cell r="D108" t="str">
            <v>Long Claw (Kyocera LPB)</v>
          </cell>
          <cell r="E108">
            <v>500003902</v>
          </cell>
          <cell r="F108">
            <v>38.976377952755911</v>
          </cell>
          <cell r="G108">
            <v>65.433070866141733</v>
          </cell>
          <cell r="H108">
            <v>1.8110236220472442</v>
          </cell>
          <cell r="I108">
            <v>200010704</v>
          </cell>
          <cell r="J108">
            <v>200010804</v>
          </cell>
          <cell r="K108">
            <v>200013804</v>
          </cell>
          <cell r="L108">
            <v>200016304</v>
          </cell>
          <cell r="M108">
            <v>500012568</v>
          </cell>
          <cell r="N108">
            <v>500012668</v>
          </cell>
          <cell r="O108">
            <v>500012569</v>
          </cell>
          <cell r="P108">
            <v>500012669</v>
          </cell>
          <cell r="Q108">
            <v>10.948638384786955</v>
          </cell>
          <cell r="R108">
            <v>9.7863612556795889</v>
          </cell>
          <cell r="S108">
            <v>4.620032713407368</v>
          </cell>
          <cell r="T108">
            <v>4.620032713407368</v>
          </cell>
          <cell r="U108">
            <v>10.948638384786955</v>
          </cell>
          <cell r="V108">
            <v>9.7863612556795889</v>
          </cell>
          <cell r="W108">
            <v>50</v>
          </cell>
          <cell r="X108">
            <v>37.685039370078741</v>
          </cell>
          <cell r="Y108">
            <v>66.187992125984252</v>
          </cell>
          <cell r="Z108">
            <v>37.685039370078741</v>
          </cell>
          <cell r="AA108">
            <v>66.187992125984252</v>
          </cell>
          <cell r="AB108">
            <v>37.685039370078741</v>
          </cell>
          <cell r="AC108">
            <v>66.187992125984252</v>
          </cell>
          <cell r="AD108">
            <v>66.187992125984252</v>
          </cell>
          <cell r="AE108">
            <v>65.933070866141733</v>
          </cell>
          <cell r="AF108">
            <v>23.933070866141737</v>
          </cell>
          <cell r="AG108">
            <v>40.862204724409452</v>
          </cell>
          <cell r="AH108" t="str">
            <v>Y</v>
          </cell>
          <cell r="AI108">
            <v>46.305</v>
          </cell>
          <cell r="AJ108">
            <v>21</v>
          </cell>
          <cell r="AK108" t="str">
            <v>TBD</v>
          </cell>
          <cell r="AL108" t="str">
            <v>Y</v>
          </cell>
          <cell r="AM108">
            <v>200018403</v>
          </cell>
          <cell r="AN108">
            <v>200028403</v>
          </cell>
          <cell r="AO108">
            <v>200018303</v>
          </cell>
          <cell r="AP108">
            <v>200028303</v>
          </cell>
          <cell r="AQ108">
            <v>200018203</v>
          </cell>
          <cell r="AR108">
            <v>200028203</v>
          </cell>
          <cell r="AS108">
            <v>14.555555555555557</v>
          </cell>
          <cell r="AT108">
            <v>19.59032067014968</v>
          </cell>
          <cell r="AU108">
            <v>14.621519405121935</v>
          </cell>
          <cell r="AV108">
            <v>9.9871387547568311</v>
          </cell>
          <cell r="AW108">
            <v>41318</v>
          </cell>
        </row>
        <row r="109">
          <cell r="C109" t="str">
            <v>Kyocera - KD 240-250 GX-LFB _L</v>
          </cell>
          <cell r="D109" t="str">
            <v>2nd Gen Long Claw (Kyocera LPB)</v>
          </cell>
          <cell r="E109">
            <v>500014402</v>
          </cell>
          <cell r="F109">
            <v>38.976377952755911</v>
          </cell>
          <cell r="G109">
            <v>65.433070866141733</v>
          </cell>
          <cell r="H109">
            <v>1.8110236220472442</v>
          </cell>
          <cell r="I109">
            <v>200010704</v>
          </cell>
          <cell r="J109">
            <v>200010804</v>
          </cell>
          <cell r="K109">
            <v>200013804</v>
          </cell>
          <cell r="L109">
            <v>200016304</v>
          </cell>
          <cell r="M109">
            <v>500012568</v>
          </cell>
          <cell r="N109">
            <v>500012668</v>
          </cell>
          <cell r="O109">
            <v>500012569</v>
          </cell>
          <cell r="P109">
            <v>500012669</v>
          </cell>
          <cell r="Q109">
            <v>10.210324757196451</v>
          </cell>
          <cell r="R109">
            <v>9.127898782246433</v>
          </cell>
          <cell r="S109">
            <v>4.3113065848517067</v>
          </cell>
          <cell r="T109">
            <v>4.3113065848517067</v>
          </cell>
          <cell r="U109">
            <v>10.210324757196451</v>
          </cell>
          <cell r="V109">
            <v>9.127898782246433</v>
          </cell>
          <cell r="W109">
            <v>50</v>
          </cell>
          <cell r="X109">
            <v>40.377952755905511</v>
          </cell>
          <cell r="Y109">
            <v>66.187992125984252</v>
          </cell>
          <cell r="Z109">
            <v>40.377952755905511</v>
          </cell>
          <cell r="AA109">
            <v>66.187992125984252</v>
          </cell>
          <cell r="AB109">
            <v>40.377952755905511</v>
          </cell>
          <cell r="AC109">
            <v>66.187992125984252</v>
          </cell>
          <cell r="AD109">
            <v>66.187992125984252</v>
          </cell>
          <cell r="AE109">
            <v>65.933070866141733</v>
          </cell>
          <cell r="AF109">
            <v>23.933070866141737</v>
          </cell>
          <cell r="AG109">
            <v>40.862204724409452</v>
          </cell>
          <cell r="AH109" t="str">
            <v>Y</v>
          </cell>
          <cell r="AI109">
            <v>46.305</v>
          </cell>
          <cell r="AJ109">
            <v>21</v>
          </cell>
          <cell r="AK109" t="str">
            <v>TBD</v>
          </cell>
          <cell r="AL109" t="str">
            <v>Y</v>
          </cell>
          <cell r="AM109">
            <v>200018403</v>
          </cell>
          <cell r="AN109">
            <v>200028403</v>
          </cell>
          <cell r="AO109">
            <v>200018303</v>
          </cell>
          <cell r="AP109">
            <v>200028303</v>
          </cell>
          <cell r="AQ109">
            <v>200018203</v>
          </cell>
          <cell r="AR109">
            <v>200028203</v>
          </cell>
          <cell r="AS109">
            <v>14.555555555555557</v>
          </cell>
          <cell r="AT109">
            <v>19.59032067014968</v>
          </cell>
          <cell r="AU109">
            <v>14.621519405121935</v>
          </cell>
          <cell r="AV109">
            <v>9.9871387547568311</v>
          </cell>
          <cell r="AW109">
            <v>41318</v>
          </cell>
        </row>
        <row r="110">
          <cell r="C110" t="str">
            <v>Kyocera - KD 205-220 GX-LFBS_X</v>
          </cell>
          <cell r="D110" t="str">
            <v>Long Claw (Kyocera LPU)</v>
          </cell>
          <cell r="E110">
            <v>500003903</v>
          </cell>
          <cell r="F110">
            <v>38.976377952755911</v>
          </cell>
          <cell r="G110">
            <v>59.055118110236222</v>
          </cell>
          <cell r="H110">
            <v>1.8110236220472442</v>
          </cell>
          <cell r="I110">
            <v>200010703</v>
          </cell>
          <cell r="J110">
            <v>200010803</v>
          </cell>
          <cell r="K110">
            <v>200013803</v>
          </cell>
          <cell r="L110">
            <v>200016303</v>
          </cell>
          <cell r="M110">
            <v>500012562</v>
          </cell>
          <cell r="N110">
            <v>500012662</v>
          </cell>
          <cell r="O110">
            <v>500012563</v>
          </cell>
          <cell r="P110">
            <v>500012663</v>
          </cell>
          <cell r="Q110">
            <v>10.948638384786955</v>
          </cell>
          <cell r="R110">
            <v>9.7863612556795889</v>
          </cell>
          <cell r="S110">
            <v>4.620032713407368</v>
          </cell>
          <cell r="T110">
            <v>4.620032713407368</v>
          </cell>
          <cell r="U110">
            <v>10.948638384786955</v>
          </cell>
          <cell r="V110">
            <v>9.7863612556795889</v>
          </cell>
          <cell r="W110">
            <v>50</v>
          </cell>
          <cell r="X110">
            <v>37.685039370078741</v>
          </cell>
          <cell r="Y110">
            <v>59.810039370078741</v>
          </cell>
          <cell r="Z110">
            <v>37.685039370078741</v>
          </cell>
          <cell r="AA110">
            <v>59.810039370078741</v>
          </cell>
          <cell r="AB110">
            <v>37.685039370078741</v>
          </cell>
          <cell r="AC110">
            <v>59.810039370078741</v>
          </cell>
          <cell r="AD110">
            <v>59.810039370078741</v>
          </cell>
          <cell r="AE110">
            <v>59.555118110236222</v>
          </cell>
          <cell r="AF110">
            <v>17.555118110236226</v>
          </cell>
          <cell r="AG110">
            <v>40.94094488188977</v>
          </cell>
          <cell r="AH110" t="str">
            <v>Y</v>
          </cell>
          <cell r="AI110">
            <v>39.69</v>
          </cell>
          <cell r="AJ110">
            <v>18</v>
          </cell>
          <cell r="AK110" t="str">
            <v>TBD</v>
          </cell>
          <cell r="AL110" t="str">
            <v>Y</v>
          </cell>
          <cell r="AM110">
            <v>200018401</v>
          </cell>
          <cell r="AN110">
            <v>200028401</v>
          </cell>
          <cell r="AO110">
            <v>200018301</v>
          </cell>
          <cell r="AP110">
            <v>200028301</v>
          </cell>
          <cell r="AQ110">
            <v>200018201</v>
          </cell>
          <cell r="AR110">
            <v>200028201</v>
          </cell>
          <cell r="AS110">
            <v>13.22222222222222</v>
          </cell>
          <cell r="AT110">
            <v>19.551107819050522</v>
          </cell>
          <cell r="AU110">
            <v>14.592773493187313</v>
          </cell>
          <cell r="AV110">
            <v>9.9677345225049123</v>
          </cell>
          <cell r="AW110">
            <v>40966</v>
          </cell>
        </row>
        <row r="111">
          <cell r="C111" t="str">
            <v>Kyocera - KD 205-220 GX-LFBS_L</v>
          </cell>
          <cell r="D111" t="str">
            <v>2nd Gen Long Claw (Kyocera LPU)</v>
          </cell>
          <cell r="E111">
            <v>500014403</v>
          </cell>
          <cell r="F111">
            <v>38.976377952755911</v>
          </cell>
          <cell r="G111">
            <v>59.055118110236222</v>
          </cell>
          <cell r="H111">
            <v>1.8110236220472442</v>
          </cell>
          <cell r="I111">
            <v>200010703</v>
          </cell>
          <cell r="J111">
            <v>200010803</v>
          </cell>
          <cell r="K111">
            <v>200013803</v>
          </cell>
          <cell r="L111">
            <v>200016303</v>
          </cell>
          <cell r="M111">
            <v>500012562</v>
          </cell>
          <cell r="N111">
            <v>500012662</v>
          </cell>
          <cell r="O111">
            <v>500012563</v>
          </cell>
          <cell r="P111">
            <v>500012663</v>
          </cell>
          <cell r="Q111">
            <v>10.210324757196451</v>
          </cell>
          <cell r="R111">
            <v>9.127898782246433</v>
          </cell>
          <cell r="S111">
            <v>4.3113065848517067</v>
          </cell>
          <cell r="T111">
            <v>4.3113065848517067</v>
          </cell>
          <cell r="U111">
            <v>10.210324757196451</v>
          </cell>
          <cell r="V111">
            <v>9.127898782246433</v>
          </cell>
          <cell r="W111">
            <v>50</v>
          </cell>
          <cell r="X111">
            <v>40.377952755905511</v>
          </cell>
          <cell r="Y111">
            <v>59.810039370078741</v>
          </cell>
          <cell r="Z111">
            <v>40.377952755905511</v>
          </cell>
          <cell r="AA111">
            <v>59.810039370078741</v>
          </cell>
          <cell r="AB111">
            <v>40.377952755905511</v>
          </cell>
          <cell r="AC111">
            <v>59.810039370078741</v>
          </cell>
          <cell r="AD111">
            <v>59.810039370078741</v>
          </cell>
          <cell r="AE111">
            <v>59.555118110236222</v>
          </cell>
          <cell r="AF111">
            <v>17.555118110236226</v>
          </cell>
          <cell r="AG111">
            <v>40.94094488188977</v>
          </cell>
          <cell r="AH111" t="str">
            <v>Y</v>
          </cell>
          <cell r="AI111">
            <v>39.69</v>
          </cell>
          <cell r="AJ111">
            <v>18</v>
          </cell>
          <cell r="AK111" t="str">
            <v>TBD</v>
          </cell>
          <cell r="AL111" t="str">
            <v>Y</v>
          </cell>
          <cell r="AM111">
            <v>200018401</v>
          </cell>
          <cell r="AN111">
            <v>200028401</v>
          </cell>
          <cell r="AO111">
            <v>200018301</v>
          </cell>
          <cell r="AP111">
            <v>200028301</v>
          </cell>
          <cell r="AQ111">
            <v>200018201</v>
          </cell>
          <cell r="AR111">
            <v>200028201</v>
          </cell>
          <cell r="AS111">
            <v>13.22222222222222</v>
          </cell>
          <cell r="AT111">
            <v>19.551107819050522</v>
          </cell>
          <cell r="AU111">
            <v>14.592773493187313</v>
          </cell>
          <cell r="AV111">
            <v>9.9677345225049123</v>
          </cell>
          <cell r="AW111">
            <v>40966</v>
          </cell>
        </row>
        <row r="112">
          <cell r="C112" t="str">
            <v>LDK - LDK 180-210 D-24s_S</v>
          </cell>
          <cell r="D112" t="str">
            <v>Standard Claw</v>
          </cell>
          <cell r="E112">
            <v>5000005</v>
          </cell>
          <cell r="F112">
            <v>31.811023622047244</v>
          </cell>
          <cell r="G112">
            <v>62.204724409448822</v>
          </cell>
          <cell r="H112">
            <v>1.5748031496062993</v>
          </cell>
          <cell r="I112">
            <v>200010704</v>
          </cell>
          <cell r="J112">
            <v>200010804</v>
          </cell>
          <cell r="K112">
            <v>200013804</v>
          </cell>
          <cell r="L112">
            <v>200016304</v>
          </cell>
          <cell r="M112">
            <v>500012566</v>
          </cell>
          <cell r="N112">
            <v>500012666</v>
          </cell>
          <cell r="O112">
            <v>500012567</v>
          </cell>
          <cell r="P112">
            <v>500012667</v>
          </cell>
          <cell r="Q112">
            <v>14.571707491264988</v>
          </cell>
          <cell r="R112">
            <v>13.012236782891378</v>
          </cell>
          <cell r="S112">
            <v>6.1250064477535702</v>
          </cell>
          <cell r="T112">
            <v>6.1250064477535702</v>
          </cell>
          <cell r="U112">
            <v>14.571707491264988</v>
          </cell>
          <cell r="V112">
            <v>13.012236782891378</v>
          </cell>
          <cell r="W112">
            <v>50</v>
          </cell>
          <cell r="X112">
            <v>28.448818897637796</v>
          </cell>
          <cell r="Y112">
            <v>64.069881889763778</v>
          </cell>
          <cell r="Z112">
            <v>28.448818897637796</v>
          </cell>
          <cell r="AA112">
            <v>64.069881889763778</v>
          </cell>
          <cell r="AB112">
            <v>28.448818897637796</v>
          </cell>
          <cell r="AC112">
            <v>64.069881889763778</v>
          </cell>
          <cell r="AD112">
            <v>64.069881889763778</v>
          </cell>
          <cell r="AE112">
            <v>62.704724409448822</v>
          </cell>
          <cell r="AF112">
            <v>20.704724409448822</v>
          </cell>
          <cell r="AG112">
            <v>33.074803149606304</v>
          </cell>
          <cell r="AH112" t="str">
            <v>Y</v>
          </cell>
          <cell r="AI112">
            <v>34.398000000000003</v>
          </cell>
          <cell r="AJ112">
            <v>15.6</v>
          </cell>
          <cell r="AK112" t="str">
            <v>TBD</v>
          </cell>
          <cell r="AL112" t="str">
            <v>Y</v>
          </cell>
          <cell r="AM112">
            <v>200018402</v>
          </cell>
          <cell r="AN112">
            <v>200028402</v>
          </cell>
          <cell r="AO112">
            <v>200018302</v>
          </cell>
          <cell r="AP112">
            <v>200028302</v>
          </cell>
          <cell r="AQ112">
            <v>200018202</v>
          </cell>
          <cell r="AR112">
            <v>200028202</v>
          </cell>
          <cell r="AS112">
            <v>13.888888888888888</v>
          </cell>
          <cell r="AT112">
            <v>24.471238183648364</v>
          </cell>
          <cell r="AU112">
            <v>18.171818938620692</v>
          </cell>
          <cell r="AV112">
            <v>12.372128912037903</v>
          </cell>
          <cell r="AW112">
            <v>41192</v>
          </cell>
        </row>
        <row r="113">
          <cell r="C113" t="str">
            <v>LDK - LDK 160-200 P-24s_S</v>
          </cell>
          <cell r="D113" t="str">
            <v>Standard Claw</v>
          </cell>
          <cell r="E113">
            <v>5000005</v>
          </cell>
          <cell r="F113">
            <v>31.811023622047244</v>
          </cell>
          <cell r="G113">
            <v>62.204724409448822</v>
          </cell>
          <cell r="H113">
            <v>1.5748031496062993</v>
          </cell>
          <cell r="I113">
            <v>200010704</v>
          </cell>
          <cell r="J113">
            <v>200010804</v>
          </cell>
          <cell r="K113">
            <v>200013804</v>
          </cell>
          <cell r="L113">
            <v>200016304</v>
          </cell>
          <cell r="M113">
            <v>500012566</v>
          </cell>
          <cell r="N113">
            <v>500012666</v>
          </cell>
          <cell r="O113">
            <v>500012567</v>
          </cell>
          <cell r="P113">
            <v>500012667</v>
          </cell>
          <cell r="Q113">
            <v>14.571707491264988</v>
          </cell>
          <cell r="R113">
            <v>13.012236782891378</v>
          </cell>
          <cell r="S113">
            <v>6.1250064477535702</v>
          </cell>
          <cell r="T113">
            <v>6.1250064477535702</v>
          </cell>
          <cell r="U113">
            <v>14.571707491264988</v>
          </cell>
          <cell r="V113">
            <v>13.012236782891378</v>
          </cell>
          <cell r="W113">
            <v>50</v>
          </cell>
          <cell r="X113">
            <v>28.448818897637796</v>
          </cell>
          <cell r="Y113">
            <v>64.069881889763778</v>
          </cell>
          <cell r="Z113">
            <v>28.448818897637796</v>
          </cell>
          <cell r="AA113">
            <v>64.069881889763778</v>
          </cell>
          <cell r="AB113">
            <v>28.448818897637796</v>
          </cell>
          <cell r="AC113">
            <v>64.069881889763778</v>
          </cell>
          <cell r="AD113">
            <v>64.069881889763778</v>
          </cell>
          <cell r="AE113">
            <v>62.704724409448822</v>
          </cell>
          <cell r="AF113">
            <v>20.704724409448822</v>
          </cell>
          <cell r="AG113">
            <v>33.074803149606304</v>
          </cell>
          <cell r="AH113" t="str">
            <v>Y</v>
          </cell>
          <cell r="AI113">
            <v>34.398000000000003</v>
          </cell>
          <cell r="AJ113">
            <v>15.6</v>
          </cell>
          <cell r="AK113" t="str">
            <v>TBD</v>
          </cell>
          <cell r="AL113" t="str">
            <v>Y</v>
          </cell>
          <cell r="AM113">
            <v>200018402</v>
          </cell>
          <cell r="AN113">
            <v>200028402</v>
          </cell>
          <cell r="AO113">
            <v>200018302</v>
          </cell>
          <cell r="AP113">
            <v>200028302</v>
          </cell>
          <cell r="AQ113">
            <v>200018202</v>
          </cell>
          <cell r="AR113">
            <v>200028202</v>
          </cell>
          <cell r="AS113">
            <v>13.888888888888888</v>
          </cell>
          <cell r="AT113">
            <v>24.471238183648364</v>
          </cell>
          <cell r="AU113">
            <v>18.171818938620692</v>
          </cell>
          <cell r="AV113">
            <v>12.372128912037903</v>
          </cell>
          <cell r="AW113">
            <v>41192</v>
          </cell>
        </row>
        <row r="114">
          <cell r="C114" t="str">
            <v>LDK - LDK 220-260 D-20_S</v>
          </cell>
          <cell r="D114" t="str">
            <v>Standard Claw</v>
          </cell>
          <cell r="E114">
            <v>5000005</v>
          </cell>
          <cell r="F114">
            <v>39.133858267716541</v>
          </cell>
          <cell r="G114">
            <v>64.645669291338592</v>
          </cell>
          <cell r="H114">
            <v>1.5748031496062993</v>
          </cell>
          <cell r="I114">
            <v>200010704</v>
          </cell>
          <cell r="J114">
            <v>200010804</v>
          </cell>
          <cell r="K114">
            <v>200013804</v>
          </cell>
          <cell r="L114">
            <v>200016304</v>
          </cell>
          <cell r="M114">
            <v>500012569</v>
          </cell>
          <cell r="N114">
            <v>500012669</v>
          </cell>
          <cell r="O114">
            <v>500012569</v>
          </cell>
          <cell r="P114">
            <v>500012669</v>
          </cell>
          <cell r="Q114">
            <v>11.542107859274854</v>
          </cell>
          <cell r="R114">
            <v>10.315402215766035</v>
          </cell>
          <cell r="S114">
            <v>4.8677341333410507</v>
          </cell>
          <cell r="T114">
            <v>4.8677341333410507</v>
          </cell>
          <cell r="U114">
            <v>11.542107859274854</v>
          </cell>
          <cell r="V114">
            <v>10.315402215766035</v>
          </cell>
          <cell r="W114">
            <v>50</v>
          </cell>
          <cell r="X114">
            <v>35.771653543307089</v>
          </cell>
          <cell r="Y114">
            <v>66.510826771653541</v>
          </cell>
          <cell r="Z114">
            <v>35.771653543307089</v>
          </cell>
          <cell r="AA114">
            <v>66.510826771653541</v>
          </cell>
          <cell r="AB114">
            <v>35.771653543307089</v>
          </cell>
          <cell r="AC114">
            <v>66.510826771653541</v>
          </cell>
          <cell r="AD114">
            <v>66.510826771653541</v>
          </cell>
          <cell r="AE114">
            <v>65.145669291338592</v>
          </cell>
          <cell r="AF114">
            <v>23.145669291338589</v>
          </cell>
          <cell r="AG114">
            <v>40.397637795275593</v>
          </cell>
          <cell r="AH114" t="str">
            <v>Y</v>
          </cell>
          <cell r="AI114">
            <v>44.1</v>
          </cell>
          <cell r="AJ114">
            <v>20</v>
          </cell>
          <cell r="AK114" t="str">
            <v>TBD</v>
          </cell>
          <cell r="AL114" t="str">
            <v>Y</v>
          </cell>
          <cell r="AM114">
            <v>200018403</v>
          </cell>
          <cell r="AN114">
            <v>200028403</v>
          </cell>
          <cell r="AO114">
            <v>200018303</v>
          </cell>
          <cell r="AP114">
            <v>200028303</v>
          </cell>
          <cell r="AQ114">
            <v>200018203</v>
          </cell>
          <cell r="AR114">
            <v>200028203</v>
          </cell>
          <cell r="AS114">
            <v>14.555555555555557</v>
          </cell>
          <cell r="AT114">
            <v>19.824988214643927</v>
          </cell>
          <cell r="AU114">
            <v>14.793480064873235</v>
          </cell>
          <cell r="AV114">
            <v>10.103187663745738</v>
          </cell>
          <cell r="AW114">
            <v>41192</v>
          </cell>
        </row>
        <row r="115">
          <cell r="C115" t="str">
            <v>LDK - LDK 210-250 P-20_S</v>
          </cell>
          <cell r="D115" t="str">
            <v>Standard Claw</v>
          </cell>
          <cell r="E115">
            <v>5000005</v>
          </cell>
          <cell r="F115">
            <v>39.133858267716541</v>
          </cell>
          <cell r="G115">
            <v>64.645669291338592</v>
          </cell>
          <cell r="H115">
            <v>1.5748031496062993</v>
          </cell>
          <cell r="I115">
            <v>200010704</v>
          </cell>
          <cell r="J115">
            <v>200010804</v>
          </cell>
          <cell r="K115">
            <v>200013804</v>
          </cell>
          <cell r="L115">
            <v>200016304</v>
          </cell>
          <cell r="M115">
            <v>500012569</v>
          </cell>
          <cell r="N115">
            <v>500012669</v>
          </cell>
          <cell r="O115">
            <v>500012569</v>
          </cell>
          <cell r="P115">
            <v>500012669</v>
          </cell>
          <cell r="Q115">
            <v>11.542107859274854</v>
          </cell>
          <cell r="R115">
            <v>10.315402215766035</v>
          </cell>
          <cell r="S115">
            <v>4.8677341333410507</v>
          </cell>
          <cell r="T115">
            <v>4.8677341333410507</v>
          </cell>
          <cell r="U115">
            <v>11.542107859274854</v>
          </cell>
          <cell r="V115">
            <v>10.315402215766035</v>
          </cell>
          <cell r="W115">
            <v>50</v>
          </cell>
          <cell r="X115">
            <v>35.771653543307089</v>
          </cell>
          <cell r="Y115">
            <v>66.510826771653541</v>
          </cell>
          <cell r="Z115">
            <v>35.771653543307089</v>
          </cell>
          <cell r="AA115">
            <v>66.510826771653541</v>
          </cell>
          <cell r="AB115">
            <v>35.771653543307089</v>
          </cell>
          <cell r="AC115">
            <v>66.510826771653541</v>
          </cell>
          <cell r="AD115">
            <v>66.510826771653541</v>
          </cell>
          <cell r="AE115">
            <v>65.145669291338592</v>
          </cell>
          <cell r="AF115">
            <v>23.145669291338589</v>
          </cell>
          <cell r="AG115">
            <v>40.397637795275593</v>
          </cell>
          <cell r="AH115" t="str">
            <v>Y</v>
          </cell>
          <cell r="AI115">
            <v>44.1</v>
          </cell>
          <cell r="AJ115">
            <v>20</v>
          </cell>
          <cell r="AK115" t="str">
            <v>TBD</v>
          </cell>
          <cell r="AL115" t="str">
            <v>Y</v>
          </cell>
          <cell r="AM115">
            <v>200018403</v>
          </cell>
          <cell r="AN115">
            <v>200028403</v>
          </cell>
          <cell r="AO115">
            <v>200018303</v>
          </cell>
          <cell r="AP115">
            <v>200028303</v>
          </cell>
          <cell r="AQ115">
            <v>200018203</v>
          </cell>
          <cell r="AR115">
            <v>200028203</v>
          </cell>
          <cell r="AS115">
            <v>14.555555555555557</v>
          </cell>
          <cell r="AT115">
            <v>19.824988214643927</v>
          </cell>
          <cell r="AU115">
            <v>14.793480064873235</v>
          </cell>
          <cell r="AV115">
            <v>10.103187663745738</v>
          </cell>
          <cell r="AW115">
            <v>41192</v>
          </cell>
        </row>
        <row r="116">
          <cell r="C116" t="str">
            <v>LDK - LDK 260-290 P-24_S</v>
          </cell>
          <cell r="D116" t="str">
            <v>Standard Claw</v>
          </cell>
          <cell r="E116">
            <v>5000005</v>
          </cell>
          <cell r="F116">
            <v>39.133858267716541</v>
          </cell>
          <cell r="G116">
            <v>77.086614173228355</v>
          </cell>
          <cell r="H116">
            <v>1.9685039370078741</v>
          </cell>
          <cell r="I116">
            <v>200010707</v>
          </cell>
          <cell r="J116">
            <v>200010807</v>
          </cell>
          <cell r="K116">
            <v>200013807</v>
          </cell>
          <cell r="L116">
            <v>200016307</v>
          </cell>
          <cell r="M116">
            <v>500012580</v>
          </cell>
          <cell r="N116">
            <v>500012680</v>
          </cell>
          <cell r="O116">
            <v>500012581</v>
          </cell>
          <cell r="P116">
            <v>500012681</v>
          </cell>
          <cell r="Q116">
            <v>11.805586443566717</v>
          </cell>
          <cell r="R116">
            <v>10.550203911140217</v>
          </cell>
          <cell r="S116">
            <v>4.9775671493683964</v>
          </cell>
          <cell r="T116">
            <v>4.9775671493683964</v>
          </cell>
          <cell r="U116">
            <v>11.805586443566717</v>
          </cell>
          <cell r="V116">
            <v>10.550203911140217</v>
          </cell>
          <cell r="W116">
            <v>50</v>
          </cell>
          <cell r="X116">
            <v>34.984251968503941</v>
          </cell>
          <cell r="Y116">
            <v>78.164370078740163</v>
          </cell>
          <cell r="Z116">
            <v>34.984251968503941</v>
          </cell>
          <cell r="AA116">
            <v>78.164370078740163</v>
          </cell>
          <cell r="AB116">
            <v>34.984251968503941</v>
          </cell>
          <cell r="AC116">
            <v>78.164370078740163</v>
          </cell>
          <cell r="AD116">
            <v>78.164370078740163</v>
          </cell>
          <cell r="AE116">
            <v>77.586614173228355</v>
          </cell>
          <cell r="AF116">
            <v>35.586614173228355</v>
          </cell>
          <cell r="AG116">
            <v>39.610236220472444</v>
          </cell>
          <cell r="AH116" t="str">
            <v>N</v>
          </cell>
          <cell r="AI116">
            <v>67.252499999999998</v>
          </cell>
          <cell r="AJ116">
            <v>30.5</v>
          </cell>
          <cell r="AK116" t="str">
            <v>TBD</v>
          </cell>
          <cell r="AL116" t="str">
            <v>Y</v>
          </cell>
          <cell r="AM116">
            <v>200018407</v>
          </cell>
          <cell r="AN116">
            <v>200028407</v>
          </cell>
          <cell r="AO116">
            <v>200018307</v>
          </cell>
          <cell r="AP116">
            <v>200028307</v>
          </cell>
          <cell r="AQ116">
            <v>200018207</v>
          </cell>
          <cell r="AR116">
            <v>200028207</v>
          </cell>
          <cell r="AS116">
            <v>17.222222222222221</v>
          </cell>
          <cell r="AT116">
            <v>20.236138447258774</v>
          </cell>
          <cell r="AU116">
            <v>15.09447989381157</v>
          </cell>
          <cell r="AV116">
            <v>10.306198632337802</v>
          </cell>
          <cell r="AW116">
            <v>41192</v>
          </cell>
        </row>
        <row r="117">
          <cell r="C117" t="str">
            <v>Lightway - LW 195-220 (26)_S</v>
          </cell>
          <cell r="D117" t="str">
            <v>Standard Claw</v>
          </cell>
          <cell r="E117">
            <v>5000005</v>
          </cell>
          <cell r="F117">
            <v>38.976377952755911</v>
          </cell>
          <cell r="G117">
            <v>58.858267716535437</v>
          </cell>
          <cell r="H117">
            <v>1.9685039370078741</v>
          </cell>
          <cell r="I117">
            <v>200010703</v>
          </cell>
          <cell r="J117">
            <v>200010803</v>
          </cell>
          <cell r="K117">
            <v>200013803</v>
          </cell>
          <cell r="L117">
            <v>200016303</v>
          </cell>
          <cell r="M117">
            <v>500012563</v>
          </cell>
          <cell r="N117">
            <v>500012663</v>
          </cell>
          <cell r="O117">
            <v>500012563</v>
          </cell>
          <cell r="P117">
            <v>500012663</v>
          </cell>
          <cell r="Q117">
            <v>11.646065132777842</v>
          </cell>
          <cell r="R117">
            <v>10.40805030701417</v>
          </cell>
          <cell r="S117">
            <v>4.911079789514722</v>
          </cell>
          <cell r="T117">
            <v>4.911079789514722</v>
          </cell>
          <cell r="U117">
            <v>11.646065132777842</v>
          </cell>
          <cell r="V117">
            <v>10.40805030701417</v>
          </cell>
          <cell r="W117">
            <v>50</v>
          </cell>
          <cell r="X117">
            <v>35.45669291338583</v>
          </cell>
          <cell r="Y117">
            <v>60.56594488188977</v>
          </cell>
          <cell r="Z117">
            <v>35.45669291338583</v>
          </cell>
          <cell r="AA117">
            <v>60.56594488188977</v>
          </cell>
          <cell r="AB117">
            <v>35.45669291338583</v>
          </cell>
          <cell r="AC117">
            <v>60.56594488188977</v>
          </cell>
          <cell r="AD117">
            <v>60.56594488188977</v>
          </cell>
          <cell r="AE117">
            <v>59.358267716535437</v>
          </cell>
          <cell r="AF117">
            <v>17.358267716535437</v>
          </cell>
          <cell r="AG117">
            <v>40.082677165354333</v>
          </cell>
          <cell r="AH117" t="str">
            <v>Y</v>
          </cell>
          <cell r="AI117">
            <v>39.69</v>
          </cell>
          <cell r="AJ117">
            <v>18</v>
          </cell>
          <cell r="AK117" t="str">
            <v>TBD</v>
          </cell>
          <cell r="AL117" t="str">
            <v>Y</v>
          </cell>
          <cell r="AM117">
            <v>200018401</v>
          </cell>
          <cell r="AN117">
            <v>200028401</v>
          </cell>
          <cell r="AO117">
            <v>200018301</v>
          </cell>
          <cell r="AP117">
            <v>200028301</v>
          </cell>
          <cell r="AQ117">
            <v>200018201</v>
          </cell>
          <cell r="AR117">
            <v>200028201</v>
          </cell>
          <cell r="AS117">
            <v>13.22222222222222</v>
          </cell>
          <cell r="AT117">
            <v>19.987381438876472</v>
          </cell>
          <cell r="AU117">
            <v>14.912410483320945</v>
          </cell>
          <cell r="AV117">
            <v>10.183419458492327</v>
          </cell>
          <cell r="AW117">
            <v>40966</v>
          </cell>
        </row>
        <row r="118">
          <cell r="C118" t="str">
            <v>Lightway - LW 220-240 (29)_S</v>
          </cell>
          <cell r="D118" t="str">
            <v>Standard Claw</v>
          </cell>
          <cell r="E118">
            <v>5000005</v>
          </cell>
          <cell r="F118">
            <v>38.976377952755911</v>
          </cell>
          <cell r="G118">
            <v>64.960629921259851</v>
          </cell>
          <cell r="H118">
            <v>1.9685039370078741</v>
          </cell>
          <cell r="I118">
            <v>200010704</v>
          </cell>
          <cell r="J118">
            <v>200010804</v>
          </cell>
          <cell r="K118">
            <v>200013804</v>
          </cell>
          <cell r="L118">
            <v>200016304</v>
          </cell>
          <cell r="M118">
            <v>500012569</v>
          </cell>
          <cell r="N118">
            <v>500012669</v>
          </cell>
          <cell r="O118">
            <v>500012569</v>
          </cell>
          <cell r="P118">
            <v>500012669</v>
          </cell>
          <cell r="Q118">
            <v>11.646065132777842</v>
          </cell>
          <cell r="R118">
            <v>10.40805030701417</v>
          </cell>
          <cell r="S118">
            <v>4.911079789514722</v>
          </cell>
          <cell r="T118">
            <v>4.911079789514722</v>
          </cell>
          <cell r="U118">
            <v>11.646065132777842</v>
          </cell>
          <cell r="V118">
            <v>10.40805030701417</v>
          </cell>
          <cell r="W118">
            <v>50</v>
          </cell>
          <cell r="X118">
            <v>35.45669291338583</v>
          </cell>
          <cell r="Y118">
            <v>66.668307086614178</v>
          </cell>
          <cell r="Z118">
            <v>35.45669291338583</v>
          </cell>
          <cell r="AA118">
            <v>66.668307086614178</v>
          </cell>
          <cell r="AB118">
            <v>35.45669291338583</v>
          </cell>
          <cell r="AC118">
            <v>66.668307086614178</v>
          </cell>
          <cell r="AD118">
            <v>66.668307086614178</v>
          </cell>
          <cell r="AE118">
            <v>65.460629921259851</v>
          </cell>
          <cell r="AF118">
            <v>23.460629921259848</v>
          </cell>
          <cell r="AG118">
            <v>40.082677165354333</v>
          </cell>
          <cell r="AH118" t="str">
            <v>Y</v>
          </cell>
          <cell r="AI118">
            <v>46.305</v>
          </cell>
          <cell r="AJ118">
            <v>21</v>
          </cell>
          <cell r="AK118" t="str">
            <v>TBD</v>
          </cell>
          <cell r="AL118" t="str">
            <v>Y</v>
          </cell>
          <cell r="AM118">
            <v>200018403</v>
          </cell>
          <cell r="AN118">
            <v>200028403</v>
          </cell>
          <cell r="AO118">
            <v>200018303</v>
          </cell>
          <cell r="AP118">
            <v>200028303</v>
          </cell>
          <cell r="AQ118">
            <v>200018203</v>
          </cell>
          <cell r="AR118">
            <v>200028203</v>
          </cell>
          <cell r="AS118">
            <v>14.555555555555557</v>
          </cell>
          <cell r="AT118">
            <v>19.987381438876472</v>
          </cell>
          <cell r="AU118">
            <v>14.912410483320945</v>
          </cell>
          <cell r="AV118">
            <v>10.183419458492327</v>
          </cell>
          <cell r="AW118">
            <v>40966</v>
          </cell>
        </row>
        <row r="119">
          <cell r="C119" t="str">
            <v>Lightway - LW 260-285 (35)_S</v>
          </cell>
          <cell r="D119" t="str">
            <v>Standard Claw</v>
          </cell>
          <cell r="E119">
            <v>5000005</v>
          </cell>
          <cell r="F119">
            <v>38.976377952755911</v>
          </cell>
          <cell r="G119">
            <v>77.559055118110237</v>
          </cell>
          <cell r="H119">
            <v>1.9685039370078741</v>
          </cell>
          <cell r="I119">
            <v>200010708</v>
          </cell>
          <cell r="J119">
            <v>200010808</v>
          </cell>
          <cell r="K119">
            <v>200013808</v>
          </cell>
          <cell r="L119">
            <v>200016308</v>
          </cell>
          <cell r="M119">
            <v>500012581</v>
          </cell>
          <cell r="N119">
            <v>500012681</v>
          </cell>
          <cell r="O119">
            <v>500012582</v>
          </cell>
          <cell r="P119">
            <v>500012682</v>
          </cell>
          <cell r="Q119">
            <v>11.646065132777842</v>
          </cell>
          <cell r="R119">
            <v>10.40805030701417</v>
          </cell>
          <cell r="S119">
            <v>4.911079789514722</v>
          </cell>
          <cell r="T119">
            <v>4.911079789514722</v>
          </cell>
          <cell r="U119">
            <v>11.646065132777842</v>
          </cell>
          <cell r="V119">
            <v>10.40805030701417</v>
          </cell>
          <cell r="W119">
            <v>40</v>
          </cell>
          <cell r="X119">
            <v>35.45669291338583</v>
          </cell>
          <cell r="Y119">
            <v>79.266732283464577</v>
          </cell>
          <cell r="Z119">
            <v>35.45669291338583</v>
          </cell>
          <cell r="AA119">
            <v>79.266732283464577</v>
          </cell>
          <cell r="AB119">
            <v>35.45669291338583</v>
          </cell>
          <cell r="AC119">
            <v>79.266732283464577</v>
          </cell>
          <cell r="AD119">
            <v>79.266732283464577</v>
          </cell>
          <cell r="AE119">
            <v>78.059055118110237</v>
          </cell>
          <cell r="AF119">
            <v>36.059055118110244</v>
          </cell>
          <cell r="AG119">
            <v>40.082677165354333</v>
          </cell>
          <cell r="AH119" t="str">
            <v>N</v>
          </cell>
          <cell r="AI119">
            <v>57.33</v>
          </cell>
          <cell r="AJ119">
            <v>26</v>
          </cell>
          <cell r="AK119" t="str">
            <v>TBD</v>
          </cell>
          <cell r="AL119" t="str">
            <v>Y</v>
          </cell>
          <cell r="AM119">
            <v>200018407</v>
          </cell>
          <cell r="AN119">
            <v>200028407</v>
          </cell>
          <cell r="AO119">
            <v>200018307</v>
          </cell>
          <cell r="AP119">
            <v>200028307</v>
          </cell>
          <cell r="AQ119">
            <v>200018207</v>
          </cell>
          <cell r="AR119">
            <v>200028207</v>
          </cell>
          <cell r="AS119">
            <v>17.222222222222221</v>
          </cell>
          <cell r="AT119">
            <v>19.987381438876472</v>
          </cell>
          <cell r="AU119">
            <v>14.912410483320945</v>
          </cell>
          <cell r="AV119">
            <v>10.183419458492327</v>
          </cell>
          <cell r="AW119">
            <v>41026</v>
          </cell>
        </row>
        <row r="120">
          <cell r="C120" t="str">
            <v>LG - LG-240-230-M1C_M</v>
          </cell>
          <cell r="D120" t="str">
            <v>Short Clamp Multi Claw</v>
          </cell>
          <cell r="E120">
            <v>500000701</v>
          </cell>
          <cell r="F120">
            <v>38.818897637795281</v>
          </cell>
          <cell r="G120">
            <v>64.251968503937007</v>
          </cell>
          <cell r="H120">
            <v>1.6535433070866143</v>
          </cell>
          <cell r="I120">
            <v>200010704</v>
          </cell>
          <cell r="J120">
            <v>200010804</v>
          </cell>
          <cell r="K120">
            <v>200013804</v>
          </cell>
          <cell r="L120">
            <v>200016304</v>
          </cell>
          <cell r="M120">
            <v>500012567</v>
          </cell>
          <cell r="N120">
            <v>500012667</v>
          </cell>
          <cell r="O120">
            <v>500012568</v>
          </cell>
          <cell r="P120">
            <v>500012668</v>
          </cell>
          <cell r="Q120">
            <v>11.056931675457074</v>
          </cell>
          <cell r="R120">
            <v>9.882914545766873</v>
          </cell>
          <cell r="S120">
            <v>4.6652632533993668</v>
          </cell>
          <cell r="T120">
            <v>4.6652632533993668</v>
          </cell>
          <cell r="U120">
            <v>11.056931675457074</v>
          </cell>
          <cell r="V120">
            <v>9.882914545766873</v>
          </cell>
          <cell r="W120">
            <v>50</v>
          </cell>
          <cell r="X120">
            <v>37.320472440944883</v>
          </cell>
          <cell r="Y120">
            <v>64.827362204724409</v>
          </cell>
          <cell r="Z120">
            <v>37.320472440944883</v>
          </cell>
          <cell r="AA120">
            <v>64.827362204724409</v>
          </cell>
          <cell r="AB120">
            <v>37.320472440944883</v>
          </cell>
          <cell r="AC120">
            <v>64.827362204724409</v>
          </cell>
          <cell r="AD120">
            <v>64.827362204724409</v>
          </cell>
          <cell r="AE120">
            <v>64.751968503937007</v>
          </cell>
          <cell r="AF120">
            <v>22.751968503937011</v>
          </cell>
          <cell r="AG120">
            <v>40.082677165354333</v>
          </cell>
          <cell r="AH120" t="str">
            <v>Y</v>
          </cell>
          <cell r="AI120">
            <v>41.740650000000002</v>
          </cell>
          <cell r="AJ120">
            <v>18.93</v>
          </cell>
          <cell r="AK120" t="str">
            <v>TBD</v>
          </cell>
          <cell r="AL120" t="str">
            <v>Y</v>
          </cell>
          <cell r="AM120">
            <v>200018403</v>
          </cell>
          <cell r="AN120">
            <v>200028403</v>
          </cell>
          <cell r="AO120">
            <v>200018303</v>
          </cell>
          <cell r="AP120">
            <v>200028303</v>
          </cell>
          <cell r="AQ120">
            <v>200018203</v>
          </cell>
          <cell r="AR120">
            <v>200028203</v>
          </cell>
          <cell r="AS120">
            <v>14.555555555555557</v>
          </cell>
          <cell r="AT120">
            <v>19.987381438876472</v>
          </cell>
          <cell r="AU120">
            <v>14.912410483320945</v>
          </cell>
          <cell r="AV120">
            <v>10.183419458492327</v>
          </cell>
          <cell r="AW120">
            <v>40886</v>
          </cell>
        </row>
        <row r="121">
          <cell r="C121" t="str">
            <v>LG - LG-230-220-P1C_M</v>
          </cell>
          <cell r="D121" t="str">
            <v>Short Clamp Multi Claw</v>
          </cell>
          <cell r="E121">
            <v>500000701</v>
          </cell>
          <cell r="F121">
            <v>38.818897637795281</v>
          </cell>
          <cell r="G121">
            <v>64.251968503937007</v>
          </cell>
          <cell r="H121">
            <v>1.6535433070866143</v>
          </cell>
          <cell r="I121">
            <v>200010704</v>
          </cell>
          <cell r="J121">
            <v>200010804</v>
          </cell>
          <cell r="K121">
            <v>200013804</v>
          </cell>
          <cell r="L121">
            <v>200016304</v>
          </cell>
          <cell r="M121">
            <v>500012567</v>
          </cell>
          <cell r="N121">
            <v>500012667</v>
          </cell>
          <cell r="O121">
            <v>500012568</v>
          </cell>
          <cell r="P121">
            <v>500012668</v>
          </cell>
          <cell r="Q121">
            <v>11.056931675457074</v>
          </cell>
          <cell r="R121">
            <v>9.882914545766873</v>
          </cell>
          <cell r="S121">
            <v>4.6652632533993668</v>
          </cell>
          <cell r="T121">
            <v>4.6652632533993668</v>
          </cell>
          <cell r="U121">
            <v>11.056931675457074</v>
          </cell>
          <cell r="V121">
            <v>9.882914545766873</v>
          </cell>
          <cell r="W121">
            <v>50</v>
          </cell>
          <cell r="X121">
            <v>37.320472440944883</v>
          </cell>
          <cell r="Y121">
            <v>64.827362204724409</v>
          </cell>
          <cell r="Z121">
            <v>37.320472440944883</v>
          </cell>
          <cell r="AA121">
            <v>64.827362204724409</v>
          </cell>
          <cell r="AB121">
            <v>37.320472440944883</v>
          </cell>
          <cell r="AC121">
            <v>64.827362204724409</v>
          </cell>
          <cell r="AD121">
            <v>64.827362204724409</v>
          </cell>
          <cell r="AE121">
            <v>64.751968503937007</v>
          </cell>
          <cell r="AF121">
            <v>22.751968503937011</v>
          </cell>
          <cell r="AG121">
            <v>40.082677165354333</v>
          </cell>
          <cell r="AH121" t="str">
            <v>Y</v>
          </cell>
          <cell r="AI121">
            <v>41.740650000000002</v>
          </cell>
          <cell r="AJ121">
            <v>18.93</v>
          </cell>
          <cell r="AK121" t="str">
            <v>TBD</v>
          </cell>
          <cell r="AL121" t="str">
            <v>Y</v>
          </cell>
          <cell r="AM121">
            <v>200018403</v>
          </cell>
          <cell r="AN121">
            <v>200028403</v>
          </cell>
          <cell r="AO121">
            <v>200018303</v>
          </cell>
          <cell r="AP121">
            <v>200028303</v>
          </cell>
          <cell r="AQ121">
            <v>200018203</v>
          </cell>
          <cell r="AR121">
            <v>200028203</v>
          </cell>
          <cell r="AS121">
            <v>14.555555555555557</v>
          </cell>
          <cell r="AT121">
            <v>19.987381438876472</v>
          </cell>
          <cell r="AU121">
            <v>14.912410483320945</v>
          </cell>
          <cell r="AV121">
            <v>10.183419458492327</v>
          </cell>
          <cell r="AW121">
            <v>40886</v>
          </cell>
        </row>
        <row r="122">
          <cell r="C122" t="str">
            <v>LG - LG-230-265 S1C-R1C_M</v>
          </cell>
          <cell r="D122" t="str">
            <v>Short Clamp Multi Claw</v>
          </cell>
          <cell r="E122">
            <v>500000701</v>
          </cell>
          <cell r="F122">
            <v>38.818897637795281</v>
          </cell>
          <cell r="G122">
            <v>64.251968503937007</v>
          </cell>
          <cell r="H122">
            <v>1.6535433070866143</v>
          </cell>
          <cell r="I122">
            <v>200010704</v>
          </cell>
          <cell r="J122">
            <v>200010804</v>
          </cell>
          <cell r="K122">
            <v>200013804</v>
          </cell>
          <cell r="L122">
            <v>200016304</v>
          </cell>
          <cell r="M122">
            <v>500012567</v>
          </cell>
          <cell r="N122">
            <v>500012667</v>
          </cell>
          <cell r="O122">
            <v>500012568</v>
          </cell>
          <cell r="P122">
            <v>500012668</v>
          </cell>
          <cell r="Q122">
            <v>11.056931675457074</v>
          </cell>
          <cell r="R122">
            <v>9.882914545766873</v>
          </cell>
          <cell r="S122">
            <v>4.6652632533993668</v>
          </cell>
          <cell r="T122">
            <v>4.6652632533993668</v>
          </cell>
          <cell r="U122">
            <v>11.056931675457074</v>
          </cell>
          <cell r="V122">
            <v>9.882914545766873</v>
          </cell>
          <cell r="W122">
            <v>50</v>
          </cell>
          <cell r="X122">
            <v>37.320472440944883</v>
          </cell>
          <cell r="Y122">
            <v>64.827362204724409</v>
          </cell>
          <cell r="Z122">
            <v>37.320472440944883</v>
          </cell>
          <cell r="AA122">
            <v>64.827362204724409</v>
          </cell>
          <cell r="AB122">
            <v>37.320472440944883</v>
          </cell>
          <cell r="AC122">
            <v>64.827362204724409</v>
          </cell>
          <cell r="AD122">
            <v>64.827362204724409</v>
          </cell>
          <cell r="AE122">
            <v>64.751968503937007</v>
          </cell>
          <cell r="AF122">
            <v>22.751968503937011</v>
          </cell>
          <cell r="AG122">
            <v>40.082677165354333</v>
          </cell>
          <cell r="AH122" t="str">
            <v>Y</v>
          </cell>
          <cell r="AI122">
            <v>41.740650000000002</v>
          </cell>
          <cell r="AJ122">
            <v>18.93</v>
          </cell>
          <cell r="AK122" t="str">
            <v>TBD</v>
          </cell>
          <cell r="AL122" t="str">
            <v>Y</v>
          </cell>
          <cell r="AM122">
            <v>200018403</v>
          </cell>
          <cell r="AN122">
            <v>200028403</v>
          </cell>
          <cell r="AO122">
            <v>200018303</v>
          </cell>
          <cell r="AP122">
            <v>200028303</v>
          </cell>
          <cell r="AQ122">
            <v>200018203</v>
          </cell>
          <cell r="AR122">
            <v>200028203</v>
          </cell>
          <cell r="AS122">
            <v>14.555555555555557</v>
          </cell>
          <cell r="AT122">
            <v>19.987381438876472</v>
          </cell>
          <cell r="AU122">
            <v>14.912410483320945</v>
          </cell>
          <cell r="AV122">
            <v>10.183419458492327</v>
          </cell>
          <cell r="AW122">
            <v>40886</v>
          </cell>
        </row>
        <row r="123">
          <cell r="C123" t="str">
            <v>Lumos - LS245-60P_S</v>
          </cell>
          <cell r="D123" t="str">
            <v>Standard Claw</v>
          </cell>
          <cell r="E123">
            <v>5000005</v>
          </cell>
          <cell r="F123">
            <v>39.055118110236222</v>
          </cell>
          <cell r="G123">
            <v>64.960629921259851</v>
          </cell>
          <cell r="H123">
            <v>1.9685039370078741</v>
          </cell>
          <cell r="I123">
            <v>200010704</v>
          </cell>
          <cell r="J123">
            <v>200010804</v>
          </cell>
          <cell r="K123">
            <v>200013804</v>
          </cell>
          <cell r="L123">
            <v>200016304</v>
          </cell>
          <cell r="M123">
            <v>500012569</v>
          </cell>
          <cell r="N123">
            <v>500012669</v>
          </cell>
          <cell r="O123">
            <v>500012569</v>
          </cell>
          <cell r="P123">
            <v>500012669</v>
          </cell>
          <cell r="Q123">
            <v>11.698754267040043</v>
          </cell>
          <cell r="R123">
            <v>10.455004839041191</v>
          </cell>
          <cell r="S123">
            <v>4.9330437584696041</v>
          </cell>
          <cell r="T123">
            <v>4.9330437584696041</v>
          </cell>
          <cell r="U123">
            <v>11.698754267040043</v>
          </cell>
          <cell r="V123">
            <v>10.455004839041191</v>
          </cell>
          <cell r="W123">
            <v>50</v>
          </cell>
          <cell r="X123">
            <v>35.2992125984252</v>
          </cell>
          <cell r="Y123">
            <v>66.43208661417323</v>
          </cell>
          <cell r="Z123">
            <v>35.2992125984252</v>
          </cell>
          <cell r="AA123">
            <v>66.43208661417323</v>
          </cell>
          <cell r="AB123">
            <v>35.2992125984252</v>
          </cell>
          <cell r="AC123">
            <v>66.43208661417323</v>
          </cell>
          <cell r="AD123">
            <v>66.43208661417323</v>
          </cell>
          <cell r="AE123">
            <v>65.460629921259851</v>
          </cell>
          <cell r="AF123">
            <v>23.460629921259848</v>
          </cell>
          <cell r="AG123">
            <v>39.925196850393704</v>
          </cell>
          <cell r="AH123" t="str">
            <v>N</v>
          </cell>
          <cell r="AI123">
            <v>43.659000000000006</v>
          </cell>
          <cell r="AJ123">
            <v>19.8</v>
          </cell>
          <cell r="AK123" t="str">
            <v>TBD</v>
          </cell>
          <cell r="AL123" t="str">
            <v>Y</v>
          </cell>
          <cell r="AM123">
            <v>200018403</v>
          </cell>
          <cell r="AN123">
            <v>200028403</v>
          </cell>
          <cell r="AO123">
            <v>200018303</v>
          </cell>
          <cell r="AP123">
            <v>200028303</v>
          </cell>
          <cell r="AQ123">
            <v>200018203</v>
          </cell>
          <cell r="AR123">
            <v>200028203</v>
          </cell>
          <cell r="AS123">
            <v>14.555555555555557</v>
          </cell>
          <cell r="AT123">
            <v>20.069602586497279</v>
          </cell>
          <cell r="AU123">
            <v>14.97260437224279</v>
          </cell>
          <cell r="AV123">
            <v>10.224017732239455</v>
          </cell>
          <cell r="AW123">
            <v>40714</v>
          </cell>
        </row>
        <row r="124">
          <cell r="C124" t="str">
            <v>Lumos - LS250-60M_S</v>
          </cell>
          <cell r="D124" t="str">
            <v>Standard Claw</v>
          </cell>
          <cell r="E124">
            <v>5000005</v>
          </cell>
          <cell r="F124">
            <v>39.055118110236222</v>
          </cell>
          <cell r="G124">
            <v>64.960629921259851</v>
          </cell>
          <cell r="H124">
            <v>1.7716535433070868</v>
          </cell>
          <cell r="I124">
            <v>200010704</v>
          </cell>
          <cell r="J124">
            <v>200010804</v>
          </cell>
          <cell r="K124">
            <v>200013804</v>
          </cell>
          <cell r="L124">
            <v>200016304</v>
          </cell>
          <cell r="M124">
            <v>500012568</v>
          </cell>
          <cell r="N124">
            <v>500012668</v>
          </cell>
          <cell r="O124">
            <v>500012568</v>
          </cell>
          <cell r="P124">
            <v>500012668</v>
          </cell>
          <cell r="Q124">
            <v>11.969571956649487</v>
          </cell>
          <cell r="R124">
            <v>10.696317919002421</v>
          </cell>
          <cell r="S124">
            <v>5.0458818336045681</v>
          </cell>
          <cell r="T124">
            <v>5.0458818336045681</v>
          </cell>
          <cell r="U124">
            <v>11.969571956649487</v>
          </cell>
          <cell r="V124">
            <v>10.696317919002421</v>
          </cell>
          <cell r="W124">
            <v>50</v>
          </cell>
          <cell r="X124">
            <v>34.511811023622052</v>
          </cell>
          <cell r="Y124">
            <v>65.644685039370088</v>
          </cell>
          <cell r="Z124">
            <v>34.511811023622052</v>
          </cell>
          <cell r="AA124">
            <v>65.644685039370088</v>
          </cell>
          <cell r="AB124">
            <v>34.511811023622052</v>
          </cell>
          <cell r="AC124">
            <v>65.644685039370088</v>
          </cell>
          <cell r="AD124">
            <v>65.644685039370088</v>
          </cell>
          <cell r="AE124">
            <v>65.460629921259851</v>
          </cell>
          <cell r="AF124">
            <v>23.460629921259848</v>
          </cell>
          <cell r="AG124">
            <v>39.137795275590555</v>
          </cell>
          <cell r="AH124" t="str">
            <v>N</v>
          </cell>
          <cell r="AI124">
            <v>41.895000000000003</v>
          </cell>
          <cell r="AJ124">
            <v>19</v>
          </cell>
          <cell r="AK124" t="str">
            <v>TBD</v>
          </cell>
          <cell r="AL124" t="str">
            <v>Y</v>
          </cell>
          <cell r="AM124">
            <v>200018403</v>
          </cell>
          <cell r="AN124">
            <v>200028403</v>
          </cell>
          <cell r="AO124">
            <v>200018303</v>
          </cell>
          <cell r="AP124">
            <v>200028303</v>
          </cell>
          <cell r="AQ124">
            <v>200018203</v>
          </cell>
          <cell r="AR124">
            <v>200028203</v>
          </cell>
          <cell r="AS124">
            <v>14.555555555555557</v>
          </cell>
          <cell r="AT124">
            <v>20.491314451863133</v>
          </cell>
          <cell r="AU124">
            <v>15.281106807722583</v>
          </cell>
          <cell r="AV124">
            <v>10.431991609637258</v>
          </cell>
          <cell r="AW124">
            <v>40714</v>
          </cell>
        </row>
        <row r="125">
          <cell r="C125" t="str">
            <v>Lumos - LS300-72M_S</v>
          </cell>
          <cell r="D125" t="str">
            <v>Standard Claw</v>
          </cell>
          <cell r="E125">
            <v>5000005</v>
          </cell>
          <cell r="F125">
            <v>39.055118110236222</v>
          </cell>
          <cell r="G125">
            <v>77.00787401574803</v>
          </cell>
          <cell r="H125">
            <v>1.9685039370078741</v>
          </cell>
          <cell r="I125">
            <v>200010707</v>
          </cell>
          <cell r="J125">
            <v>200010807</v>
          </cell>
          <cell r="K125">
            <v>200013807</v>
          </cell>
          <cell r="L125">
            <v>200016307</v>
          </cell>
          <cell r="M125">
            <v>500012579</v>
          </cell>
          <cell r="N125">
            <v>500012679</v>
          </cell>
          <cell r="O125">
            <v>500012580</v>
          </cell>
          <cell r="P125">
            <v>500012680</v>
          </cell>
          <cell r="Q125">
            <v>12.109774568126404</v>
          </cell>
          <cell r="R125">
            <v>10.821226454572365</v>
          </cell>
          <cell r="S125">
            <v>5.104261661709554</v>
          </cell>
          <cell r="T125">
            <v>5.104261661709554</v>
          </cell>
          <cell r="U125">
            <v>12.109774568126404</v>
          </cell>
          <cell r="V125">
            <v>10.821226454572365</v>
          </cell>
          <cell r="W125">
            <v>50</v>
          </cell>
          <cell r="X125">
            <v>34.118110236220474</v>
          </cell>
          <cell r="Y125">
            <v>77.298228346456696</v>
          </cell>
          <cell r="Z125">
            <v>34.118110236220474</v>
          </cell>
          <cell r="AA125">
            <v>77.298228346456696</v>
          </cell>
          <cell r="AB125">
            <v>34.118110236220474</v>
          </cell>
          <cell r="AC125">
            <v>77.298228346456696</v>
          </cell>
          <cell r="AD125">
            <v>77.298228346456696</v>
          </cell>
          <cell r="AE125">
            <v>77.507874015748044</v>
          </cell>
          <cell r="AF125">
            <v>35.507874015748037</v>
          </cell>
          <cell r="AG125">
            <v>38.744094488188978</v>
          </cell>
          <cell r="AH125" t="str">
            <v>N</v>
          </cell>
          <cell r="AI125">
            <v>59.535000000000004</v>
          </cell>
          <cell r="AJ125">
            <v>27</v>
          </cell>
          <cell r="AK125" t="str">
            <v>TBD</v>
          </cell>
          <cell r="AL125" t="str">
            <v>Y</v>
          </cell>
          <cell r="AM125">
            <v>200018407</v>
          </cell>
          <cell r="AN125">
            <v>200028407</v>
          </cell>
          <cell r="AO125">
            <v>200018307</v>
          </cell>
          <cell r="AP125">
            <v>200028307</v>
          </cell>
          <cell r="AQ125">
            <v>200018207</v>
          </cell>
          <cell r="AR125">
            <v>200028207</v>
          </cell>
          <cell r="AS125">
            <v>17.222222222222221</v>
          </cell>
          <cell r="AT125">
            <v>20.709050271134394</v>
          </cell>
          <cell r="AU125">
            <v>15.440237057435686</v>
          </cell>
          <cell r="AV125">
            <v>10.539202660509616</v>
          </cell>
          <cell r="AW125">
            <v>40714</v>
          </cell>
        </row>
        <row r="126">
          <cell r="C126" t="str">
            <v>Mage - PowerTec 180-190 - 5 MI- MH_S</v>
          </cell>
          <cell r="D126" t="str">
            <v>Standard Claw</v>
          </cell>
          <cell r="E126">
            <v>5000005</v>
          </cell>
          <cell r="F126">
            <v>31.811023622047244</v>
          </cell>
          <cell r="G126">
            <v>62.204724409448822</v>
          </cell>
          <cell r="H126">
            <v>1.7716535433070868</v>
          </cell>
          <cell r="I126">
            <v>200010704</v>
          </cell>
          <cell r="J126">
            <v>200010804</v>
          </cell>
          <cell r="K126">
            <v>200013804</v>
          </cell>
          <cell r="L126">
            <v>200016304</v>
          </cell>
          <cell r="M126">
            <v>500012566</v>
          </cell>
          <cell r="N126">
            <v>500012666</v>
          </cell>
          <cell r="O126">
            <v>500012566</v>
          </cell>
          <cell r="P126">
            <v>500012666</v>
          </cell>
          <cell r="Q126">
            <v>14.780819563929326</v>
          </cell>
          <cell r="R126">
            <v>13.198114568872393</v>
          </cell>
          <cell r="S126">
            <v>6.211295317501194</v>
          </cell>
          <cell r="T126">
            <v>6.211295317501194</v>
          </cell>
          <cell r="U126">
            <v>14.780819563929326</v>
          </cell>
          <cell r="V126">
            <v>13.198114568872393</v>
          </cell>
          <cell r="W126">
            <v>50</v>
          </cell>
          <cell r="X126">
            <v>28.055118110236222</v>
          </cell>
          <cell r="Y126">
            <v>63.676181102362207</v>
          </cell>
          <cell r="Z126">
            <v>28.055118110236222</v>
          </cell>
          <cell r="AA126">
            <v>63.676181102362207</v>
          </cell>
          <cell r="AB126">
            <v>28.055118110236222</v>
          </cell>
          <cell r="AC126">
            <v>63.676181102362207</v>
          </cell>
          <cell r="AD126">
            <v>63.676181102362207</v>
          </cell>
          <cell r="AE126">
            <v>62.704724409448822</v>
          </cell>
          <cell r="AF126">
            <v>20.704724409448822</v>
          </cell>
          <cell r="AG126">
            <v>32.681102362204726</v>
          </cell>
          <cell r="AH126" t="str">
            <v>N</v>
          </cell>
          <cell r="AI126">
            <v>34.177500000000002</v>
          </cell>
          <cell r="AJ126">
            <v>15.5</v>
          </cell>
          <cell r="AK126" t="str">
            <v>TBD</v>
          </cell>
          <cell r="AL126" t="str">
            <v>Y</v>
          </cell>
          <cell r="AM126">
            <v>200018402</v>
          </cell>
          <cell r="AN126">
            <v>200028402</v>
          </cell>
          <cell r="AO126">
            <v>200018302</v>
          </cell>
          <cell r="AP126">
            <v>200028302</v>
          </cell>
          <cell r="AQ126">
            <v>200018202</v>
          </cell>
          <cell r="AR126">
            <v>200028202</v>
          </cell>
          <cell r="AS126">
            <v>13.888888888888888</v>
          </cell>
          <cell r="AT126">
            <v>24.785769092963804</v>
          </cell>
          <cell r="AU126">
            <v>18.39852585667062</v>
          </cell>
          <cell r="AV126">
            <v>12.523577389800897</v>
          </cell>
          <cell r="AW126">
            <v>40638</v>
          </cell>
        </row>
        <row r="127">
          <cell r="C127" t="str">
            <v>Mage - 220-230 6PI_S</v>
          </cell>
          <cell r="D127" t="str">
            <v>Standard Claw</v>
          </cell>
          <cell r="E127">
            <v>5000005</v>
          </cell>
          <cell r="F127">
            <v>39.055118110236222</v>
          </cell>
          <cell r="G127">
            <v>64.960629921259851</v>
          </cell>
          <cell r="H127">
            <v>1.9685039370078741</v>
          </cell>
          <cell r="I127">
            <v>200010704</v>
          </cell>
          <cell r="J127">
            <v>200010804</v>
          </cell>
          <cell r="K127">
            <v>200013804</v>
          </cell>
          <cell r="L127">
            <v>200016304</v>
          </cell>
          <cell r="M127">
            <v>500012569</v>
          </cell>
          <cell r="N127">
            <v>500012669</v>
          </cell>
          <cell r="O127">
            <v>500012569</v>
          </cell>
          <cell r="P127">
            <v>500012669</v>
          </cell>
          <cell r="Q127">
            <v>11.698754267040043</v>
          </cell>
          <cell r="R127">
            <v>10.455004839041191</v>
          </cell>
          <cell r="S127">
            <v>4.9330437584696041</v>
          </cell>
          <cell r="T127">
            <v>4.9330437584696041</v>
          </cell>
          <cell r="U127">
            <v>11.698754267040043</v>
          </cell>
          <cell r="V127">
            <v>10.455004839041191</v>
          </cell>
          <cell r="W127">
            <v>50</v>
          </cell>
          <cell r="X127">
            <v>35.2992125984252</v>
          </cell>
          <cell r="Y127">
            <v>66.43208661417323</v>
          </cell>
          <cell r="Z127">
            <v>35.2992125984252</v>
          </cell>
          <cell r="AA127">
            <v>66.43208661417323</v>
          </cell>
          <cell r="AB127">
            <v>35.2992125984252</v>
          </cell>
          <cell r="AC127">
            <v>66.43208661417323</v>
          </cell>
          <cell r="AD127">
            <v>66.43208661417323</v>
          </cell>
          <cell r="AE127">
            <v>65.460629921259851</v>
          </cell>
          <cell r="AF127">
            <v>23.460629921259848</v>
          </cell>
          <cell r="AG127">
            <v>39.925196850393704</v>
          </cell>
          <cell r="AH127" t="str">
            <v>N</v>
          </cell>
          <cell r="AI127">
            <v>44.011800000000001</v>
          </cell>
          <cell r="AJ127">
            <v>19.96</v>
          </cell>
          <cell r="AK127" t="str">
            <v>TBD</v>
          </cell>
          <cell r="AL127" t="str">
            <v>Y</v>
          </cell>
          <cell r="AM127">
            <v>200018403</v>
          </cell>
          <cell r="AN127">
            <v>200028403</v>
          </cell>
          <cell r="AO127">
            <v>200018303</v>
          </cell>
          <cell r="AP127">
            <v>200028303</v>
          </cell>
          <cell r="AQ127">
            <v>200018203</v>
          </cell>
          <cell r="AR127">
            <v>200028203</v>
          </cell>
          <cell r="AS127">
            <v>14.555555555555557</v>
          </cell>
          <cell r="AT127">
            <v>20.069602586497279</v>
          </cell>
          <cell r="AU127">
            <v>14.97260437224279</v>
          </cell>
          <cell r="AV127">
            <v>10.224017732239455</v>
          </cell>
          <cell r="AW127">
            <v>40638</v>
          </cell>
        </row>
        <row r="128">
          <cell r="C128" t="str">
            <v>Mage - PowerTec 220-230 6PJ_S</v>
          </cell>
          <cell r="D128" t="str">
            <v>Standard Claw</v>
          </cell>
          <cell r="E128">
            <v>5000005</v>
          </cell>
          <cell r="F128">
            <v>39.055118110236222</v>
          </cell>
          <cell r="G128">
            <v>65.157480314960637</v>
          </cell>
          <cell r="H128">
            <v>1.7716535433070868</v>
          </cell>
          <cell r="I128">
            <v>200010704</v>
          </cell>
          <cell r="J128">
            <v>200010804</v>
          </cell>
          <cell r="K128">
            <v>200013804</v>
          </cell>
          <cell r="L128">
            <v>200016304</v>
          </cell>
          <cell r="M128">
            <v>500012569</v>
          </cell>
          <cell r="N128">
            <v>500012669</v>
          </cell>
          <cell r="O128">
            <v>500012569</v>
          </cell>
          <cell r="P128">
            <v>500012669</v>
          </cell>
          <cell r="Q128">
            <v>11.698754267040043</v>
          </cell>
          <cell r="R128">
            <v>10.455004839041191</v>
          </cell>
          <cell r="S128">
            <v>4.9330437584696041</v>
          </cell>
          <cell r="T128">
            <v>4.9330437584696041</v>
          </cell>
          <cell r="U128">
            <v>11.698754267040043</v>
          </cell>
          <cell r="V128">
            <v>10.455004839041191</v>
          </cell>
          <cell r="W128">
            <v>50</v>
          </cell>
          <cell r="X128">
            <v>35.2992125984252</v>
          </cell>
          <cell r="Y128">
            <v>66.628937007874015</v>
          </cell>
          <cell r="Z128">
            <v>35.2992125984252</v>
          </cell>
          <cell r="AA128">
            <v>66.628937007874015</v>
          </cell>
          <cell r="AB128">
            <v>35.2992125984252</v>
          </cell>
          <cell r="AC128">
            <v>66.628937007874015</v>
          </cell>
          <cell r="AD128">
            <v>66.628937007874015</v>
          </cell>
          <cell r="AE128">
            <v>65.657480314960637</v>
          </cell>
          <cell r="AF128">
            <v>23.657480314960633</v>
          </cell>
          <cell r="AG128">
            <v>39.925196850393704</v>
          </cell>
          <cell r="AH128" t="str">
            <v>N</v>
          </cell>
          <cell r="AI128">
            <v>44.011800000000001</v>
          </cell>
          <cell r="AJ128">
            <v>19.96</v>
          </cell>
          <cell r="AK128" t="str">
            <v>TBD</v>
          </cell>
          <cell r="AL128" t="str">
            <v>Y</v>
          </cell>
          <cell r="AM128">
            <v>200018403</v>
          </cell>
          <cell r="AN128">
            <v>200028403</v>
          </cell>
          <cell r="AO128">
            <v>200018303</v>
          </cell>
          <cell r="AP128">
            <v>200028303</v>
          </cell>
          <cell r="AQ128">
            <v>200018203</v>
          </cell>
          <cell r="AR128">
            <v>200028203</v>
          </cell>
          <cell r="AS128">
            <v>14.555555555555557</v>
          </cell>
          <cell r="AT128">
            <v>20.069602586497279</v>
          </cell>
          <cell r="AU128">
            <v>14.97260437224279</v>
          </cell>
          <cell r="AV128">
            <v>10.224017732239455</v>
          </cell>
          <cell r="AW128">
            <v>40638</v>
          </cell>
        </row>
        <row r="129">
          <cell r="C129" t="str">
            <v>Mage - 230-235-PH-US_S</v>
          </cell>
          <cell r="D129" t="str">
            <v>Standard Claw</v>
          </cell>
          <cell r="E129">
            <v>5000005</v>
          </cell>
          <cell r="F129">
            <v>39.055118110236222</v>
          </cell>
          <cell r="G129">
            <v>64.409448818897644</v>
          </cell>
          <cell r="H129">
            <v>1.7716535433070868</v>
          </cell>
          <cell r="I129">
            <v>200010704</v>
          </cell>
          <cell r="J129">
            <v>200010804</v>
          </cell>
          <cell r="K129">
            <v>200013804</v>
          </cell>
          <cell r="L129">
            <v>200016304</v>
          </cell>
          <cell r="M129">
            <v>500012568</v>
          </cell>
          <cell r="N129">
            <v>500012668</v>
          </cell>
          <cell r="O129">
            <v>500012569</v>
          </cell>
          <cell r="P129">
            <v>500012669</v>
          </cell>
          <cell r="Q129">
            <v>11.698754267040043</v>
          </cell>
          <cell r="R129">
            <v>10.455004839041191</v>
          </cell>
          <cell r="S129">
            <v>4.9330437584696041</v>
          </cell>
          <cell r="T129">
            <v>4.9330437584696041</v>
          </cell>
          <cell r="U129">
            <v>11.698754267040043</v>
          </cell>
          <cell r="V129">
            <v>10.455004839041191</v>
          </cell>
          <cell r="W129">
            <v>50</v>
          </cell>
          <cell r="X129">
            <v>35.2992125984252</v>
          </cell>
          <cell r="Y129">
            <v>65.880905511811022</v>
          </cell>
          <cell r="Z129">
            <v>35.2992125984252</v>
          </cell>
          <cell r="AA129">
            <v>65.880905511811022</v>
          </cell>
          <cell r="AB129">
            <v>35.2992125984252</v>
          </cell>
          <cell r="AC129">
            <v>65.880905511811022</v>
          </cell>
          <cell r="AD129">
            <v>65.880905511811022</v>
          </cell>
          <cell r="AE129">
            <v>64.909448818897644</v>
          </cell>
          <cell r="AF129">
            <v>22.909448818897644</v>
          </cell>
          <cell r="AG129">
            <v>39.925196850393704</v>
          </cell>
          <cell r="AH129" t="str">
            <v>N</v>
          </cell>
          <cell r="AI129">
            <v>39.69</v>
          </cell>
          <cell r="AJ129">
            <v>18</v>
          </cell>
          <cell r="AK129" t="str">
            <v>TBD</v>
          </cell>
          <cell r="AL129" t="str">
            <v>Y</v>
          </cell>
          <cell r="AM129">
            <v>200018403</v>
          </cell>
          <cell r="AN129">
            <v>200028403</v>
          </cell>
          <cell r="AO129">
            <v>200018303</v>
          </cell>
          <cell r="AP129">
            <v>200028303</v>
          </cell>
          <cell r="AQ129">
            <v>200018203</v>
          </cell>
          <cell r="AR129">
            <v>200028203</v>
          </cell>
          <cell r="AS129">
            <v>14.555555555555557</v>
          </cell>
          <cell r="AT129">
            <v>20.069602586497279</v>
          </cell>
          <cell r="AU129">
            <v>14.97260437224279</v>
          </cell>
          <cell r="AV129">
            <v>10.224017732239455</v>
          </cell>
          <cell r="AW129">
            <v>40886</v>
          </cell>
        </row>
        <row r="130">
          <cell r="C130" t="str">
            <v>Mitsubishi - PV-UJ6 SERIES 210-225 GA_S</v>
          </cell>
          <cell r="D130" t="str">
            <v>Standard Claw</v>
          </cell>
          <cell r="E130">
            <v>5000005</v>
          </cell>
          <cell r="F130">
            <v>39.133858267716541</v>
          </cell>
          <cell r="G130">
            <v>65.275590551181111</v>
          </cell>
          <cell r="H130">
            <v>1.8110236220472442</v>
          </cell>
          <cell r="I130">
            <v>200010704</v>
          </cell>
          <cell r="J130">
            <v>200010804</v>
          </cell>
          <cell r="K130">
            <v>200013804</v>
          </cell>
          <cell r="L130">
            <v>200016304</v>
          </cell>
          <cell r="M130">
            <v>500012569</v>
          </cell>
          <cell r="N130">
            <v>500012669</v>
          </cell>
          <cell r="O130">
            <v>500012570</v>
          </cell>
          <cell r="P130">
            <v>500012670</v>
          </cell>
          <cell r="Q130">
            <v>11.593851817515533</v>
          </cell>
          <cell r="R130">
            <v>10.361517999726759</v>
          </cell>
          <cell r="S130">
            <v>4.8893107769288457</v>
          </cell>
          <cell r="T130">
            <v>4.8893107769288457</v>
          </cell>
          <cell r="U130">
            <v>11.593851817515533</v>
          </cell>
          <cell r="V130">
            <v>10.361517999726759</v>
          </cell>
          <cell r="W130">
            <v>50</v>
          </cell>
          <cell r="X130">
            <v>35.614173228346459</v>
          </cell>
          <cell r="Y130">
            <v>66.983267716535437</v>
          </cell>
          <cell r="Z130">
            <v>35.614173228346459</v>
          </cell>
          <cell r="AA130">
            <v>66.983267716535437</v>
          </cell>
          <cell r="AB130">
            <v>35.614173228346459</v>
          </cell>
          <cell r="AC130">
            <v>66.983267716535437</v>
          </cell>
          <cell r="AD130">
            <v>66.983267716535437</v>
          </cell>
          <cell r="AE130">
            <v>65.775590551181111</v>
          </cell>
          <cell r="AF130">
            <v>23.775590551181107</v>
          </cell>
          <cell r="AG130">
            <v>40.240157480314963</v>
          </cell>
          <cell r="AH130" t="str">
            <v>Y</v>
          </cell>
          <cell r="AI130">
            <v>44.1</v>
          </cell>
          <cell r="AJ130">
            <v>20</v>
          </cell>
          <cell r="AK130" t="str">
            <v>TBD</v>
          </cell>
          <cell r="AL130" t="str">
            <v>Y</v>
          </cell>
          <cell r="AM130">
            <v>200018403</v>
          </cell>
          <cell r="AN130">
            <v>200028403</v>
          </cell>
          <cell r="AO130">
            <v>200018303</v>
          </cell>
          <cell r="AP130">
            <v>200028303</v>
          </cell>
          <cell r="AQ130">
            <v>200018203</v>
          </cell>
          <cell r="AR130">
            <v>200028203</v>
          </cell>
          <cell r="AS130">
            <v>14.555555555555557</v>
          </cell>
          <cell r="AT130">
            <v>19.905846229389603</v>
          </cell>
          <cell r="AU130">
            <v>14.852704372847956</v>
          </cell>
          <cell r="AV130">
            <v>10.143144054640397</v>
          </cell>
          <cell r="AW130">
            <v>40886</v>
          </cell>
        </row>
        <row r="131">
          <cell r="C131" t="str">
            <v>Mitsubishi - PV-UJ225-235GA6 - PV-MJU 240-255 GB_S</v>
          </cell>
          <cell r="D131" t="str">
            <v>Standard Claw</v>
          </cell>
          <cell r="E131">
            <v>5000005</v>
          </cell>
          <cell r="F131">
            <v>40.118110236220474</v>
          </cell>
          <cell r="G131">
            <v>63.976377952755911</v>
          </cell>
          <cell r="H131">
            <v>1.8110236220472442</v>
          </cell>
          <cell r="I131">
            <v>200010704</v>
          </cell>
          <cell r="J131">
            <v>200010804</v>
          </cell>
          <cell r="K131">
            <v>200013804</v>
          </cell>
          <cell r="L131">
            <v>200016304</v>
          </cell>
          <cell r="M131">
            <v>500012568</v>
          </cell>
          <cell r="N131">
            <v>500012668</v>
          </cell>
          <cell r="O131">
            <v>500012568</v>
          </cell>
          <cell r="P131">
            <v>500012668</v>
          </cell>
          <cell r="Q131">
            <v>11.277905669991306</v>
          </cell>
          <cell r="R131">
            <v>10.079910128313664</v>
          </cell>
          <cell r="S131">
            <v>4.7575138864553095</v>
          </cell>
          <cell r="T131">
            <v>4.7575138864553095</v>
          </cell>
          <cell r="U131">
            <v>11.277905669991306</v>
          </cell>
          <cell r="V131">
            <v>10.079910128313664</v>
          </cell>
          <cell r="W131">
            <v>50</v>
          </cell>
          <cell r="X131">
            <v>36.5984251968504</v>
          </cell>
          <cell r="Y131">
            <v>65.684055118110237</v>
          </cell>
          <cell r="Z131">
            <v>36.5984251968504</v>
          </cell>
          <cell r="AA131">
            <v>65.684055118110237</v>
          </cell>
          <cell r="AB131">
            <v>36.5984251968504</v>
          </cell>
          <cell r="AC131">
            <v>65.684055118110237</v>
          </cell>
          <cell r="AD131">
            <v>65.684055118110237</v>
          </cell>
          <cell r="AE131">
            <v>64.476377952755911</v>
          </cell>
          <cell r="AF131">
            <v>22.476377952755911</v>
          </cell>
          <cell r="AG131">
            <v>41.224409448818896</v>
          </cell>
          <cell r="AH131" t="str">
            <v>Y</v>
          </cell>
          <cell r="AI131">
            <v>44.1</v>
          </cell>
          <cell r="AJ131">
            <v>20</v>
          </cell>
          <cell r="AK131" t="str">
            <v>TBD</v>
          </cell>
          <cell r="AL131" t="str">
            <v>Y</v>
          </cell>
          <cell r="AM131">
            <v>200018402</v>
          </cell>
          <cell r="AN131">
            <v>200028402</v>
          </cell>
          <cell r="AO131">
            <v>200018302</v>
          </cell>
          <cell r="AP131">
            <v>200028302</v>
          </cell>
          <cell r="AQ131">
            <v>200018202</v>
          </cell>
          <cell r="AR131">
            <v>200028202</v>
          </cell>
          <cell r="AS131">
            <v>13.888888888888888</v>
          </cell>
          <cell r="AT131">
            <v>19.411259351746224</v>
          </cell>
          <cell r="AU131">
            <v>14.490227989182776</v>
          </cell>
          <cell r="AV131">
            <v>9.8985024425959072</v>
          </cell>
          <cell r="AW131">
            <v>40886</v>
          </cell>
        </row>
        <row r="132">
          <cell r="C132" t="str">
            <v>Motech - IM54 205-220_S</v>
          </cell>
          <cell r="D132" t="str">
            <v>Standard Claw</v>
          </cell>
          <cell r="E132">
            <v>5000005</v>
          </cell>
          <cell r="F132">
            <v>39.055118110236222</v>
          </cell>
          <cell r="G132">
            <v>58.740157480314963</v>
          </cell>
          <cell r="H132">
            <v>1.9685039370078741</v>
          </cell>
          <cell r="I132">
            <v>200010703</v>
          </cell>
          <cell r="J132">
            <v>200010803</v>
          </cell>
          <cell r="K132">
            <v>200013803</v>
          </cell>
          <cell r="L132">
            <v>200016303</v>
          </cell>
          <cell r="M132">
            <v>500012563</v>
          </cell>
          <cell r="N132">
            <v>500012663</v>
          </cell>
          <cell r="O132">
            <v>500012563</v>
          </cell>
          <cell r="P132">
            <v>500012663</v>
          </cell>
          <cell r="Q132">
            <v>11.698754267040043</v>
          </cell>
          <cell r="R132">
            <v>10.455004839041191</v>
          </cell>
          <cell r="S132">
            <v>4.9330437584696041</v>
          </cell>
          <cell r="T132">
            <v>4.9330437584696041</v>
          </cell>
          <cell r="U132">
            <v>11.698754267040043</v>
          </cell>
          <cell r="V132">
            <v>10.455004839041191</v>
          </cell>
          <cell r="W132">
            <v>50</v>
          </cell>
          <cell r="X132">
            <v>35.2992125984252</v>
          </cell>
          <cell r="Y132">
            <v>60.211614173228348</v>
          </cell>
          <cell r="Z132">
            <v>35.2992125984252</v>
          </cell>
          <cell r="AA132">
            <v>60.211614173228348</v>
          </cell>
          <cell r="AB132">
            <v>35.2992125984252</v>
          </cell>
          <cell r="AC132">
            <v>60.211614173228348</v>
          </cell>
          <cell r="AD132">
            <v>60.211614173228348</v>
          </cell>
          <cell r="AE132">
            <v>59.240157480314963</v>
          </cell>
          <cell r="AF132">
            <v>17.240157480314966</v>
          </cell>
          <cell r="AG132">
            <v>39.925196850393704</v>
          </cell>
          <cell r="AH132" t="str">
            <v>Y</v>
          </cell>
          <cell r="AI132">
            <v>41.895000000000003</v>
          </cell>
          <cell r="AJ132">
            <v>19</v>
          </cell>
          <cell r="AK132" t="str">
            <v>TBD</v>
          </cell>
          <cell r="AL132" t="str">
            <v>Y</v>
          </cell>
          <cell r="AM132">
            <v>200018401</v>
          </cell>
          <cell r="AN132">
            <v>200028401</v>
          </cell>
          <cell r="AO132">
            <v>200018301</v>
          </cell>
          <cell r="AP132">
            <v>200028301</v>
          </cell>
          <cell r="AQ132">
            <v>200018201</v>
          </cell>
          <cell r="AR132">
            <v>200028201</v>
          </cell>
          <cell r="AS132">
            <v>13.22222222222222</v>
          </cell>
          <cell r="AT132">
            <v>20.069602586497279</v>
          </cell>
          <cell r="AU132">
            <v>14.97260437224279</v>
          </cell>
          <cell r="AV132">
            <v>10.224017732239455</v>
          </cell>
          <cell r="AW132">
            <v>40966</v>
          </cell>
        </row>
        <row r="133">
          <cell r="C133" t="str">
            <v>Motech - IM60 230-245_S</v>
          </cell>
          <cell r="D133" t="str">
            <v>Standard Claw</v>
          </cell>
          <cell r="E133">
            <v>5000005</v>
          </cell>
          <cell r="F133">
            <v>39.055118110236222</v>
          </cell>
          <cell r="G133">
            <v>64.960629921259851</v>
          </cell>
          <cell r="H133">
            <v>1.9685039370078741</v>
          </cell>
          <cell r="I133">
            <v>200010704</v>
          </cell>
          <cell r="J133">
            <v>200010804</v>
          </cell>
          <cell r="K133">
            <v>200013804</v>
          </cell>
          <cell r="L133">
            <v>200016304</v>
          </cell>
          <cell r="M133">
            <v>500012569</v>
          </cell>
          <cell r="N133">
            <v>500012669</v>
          </cell>
          <cell r="O133">
            <v>500012569</v>
          </cell>
          <cell r="P133">
            <v>500012669</v>
          </cell>
          <cell r="Q133">
            <v>11.698754267040043</v>
          </cell>
          <cell r="R133">
            <v>10.455004839041191</v>
          </cell>
          <cell r="S133">
            <v>4.9330437584696041</v>
          </cell>
          <cell r="T133">
            <v>4.9330437584696041</v>
          </cell>
          <cell r="U133">
            <v>11.698754267040043</v>
          </cell>
          <cell r="V133">
            <v>10.455004839041191</v>
          </cell>
          <cell r="W133">
            <v>50</v>
          </cell>
          <cell r="X133">
            <v>35.2992125984252</v>
          </cell>
          <cell r="Y133">
            <v>66.43208661417323</v>
          </cell>
          <cell r="Z133">
            <v>35.2992125984252</v>
          </cell>
          <cell r="AA133">
            <v>66.43208661417323</v>
          </cell>
          <cell r="AB133">
            <v>35.2992125984252</v>
          </cell>
          <cell r="AC133">
            <v>66.43208661417323</v>
          </cell>
          <cell r="AD133">
            <v>66.43208661417323</v>
          </cell>
          <cell r="AE133">
            <v>65.460629921259851</v>
          </cell>
          <cell r="AF133">
            <v>23.460629921259848</v>
          </cell>
          <cell r="AG133">
            <v>39.925196850393704</v>
          </cell>
          <cell r="AH133" t="str">
            <v>Y</v>
          </cell>
          <cell r="AI133">
            <v>43.659000000000006</v>
          </cell>
          <cell r="AJ133">
            <v>19.8</v>
          </cell>
          <cell r="AK133" t="str">
            <v>TBD</v>
          </cell>
          <cell r="AL133" t="str">
            <v>Y</v>
          </cell>
          <cell r="AM133">
            <v>200018403</v>
          </cell>
          <cell r="AN133">
            <v>200028403</v>
          </cell>
          <cell r="AO133">
            <v>200018303</v>
          </cell>
          <cell r="AP133">
            <v>200028303</v>
          </cell>
          <cell r="AQ133">
            <v>200018203</v>
          </cell>
          <cell r="AR133">
            <v>200028203</v>
          </cell>
          <cell r="AS133">
            <v>14.555555555555557</v>
          </cell>
          <cell r="AT133">
            <v>20.069602586497279</v>
          </cell>
          <cell r="AU133">
            <v>14.97260437224279</v>
          </cell>
          <cell r="AV133">
            <v>10.224017732239455</v>
          </cell>
          <cell r="AW133">
            <v>41254</v>
          </cell>
        </row>
        <row r="134">
          <cell r="C134" t="str">
            <v>Motech - IM72 280-295_S</v>
          </cell>
          <cell r="D134" t="str">
            <v>Standard Claw</v>
          </cell>
          <cell r="E134">
            <v>5000005</v>
          </cell>
          <cell r="F134">
            <v>39.055118110236222</v>
          </cell>
          <cell r="G134">
            <v>77.401574803149614</v>
          </cell>
          <cell r="H134">
            <v>1.9685039370078741</v>
          </cell>
          <cell r="I134">
            <v>200010707</v>
          </cell>
          <cell r="J134">
            <v>200010807</v>
          </cell>
          <cell r="K134">
            <v>200013807</v>
          </cell>
          <cell r="L134">
            <v>200016307</v>
          </cell>
          <cell r="M134">
            <v>500012581</v>
          </cell>
          <cell r="N134">
            <v>500012681</v>
          </cell>
          <cell r="O134">
            <v>500012581</v>
          </cell>
          <cell r="P134">
            <v>500012681</v>
          </cell>
          <cell r="Q134">
            <v>11.698754267040043</v>
          </cell>
          <cell r="R134">
            <v>10.455004839041191</v>
          </cell>
          <cell r="S134">
            <v>4.9330437584696041</v>
          </cell>
          <cell r="T134">
            <v>4.9330437584696041</v>
          </cell>
          <cell r="U134">
            <v>11.698754267040043</v>
          </cell>
          <cell r="V134">
            <v>10.455004839041191</v>
          </cell>
          <cell r="W134">
            <v>50</v>
          </cell>
          <cell r="X134">
            <v>35.2992125984252</v>
          </cell>
          <cell r="Y134">
            <v>78.873031496062993</v>
          </cell>
          <cell r="Z134">
            <v>35.2992125984252</v>
          </cell>
          <cell r="AA134">
            <v>78.873031496062993</v>
          </cell>
          <cell r="AB134">
            <v>35.2992125984252</v>
          </cell>
          <cell r="AC134">
            <v>78.873031496062993</v>
          </cell>
          <cell r="AD134">
            <v>78.873031496062993</v>
          </cell>
          <cell r="AE134">
            <v>77.901574803149614</v>
          </cell>
          <cell r="AF134">
            <v>35.901574803149614</v>
          </cell>
          <cell r="AG134">
            <v>39.925196850393704</v>
          </cell>
          <cell r="AH134" t="str">
            <v>Y</v>
          </cell>
          <cell r="AI134">
            <v>59.535000000000004</v>
          </cell>
          <cell r="AJ134">
            <v>27</v>
          </cell>
          <cell r="AK134" t="str">
            <v>TBD</v>
          </cell>
          <cell r="AL134" t="str">
            <v>Y</v>
          </cell>
          <cell r="AM134">
            <v>200018407</v>
          </cell>
          <cell r="AN134">
            <v>200028407</v>
          </cell>
          <cell r="AO134">
            <v>200018307</v>
          </cell>
          <cell r="AP134">
            <v>200028307</v>
          </cell>
          <cell r="AQ134">
            <v>200018207</v>
          </cell>
          <cell r="AR134">
            <v>200028207</v>
          </cell>
          <cell r="AS134">
            <v>17.222222222222221</v>
          </cell>
          <cell r="AT134">
            <v>20.069602586497279</v>
          </cell>
          <cell r="AU134">
            <v>14.97260437224279</v>
          </cell>
          <cell r="AV134">
            <v>10.224017732239455</v>
          </cell>
          <cell r="AW134">
            <v>40966</v>
          </cell>
        </row>
        <row r="135">
          <cell r="C135" t="str">
            <v>MX Solar - Suncase MX60 240-250_M</v>
          </cell>
          <cell r="D135" t="str">
            <v>Short Clamp Multi Claw</v>
          </cell>
          <cell r="E135">
            <v>500000701</v>
          </cell>
          <cell r="F135">
            <v>39.566929133858267</v>
          </cell>
          <cell r="G135">
            <v>65.551181102362207</v>
          </cell>
          <cell r="H135">
            <v>1.6929133858267718</v>
          </cell>
          <cell r="I135">
            <v>200010704</v>
          </cell>
          <cell r="J135">
            <v>200010804</v>
          </cell>
          <cell r="K135">
            <v>200013804</v>
          </cell>
          <cell r="L135">
            <v>200016304</v>
          </cell>
          <cell r="M135">
            <v>500012568</v>
          </cell>
          <cell r="N135">
            <v>500012668</v>
          </cell>
          <cell r="O135">
            <v>500012569</v>
          </cell>
          <cell r="P135">
            <v>500012669</v>
          </cell>
          <cell r="Q135">
            <v>10.905502819060908</v>
          </cell>
          <cell r="R135">
            <v>9.7478999668070578</v>
          </cell>
          <cell r="S135">
            <v>4.6020125984812843</v>
          </cell>
          <cell r="T135">
            <v>4.6020125984812843</v>
          </cell>
          <cell r="U135">
            <v>10.905502819060908</v>
          </cell>
          <cell r="V135">
            <v>9.7478999668070578</v>
          </cell>
          <cell r="W135">
            <v>50</v>
          </cell>
          <cell r="X135">
            <v>37.832283464566935</v>
          </cell>
          <cell r="Y135">
            <v>66.126574803149609</v>
          </cell>
          <cell r="Z135">
            <v>37.832283464566935</v>
          </cell>
          <cell r="AA135">
            <v>66.126574803149609</v>
          </cell>
          <cell r="AB135">
            <v>37.832283464566935</v>
          </cell>
          <cell r="AC135">
            <v>66.126574803149609</v>
          </cell>
          <cell r="AD135">
            <v>66.126574803149609</v>
          </cell>
          <cell r="AE135">
            <v>66.051181102362207</v>
          </cell>
          <cell r="AF135">
            <v>24.051181102362211</v>
          </cell>
          <cell r="AG135">
            <v>40.744094488188985</v>
          </cell>
          <cell r="AH135" t="str">
            <v>Y</v>
          </cell>
          <cell r="AI135">
            <v>48.510000000000005</v>
          </cell>
          <cell r="AJ135">
            <v>22</v>
          </cell>
          <cell r="AK135" t="str">
            <v>TBD</v>
          </cell>
          <cell r="AL135" t="str">
            <v>Y</v>
          </cell>
          <cell r="AM135">
            <v>200018403</v>
          </cell>
          <cell r="AN135">
            <v>200028403</v>
          </cell>
          <cell r="AO135">
            <v>200018303</v>
          </cell>
          <cell r="AP135">
            <v>200028303</v>
          </cell>
          <cell r="AQ135">
            <v>200018203</v>
          </cell>
          <cell r="AR135">
            <v>200028203</v>
          </cell>
          <cell r="AS135">
            <v>14.555555555555557</v>
          </cell>
          <cell r="AT135">
            <v>19.649442184899272</v>
          </cell>
          <cell r="AU135">
            <v>14.664853709841291</v>
          </cell>
          <cell r="AV135">
            <v>10.016387914612645</v>
          </cell>
          <cell r="AW135">
            <v>40966</v>
          </cell>
        </row>
        <row r="136">
          <cell r="C136" t="str">
            <v>NB Solar - Ningbo - Sun Earth Solar Power - TPB 156X156-54-P 190-215_M</v>
          </cell>
          <cell r="D136" t="str">
            <v>Short Clamp Multi Claw</v>
          </cell>
          <cell r="E136">
            <v>500000701</v>
          </cell>
          <cell r="F136">
            <v>39.055118110236222</v>
          </cell>
          <cell r="G136">
            <v>58.346456692913392</v>
          </cell>
          <cell r="H136">
            <v>1.8110236220472442</v>
          </cell>
          <cell r="I136">
            <v>200010702</v>
          </cell>
          <cell r="J136">
            <v>200010802</v>
          </cell>
          <cell r="K136">
            <v>200013802</v>
          </cell>
          <cell r="L136">
            <v>200016302</v>
          </cell>
          <cell r="M136">
            <v>500012561</v>
          </cell>
          <cell r="N136">
            <v>500012661</v>
          </cell>
          <cell r="O136">
            <v>500012562</v>
          </cell>
          <cell r="P136">
            <v>500012662</v>
          </cell>
          <cell r="Q136">
            <v>11.318613847978519</v>
          </cell>
          <cell r="R136">
            <v>10.116197591040002</v>
          </cell>
          <cell r="S136">
            <v>4.7745020887129126</v>
          </cell>
          <cell r="T136">
            <v>4.7745020887129126</v>
          </cell>
          <cell r="U136">
            <v>11.318613847978519</v>
          </cell>
          <cell r="V136">
            <v>10.116197591040002</v>
          </cell>
          <cell r="W136">
            <v>40</v>
          </cell>
          <cell r="X136">
            <v>36.468503937007874</v>
          </cell>
          <cell r="Y136">
            <v>58.921850393700794</v>
          </cell>
          <cell r="Z136">
            <v>36.468503937007874</v>
          </cell>
          <cell r="AA136">
            <v>58.921850393700794</v>
          </cell>
          <cell r="AB136">
            <v>36.468503937007874</v>
          </cell>
          <cell r="AC136">
            <v>58.921850393700794</v>
          </cell>
          <cell r="AD136">
            <v>58.921850393700794</v>
          </cell>
          <cell r="AE136">
            <v>58.846456692913392</v>
          </cell>
          <cell r="AF136">
            <v>16.846456692913389</v>
          </cell>
          <cell r="AG136">
            <v>38.744094488188978</v>
          </cell>
          <cell r="AH136" t="str">
            <v>N</v>
          </cell>
          <cell r="AI136">
            <v>37.484999999999999</v>
          </cell>
          <cell r="AJ136">
            <v>17</v>
          </cell>
          <cell r="AK136" t="str">
            <v>TBD</v>
          </cell>
          <cell r="AL136" t="str">
            <v>Y</v>
          </cell>
          <cell r="AM136">
            <v>200018401</v>
          </cell>
          <cell r="AN136">
            <v>200028401</v>
          </cell>
          <cell r="AO136">
            <v>200018301</v>
          </cell>
          <cell r="AP136">
            <v>200028301</v>
          </cell>
          <cell r="AQ136">
            <v>200018201</v>
          </cell>
          <cell r="AR136">
            <v>200028201</v>
          </cell>
          <cell r="AS136">
            <v>13.22222222222222</v>
          </cell>
          <cell r="AT136">
            <v>20.709050271134394</v>
          </cell>
          <cell r="AU136">
            <v>15.440237057435686</v>
          </cell>
          <cell r="AV136">
            <v>10.539202660509616</v>
          </cell>
          <cell r="AW136">
            <v>41026</v>
          </cell>
        </row>
        <row r="137">
          <cell r="C137" t="str">
            <v>NB Solar - Ningbo - Sun Earth Solar Power - TPB 156X156-60-P 220-245_M</v>
          </cell>
          <cell r="D137" t="str">
            <v>Short Clamp Multi Claw</v>
          </cell>
          <cell r="E137">
            <v>500000701</v>
          </cell>
          <cell r="F137">
            <v>39.055118110236222</v>
          </cell>
          <cell r="G137">
            <v>64.645669291338592</v>
          </cell>
          <cell r="H137">
            <v>1.8110236220472442</v>
          </cell>
          <cell r="I137">
            <v>200010704</v>
          </cell>
          <cell r="J137">
            <v>200010804</v>
          </cell>
          <cell r="K137">
            <v>200013804</v>
          </cell>
          <cell r="L137">
            <v>200016304</v>
          </cell>
          <cell r="M137">
            <v>500012567</v>
          </cell>
          <cell r="N137">
            <v>500012667</v>
          </cell>
          <cell r="O137">
            <v>500012568</v>
          </cell>
          <cell r="P137">
            <v>500012668</v>
          </cell>
          <cell r="Q137">
            <v>11.318613847978519</v>
          </cell>
          <cell r="R137">
            <v>10.116197591040002</v>
          </cell>
          <cell r="S137">
            <v>4.7745020887129126</v>
          </cell>
          <cell r="T137">
            <v>4.7745020887129126</v>
          </cell>
          <cell r="U137">
            <v>11.318613847978519</v>
          </cell>
          <cell r="V137">
            <v>10.116197591040002</v>
          </cell>
          <cell r="W137">
            <v>40</v>
          </cell>
          <cell r="X137">
            <v>36.468503937007874</v>
          </cell>
          <cell r="Y137">
            <v>65.221062992125994</v>
          </cell>
          <cell r="Z137">
            <v>36.468503937007874</v>
          </cell>
          <cell r="AA137">
            <v>65.221062992125994</v>
          </cell>
          <cell r="AB137">
            <v>36.468503937007874</v>
          </cell>
          <cell r="AC137">
            <v>65.221062992125994</v>
          </cell>
          <cell r="AD137">
            <v>65.221062992125994</v>
          </cell>
          <cell r="AE137">
            <v>65.145669291338592</v>
          </cell>
          <cell r="AF137">
            <v>23.145669291338589</v>
          </cell>
          <cell r="AG137">
            <v>38.744094488188978</v>
          </cell>
          <cell r="AH137" t="str">
            <v>N</v>
          </cell>
          <cell r="AI137">
            <v>44.1</v>
          </cell>
          <cell r="AJ137">
            <v>20</v>
          </cell>
          <cell r="AK137" t="str">
            <v>TBD</v>
          </cell>
          <cell r="AL137" t="str">
            <v>Y</v>
          </cell>
          <cell r="AM137">
            <v>200018403</v>
          </cell>
          <cell r="AN137">
            <v>200028403</v>
          </cell>
          <cell r="AO137">
            <v>200018303</v>
          </cell>
          <cell r="AP137">
            <v>200028303</v>
          </cell>
          <cell r="AQ137">
            <v>200018203</v>
          </cell>
          <cell r="AR137">
            <v>200028203</v>
          </cell>
          <cell r="AS137">
            <v>14.555555555555557</v>
          </cell>
          <cell r="AT137">
            <v>20.709050271134394</v>
          </cell>
          <cell r="AU137">
            <v>15.440237057435686</v>
          </cell>
          <cell r="AV137">
            <v>10.539202660509616</v>
          </cell>
          <cell r="AW137">
            <v>41026</v>
          </cell>
        </row>
        <row r="138">
          <cell r="C138" t="str">
            <v>NB Solar - Ningbo - Sun Earth Solar Power - TPB 156X156-72-P 260-290_M</v>
          </cell>
          <cell r="D138" t="str">
            <v>Short Clamp Multi Claw</v>
          </cell>
          <cell r="E138">
            <v>500000701</v>
          </cell>
          <cell r="F138">
            <v>39.055118110236222</v>
          </cell>
          <cell r="G138">
            <v>77.086614173228355</v>
          </cell>
          <cell r="H138">
            <v>1.8110236220472442</v>
          </cell>
          <cell r="I138">
            <v>200010707</v>
          </cell>
          <cell r="J138">
            <v>200010807</v>
          </cell>
          <cell r="K138">
            <v>200013807</v>
          </cell>
          <cell r="L138">
            <v>200016307</v>
          </cell>
          <cell r="M138">
            <v>500012580</v>
          </cell>
          <cell r="N138">
            <v>500012680</v>
          </cell>
          <cell r="O138">
            <v>500012580</v>
          </cell>
          <cell r="P138">
            <v>500012680</v>
          </cell>
          <cell r="Q138">
            <v>11.318613847978519</v>
          </cell>
          <cell r="R138">
            <v>10.116197591040002</v>
          </cell>
          <cell r="S138">
            <v>4.7745020887129126</v>
          </cell>
          <cell r="T138">
            <v>4.7745020887129126</v>
          </cell>
          <cell r="U138">
            <v>11.318613847978519</v>
          </cell>
          <cell r="V138">
            <v>10.116197591040002</v>
          </cell>
          <cell r="W138">
            <v>40</v>
          </cell>
          <cell r="X138">
            <v>36.468503937007874</v>
          </cell>
          <cell r="Y138">
            <v>77.662007874015757</v>
          </cell>
          <cell r="Z138">
            <v>36.468503937007874</v>
          </cell>
          <cell r="AA138">
            <v>77.662007874015757</v>
          </cell>
          <cell r="AB138">
            <v>36.468503937007874</v>
          </cell>
          <cell r="AC138">
            <v>77.662007874015757</v>
          </cell>
          <cell r="AD138">
            <v>77.662007874015757</v>
          </cell>
          <cell r="AE138">
            <v>77.586614173228355</v>
          </cell>
          <cell r="AF138">
            <v>35.586614173228355</v>
          </cell>
          <cell r="AG138">
            <v>38.744094488188978</v>
          </cell>
          <cell r="AH138" t="str">
            <v>N</v>
          </cell>
          <cell r="AI138">
            <v>59.535000000000004</v>
          </cell>
          <cell r="AJ138">
            <v>27</v>
          </cell>
          <cell r="AK138" t="str">
            <v>TBD</v>
          </cell>
          <cell r="AL138" t="str">
            <v>Y</v>
          </cell>
          <cell r="AM138">
            <v>200018407</v>
          </cell>
          <cell r="AN138">
            <v>200028407</v>
          </cell>
          <cell r="AO138">
            <v>200018307</v>
          </cell>
          <cell r="AP138">
            <v>200028307</v>
          </cell>
          <cell r="AQ138">
            <v>200018207</v>
          </cell>
          <cell r="AR138">
            <v>200028207</v>
          </cell>
          <cell r="AS138">
            <v>17.222222222222221</v>
          </cell>
          <cell r="AT138">
            <v>20.709050271134394</v>
          </cell>
          <cell r="AU138">
            <v>15.440237057435686</v>
          </cell>
          <cell r="AV138">
            <v>10.539202660509616</v>
          </cell>
          <cell r="AW138">
            <v>41026</v>
          </cell>
        </row>
        <row r="139">
          <cell r="C139" t="str">
            <v>NESL - DJ-165-180D_S</v>
          </cell>
          <cell r="D139" t="str">
            <v>Standard Claw</v>
          </cell>
          <cell r="E139">
            <v>5000005</v>
          </cell>
          <cell r="F139">
            <v>31.850393700787404</v>
          </cell>
          <cell r="G139">
            <v>62.244094488188978</v>
          </cell>
          <cell r="H139">
            <v>1.5748031496062993</v>
          </cell>
          <cell r="I139">
            <v>200010704</v>
          </cell>
          <cell r="J139">
            <v>200010804</v>
          </cell>
          <cell r="K139">
            <v>200013804</v>
          </cell>
          <cell r="L139">
            <v>200016304</v>
          </cell>
          <cell r="M139">
            <v>500012566</v>
          </cell>
          <cell r="N139">
            <v>500012666</v>
          </cell>
          <cell r="O139">
            <v>500012566</v>
          </cell>
          <cell r="P139">
            <v>500012666</v>
          </cell>
          <cell r="Q139">
            <v>14.759635506545079</v>
          </cell>
          <cell r="R139">
            <v>13.179285957422199</v>
          </cell>
          <cell r="S139">
            <v>6.2025569617802887</v>
          </cell>
          <cell r="T139">
            <v>6.2025569617802887</v>
          </cell>
          <cell r="U139">
            <v>14.759635506545079</v>
          </cell>
          <cell r="V139">
            <v>13.179285957422199</v>
          </cell>
          <cell r="W139">
            <v>30</v>
          </cell>
          <cell r="X139">
            <v>28.094488188976381</v>
          </cell>
          <cell r="Y139">
            <v>63.715551181102363</v>
          </cell>
          <cell r="Z139">
            <v>28.094488188976381</v>
          </cell>
          <cell r="AA139">
            <v>63.715551181102363</v>
          </cell>
          <cell r="AB139">
            <v>28.094488188976381</v>
          </cell>
          <cell r="AC139">
            <v>63.715551181102363</v>
          </cell>
          <cell r="AD139">
            <v>63.715551181102363</v>
          </cell>
          <cell r="AE139">
            <v>62.744094488188985</v>
          </cell>
          <cell r="AF139">
            <v>20.744094488188981</v>
          </cell>
          <cell r="AG139">
            <v>32.720472440944881</v>
          </cell>
          <cell r="AH139" t="str">
            <v>Y</v>
          </cell>
          <cell r="AI139">
            <v>34.177500000000002</v>
          </cell>
          <cell r="AJ139">
            <v>15.5</v>
          </cell>
          <cell r="AK139" t="str">
            <v>TBD</v>
          </cell>
          <cell r="AL139" t="str">
            <v>Y</v>
          </cell>
          <cell r="AM139">
            <v>200018402</v>
          </cell>
          <cell r="AN139">
            <v>200028402</v>
          </cell>
          <cell r="AO139">
            <v>200018302</v>
          </cell>
          <cell r="AP139">
            <v>200028302</v>
          </cell>
          <cell r="AQ139">
            <v>200018202</v>
          </cell>
          <cell r="AR139">
            <v>200028202</v>
          </cell>
          <cell r="AS139">
            <v>13.888888888888888</v>
          </cell>
          <cell r="AT139">
            <v>24.753939339673675</v>
          </cell>
          <cell r="AU139">
            <v>18.375596168437923</v>
          </cell>
          <cell r="AV139">
            <v>12.508264516085442</v>
          </cell>
          <cell r="AW139">
            <v>40862</v>
          </cell>
        </row>
        <row r="140">
          <cell r="C140" t="str">
            <v>NESL - DJ-210-230P_S</v>
          </cell>
          <cell r="D140" t="str">
            <v>Standard Claw</v>
          </cell>
          <cell r="E140">
            <v>5000005</v>
          </cell>
          <cell r="F140">
            <v>38.976377952755911</v>
          </cell>
          <cell r="G140">
            <v>64.960629921259851</v>
          </cell>
          <cell r="H140">
            <v>1.5748031496062993</v>
          </cell>
          <cell r="I140">
            <v>200010704</v>
          </cell>
          <cell r="J140">
            <v>200010804</v>
          </cell>
          <cell r="K140">
            <v>200013804</v>
          </cell>
          <cell r="L140">
            <v>200016304</v>
          </cell>
          <cell r="M140">
            <v>500012569</v>
          </cell>
          <cell r="N140">
            <v>500012669</v>
          </cell>
          <cell r="O140">
            <v>500012569</v>
          </cell>
          <cell r="P140">
            <v>500012669</v>
          </cell>
          <cell r="Q140">
            <v>11.725279318414811</v>
          </cell>
          <cell r="R140">
            <v>10.478642249707667</v>
          </cell>
          <cell r="S140">
            <v>4.9440996728708777</v>
          </cell>
          <cell r="T140">
            <v>4.9440996728708777</v>
          </cell>
          <cell r="U140">
            <v>11.725279318414811</v>
          </cell>
          <cell r="V140">
            <v>10.478642249707667</v>
          </cell>
          <cell r="W140">
            <v>30</v>
          </cell>
          <cell r="X140">
            <v>35.220472440944881</v>
          </cell>
          <cell r="Y140">
            <v>66.43208661417323</v>
          </cell>
          <cell r="Z140">
            <v>35.220472440944881</v>
          </cell>
          <cell r="AA140">
            <v>66.43208661417323</v>
          </cell>
          <cell r="AB140">
            <v>35.220472440944881</v>
          </cell>
          <cell r="AC140">
            <v>66.43208661417323</v>
          </cell>
          <cell r="AD140">
            <v>66.43208661417323</v>
          </cell>
          <cell r="AE140">
            <v>65.460629921259851</v>
          </cell>
          <cell r="AF140">
            <v>23.460629921259848</v>
          </cell>
          <cell r="AG140">
            <v>39.846456692913392</v>
          </cell>
          <cell r="AH140" t="str">
            <v>Y</v>
          </cell>
          <cell r="AI140">
            <v>42.997500000000002</v>
          </cell>
          <cell r="AJ140">
            <v>19.5</v>
          </cell>
          <cell r="AK140" t="str">
            <v>TBD</v>
          </cell>
          <cell r="AL140" t="str">
            <v>Y</v>
          </cell>
          <cell r="AM140">
            <v>200018403</v>
          </cell>
          <cell r="AN140">
            <v>200028403</v>
          </cell>
          <cell r="AO140">
            <v>200018303</v>
          </cell>
          <cell r="AP140">
            <v>200028303</v>
          </cell>
          <cell r="AQ140">
            <v>200018203</v>
          </cell>
          <cell r="AR140">
            <v>200028203</v>
          </cell>
          <cell r="AS140">
            <v>14.555555555555557</v>
          </cell>
          <cell r="AT140">
            <v>20.110973161651764</v>
          </cell>
          <cell r="AU140">
            <v>15.002886128524771</v>
          </cell>
          <cell r="AV140">
            <v>10.244439167746933</v>
          </cell>
          <cell r="AW140">
            <v>40862</v>
          </cell>
        </row>
        <row r="141">
          <cell r="C141" t="str">
            <v>NESL - DJ-250-280P_S</v>
          </cell>
          <cell r="D141" t="str">
            <v>Standard Claw</v>
          </cell>
          <cell r="E141">
            <v>5000005</v>
          </cell>
          <cell r="F141">
            <v>38.976377952755911</v>
          </cell>
          <cell r="G141">
            <v>77.047244094488192</v>
          </cell>
          <cell r="H141">
            <v>1.9685039370078741</v>
          </cell>
          <cell r="I141">
            <v>200010707</v>
          </cell>
          <cell r="J141">
            <v>200010807</v>
          </cell>
          <cell r="K141">
            <v>200013807</v>
          </cell>
          <cell r="L141">
            <v>200016307</v>
          </cell>
          <cell r="M141">
            <v>500012581</v>
          </cell>
          <cell r="N141">
            <v>500012681</v>
          </cell>
          <cell r="O141">
            <v>500012581</v>
          </cell>
          <cell r="P141">
            <v>500012681</v>
          </cell>
          <cell r="Q141">
            <v>11.646065132777842</v>
          </cell>
          <cell r="R141">
            <v>10.40805030701417</v>
          </cell>
          <cell r="S141">
            <v>4.911079789514722</v>
          </cell>
          <cell r="T141">
            <v>4.911079789514722</v>
          </cell>
          <cell r="U141">
            <v>11.646065132777842</v>
          </cell>
          <cell r="V141">
            <v>10.40805030701417</v>
          </cell>
          <cell r="W141">
            <v>30</v>
          </cell>
          <cell r="X141">
            <v>35.45669291338583</v>
          </cell>
          <cell r="Y141">
            <v>78.754921259842519</v>
          </cell>
          <cell r="Z141">
            <v>35.45669291338583</v>
          </cell>
          <cell r="AA141">
            <v>78.754921259842519</v>
          </cell>
          <cell r="AB141">
            <v>35.45669291338583</v>
          </cell>
          <cell r="AC141">
            <v>78.754921259842519</v>
          </cell>
          <cell r="AD141">
            <v>78.754921259842519</v>
          </cell>
          <cell r="AE141">
            <v>77.547244094488192</v>
          </cell>
          <cell r="AF141">
            <v>35.547244094488192</v>
          </cell>
          <cell r="AG141">
            <v>40.082677165354333</v>
          </cell>
          <cell r="AH141" t="str">
            <v>Y</v>
          </cell>
          <cell r="AI141">
            <v>55.125</v>
          </cell>
          <cell r="AJ141">
            <v>25</v>
          </cell>
          <cell r="AK141" t="str">
            <v>TBD</v>
          </cell>
          <cell r="AL141" t="str">
            <v>Y</v>
          </cell>
          <cell r="AM141">
            <v>200018407</v>
          </cell>
          <cell r="AN141">
            <v>200028407</v>
          </cell>
          <cell r="AO141">
            <v>200018307</v>
          </cell>
          <cell r="AP141">
            <v>200028307</v>
          </cell>
          <cell r="AQ141">
            <v>200018207</v>
          </cell>
          <cell r="AR141">
            <v>200028207</v>
          </cell>
          <cell r="AS141">
            <v>17.222222222222221</v>
          </cell>
          <cell r="AT141">
            <v>19.987381438876472</v>
          </cell>
          <cell r="AU141">
            <v>14.912410483320945</v>
          </cell>
          <cell r="AV141">
            <v>10.183419458492327</v>
          </cell>
          <cell r="AW141">
            <v>40862</v>
          </cell>
        </row>
        <row r="142">
          <cell r="C142" t="str">
            <v>Perfect Energy - PEM 160-180 72M_S</v>
          </cell>
          <cell r="D142" t="str">
            <v>Standard Claw</v>
          </cell>
          <cell r="E142">
            <v>5000005</v>
          </cell>
          <cell r="F142">
            <v>31.811023622047244</v>
          </cell>
          <cell r="G142">
            <v>62.204724409448822</v>
          </cell>
          <cell r="H142">
            <v>1.7716535433070868</v>
          </cell>
          <cell r="I142">
            <v>200010704</v>
          </cell>
          <cell r="J142">
            <v>200010804</v>
          </cell>
          <cell r="K142">
            <v>200013804</v>
          </cell>
          <cell r="L142">
            <v>200016304</v>
          </cell>
          <cell r="M142">
            <v>500012566</v>
          </cell>
          <cell r="N142">
            <v>500012666</v>
          </cell>
          <cell r="O142">
            <v>500012567</v>
          </cell>
          <cell r="P142">
            <v>500012667</v>
          </cell>
          <cell r="Q142">
            <v>14.571707491264988</v>
          </cell>
          <cell r="R142">
            <v>13.012236782891378</v>
          </cell>
          <cell r="S142">
            <v>6.1250064477535702</v>
          </cell>
          <cell r="T142">
            <v>6.1250064477535702</v>
          </cell>
          <cell r="U142">
            <v>14.571707491264988</v>
          </cell>
          <cell r="V142">
            <v>13.012236782891378</v>
          </cell>
          <cell r="W142">
            <v>50</v>
          </cell>
          <cell r="X142">
            <v>28.448818897637796</v>
          </cell>
          <cell r="Y142">
            <v>64.069881889763778</v>
          </cell>
          <cell r="Z142">
            <v>28.448818897637796</v>
          </cell>
          <cell r="AA142">
            <v>64.069881889763778</v>
          </cell>
          <cell r="AB142">
            <v>28.448818897637796</v>
          </cell>
          <cell r="AC142">
            <v>64.069881889763778</v>
          </cell>
          <cell r="AD142">
            <v>64.069881889763778</v>
          </cell>
          <cell r="AE142">
            <v>62.704724409448822</v>
          </cell>
          <cell r="AF142">
            <v>20.704724409448822</v>
          </cell>
          <cell r="AG142">
            <v>33.074803149606304</v>
          </cell>
          <cell r="AH142" t="str">
            <v>N</v>
          </cell>
          <cell r="AI142">
            <v>34.177500000000002</v>
          </cell>
          <cell r="AJ142">
            <v>15.5</v>
          </cell>
          <cell r="AK142" t="str">
            <v>TBD</v>
          </cell>
          <cell r="AL142" t="str">
            <v>Y</v>
          </cell>
          <cell r="AM142">
            <v>200018402</v>
          </cell>
          <cell r="AN142">
            <v>200028402</v>
          </cell>
          <cell r="AO142">
            <v>200018302</v>
          </cell>
          <cell r="AP142">
            <v>200028302</v>
          </cell>
          <cell r="AQ142">
            <v>200018202</v>
          </cell>
          <cell r="AR142">
            <v>200028202</v>
          </cell>
          <cell r="AS142">
            <v>13.888888888888888</v>
          </cell>
          <cell r="AT142">
            <v>24.471238183648364</v>
          </cell>
          <cell r="AU142">
            <v>18.171818938620692</v>
          </cell>
          <cell r="AV142">
            <v>12.372128912037903</v>
          </cell>
          <cell r="AW142">
            <v>41192</v>
          </cell>
        </row>
        <row r="143">
          <cell r="C143" t="str">
            <v>Perlight - PLM-185 Series_S</v>
          </cell>
          <cell r="D143" t="str">
            <v>Standard Claw</v>
          </cell>
          <cell r="E143">
            <v>5000005</v>
          </cell>
          <cell r="F143">
            <v>31.811023622047244</v>
          </cell>
          <cell r="G143">
            <v>62.204724409448822</v>
          </cell>
          <cell r="H143">
            <v>1.5748031496062993</v>
          </cell>
          <cell r="I143">
            <v>200010704</v>
          </cell>
          <cell r="J143">
            <v>200010804</v>
          </cell>
          <cell r="K143">
            <v>200013804</v>
          </cell>
          <cell r="L143">
            <v>200016304</v>
          </cell>
          <cell r="M143">
            <v>500012566</v>
          </cell>
          <cell r="N143">
            <v>500012666</v>
          </cell>
          <cell r="O143">
            <v>500012566</v>
          </cell>
          <cell r="P143">
            <v>500012666</v>
          </cell>
          <cell r="Q143">
            <v>14.780819563929326</v>
          </cell>
          <cell r="R143">
            <v>13.198114568872393</v>
          </cell>
          <cell r="S143">
            <v>6.211295317501194</v>
          </cell>
          <cell r="T143">
            <v>6.211295317501194</v>
          </cell>
          <cell r="U143">
            <v>14.780819563929326</v>
          </cell>
          <cell r="V143">
            <v>13.198114568872393</v>
          </cell>
          <cell r="W143">
            <v>50</v>
          </cell>
          <cell r="X143">
            <v>28.055118110236222</v>
          </cell>
          <cell r="Y143">
            <v>63.676181102362207</v>
          </cell>
          <cell r="Z143">
            <v>28.055118110236222</v>
          </cell>
          <cell r="AA143">
            <v>63.676181102362207</v>
          </cell>
          <cell r="AB143">
            <v>28.055118110236222</v>
          </cell>
          <cell r="AC143">
            <v>63.676181102362207</v>
          </cell>
          <cell r="AD143">
            <v>63.676181102362207</v>
          </cell>
          <cell r="AE143">
            <v>62.704724409448822</v>
          </cell>
          <cell r="AF143">
            <v>20.704724409448822</v>
          </cell>
          <cell r="AG143">
            <v>32.681102362204726</v>
          </cell>
          <cell r="AH143" t="str">
            <v>N</v>
          </cell>
          <cell r="AI143">
            <v>35.28</v>
          </cell>
          <cell r="AJ143">
            <v>16</v>
          </cell>
          <cell r="AK143" t="str">
            <v>TBD</v>
          </cell>
          <cell r="AL143" t="str">
            <v>Y</v>
          </cell>
          <cell r="AM143">
            <v>200018402</v>
          </cell>
          <cell r="AN143">
            <v>200028402</v>
          </cell>
          <cell r="AO143">
            <v>200018302</v>
          </cell>
          <cell r="AP143">
            <v>200028302</v>
          </cell>
          <cell r="AQ143">
            <v>200018202</v>
          </cell>
          <cell r="AR143">
            <v>200028202</v>
          </cell>
          <cell r="AS143">
            <v>13.888888888888888</v>
          </cell>
          <cell r="AT143">
            <v>24.785769092963804</v>
          </cell>
          <cell r="AU143">
            <v>18.39852585667062</v>
          </cell>
          <cell r="AV143">
            <v>12.523577389800897</v>
          </cell>
          <cell r="AW143">
            <v>40665</v>
          </cell>
        </row>
        <row r="144">
          <cell r="C144" t="str">
            <v>Perlight - PLM-210 Series_S</v>
          </cell>
          <cell r="D144" t="str">
            <v>Standard Claw</v>
          </cell>
          <cell r="E144">
            <v>5000005</v>
          </cell>
          <cell r="F144">
            <v>37.007874015748037</v>
          </cell>
          <cell r="G144">
            <v>58.858267716535437</v>
          </cell>
          <cell r="H144">
            <v>1.8110236220472442</v>
          </cell>
          <cell r="I144">
            <v>200010703</v>
          </cell>
          <cell r="J144">
            <v>200010803</v>
          </cell>
          <cell r="K144">
            <v>200013803</v>
          </cell>
          <cell r="L144">
            <v>200016303</v>
          </cell>
          <cell r="M144">
            <v>500012563</v>
          </cell>
          <cell r="N144">
            <v>500012663</v>
          </cell>
          <cell r="O144">
            <v>500012563</v>
          </cell>
          <cell r="P144">
            <v>500012663</v>
          </cell>
          <cell r="Q144">
            <v>12.430184243800053</v>
          </cell>
          <cell r="R144">
            <v>11.106632994896712</v>
          </cell>
          <cell r="S144">
            <v>5.2375834396852632</v>
          </cell>
          <cell r="T144">
            <v>5.2375834396852632</v>
          </cell>
          <cell r="U144">
            <v>12.430184243800053</v>
          </cell>
          <cell r="V144">
            <v>11.106632994896712</v>
          </cell>
          <cell r="W144">
            <v>50</v>
          </cell>
          <cell r="X144">
            <v>33.251968503937007</v>
          </cell>
          <cell r="Y144">
            <v>60.329724409448822</v>
          </cell>
          <cell r="Z144">
            <v>33.251968503937007</v>
          </cell>
          <cell r="AA144">
            <v>60.329724409448822</v>
          </cell>
          <cell r="AB144">
            <v>33.251968503937007</v>
          </cell>
          <cell r="AC144">
            <v>60.329724409448822</v>
          </cell>
          <cell r="AD144">
            <v>60.329724409448822</v>
          </cell>
          <cell r="AE144">
            <v>59.358267716535437</v>
          </cell>
          <cell r="AF144">
            <v>17.358267716535437</v>
          </cell>
          <cell r="AG144">
            <v>37.877952755905518</v>
          </cell>
          <cell r="AH144" t="str">
            <v>N</v>
          </cell>
          <cell r="AI144">
            <v>37.484999999999999</v>
          </cell>
          <cell r="AJ144">
            <v>17</v>
          </cell>
          <cell r="AK144" t="str">
            <v>TBD</v>
          </cell>
          <cell r="AL144" t="str">
            <v>Y</v>
          </cell>
          <cell r="AM144">
            <v>200018401</v>
          </cell>
          <cell r="AN144">
            <v>200028401</v>
          </cell>
          <cell r="AO144">
            <v>200018301</v>
          </cell>
          <cell r="AP144">
            <v>200028301</v>
          </cell>
          <cell r="AQ144">
            <v>200018201</v>
          </cell>
          <cell r="AR144">
            <v>200028201</v>
          </cell>
          <cell r="AS144">
            <v>13.22222222222222</v>
          </cell>
          <cell r="AT144">
            <v>21.205174093809141</v>
          </cell>
          <cell r="AU144">
            <v>15.802424560557412</v>
          </cell>
          <cell r="AV144">
            <v>10.783051510926835</v>
          </cell>
          <cell r="AW144">
            <v>40665</v>
          </cell>
        </row>
        <row r="145">
          <cell r="C145" t="str">
            <v>Perlight - PLM-240 Series_S</v>
          </cell>
          <cell r="D145" t="str">
            <v>Standard Claw</v>
          </cell>
          <cell r="E145">
            <v>5000005</v>
          </cell>
          <cell r="F145">
            <v>39.055118110236222</v>
          </cell>
          <cell r="G145">
            <v>64.960629921259851</v>
          </cell>
          <cell r="H145">
            <v>1.8110236220472442</v>
          </cell>
          <cell r="I145">
            <v>200010704</v>
          </cell>
          <cell r="J145">
            <v>200010804</v>
          </cell>
          <cell r="K145">
            <v>200013804</v>
          </cell>
          <cell r="L145">
            <v>200016304</v>
          </cell>
          <cell r="M145">
            <v>500012569</v>
          </cell>
          <cell r="N145">
            <v>500012669</v>
          </cell>
          <cell r="O145">
            <v>500012569</v>
          </cell>
          <cell r="P145">
            <v>500012669</v>
          </cell>
          <cell r="Q145">
            <v>11.698754267040043</v>
          </cell>
          <cell r="R145">
            <v>10.455004839041191</v>
          </cell>
          <cell r="S145">
            <v>4.9330437584696041</v>
          </cell>
          <cell r="T145">
            <v>4.9330437584696041</v>
          </cell>
          <cell r="U145">
            <v>11.698754267040043</v>
          </cell>
          <cell r="V145">
            <v>10.455004839041191</v>
          </cell>
          <cell r="W145">
            <v>50</v>
          </cell>
          <cell r="X145">
            <v>35.2992125984252</v>
          </cell>
          <cell r="Y145">
            <v>66.43208661417323</v>
          </cell>
          <cell r="Z145">
            <v>35.2992125984252</v>
          </cell>
          <cell r="AA145">
            <v>66.43208661417323</v>
          </cell>
          <cell r="AB145">
            <v>35.2992125984252</v>
          </cell>
          <cell r="AC145">
            <v>66.43208661417323</v>
          </cell>
          <cell r="AD145">
            <v>66.43208661417323</v>
          </cell>
          <cell r="AE145">
            <v>65.460629921259851</v>
          </cell>
          <cell r="AF145">
            <v>23.460629921259848</v>
          </cell>
          <cell r="AG145">
            <v>39.925196850393704</v>
          </cell>
          <cell r="AH145" t="str">
            <v>N</v>
          </cell>
          <cell r="AI145">
            <v>46.305</v>
          </cell>
          <cell r="AJ145">
            <v>21</v>
          </cell>
          <cell r="AK145" t="str">
            <v>TBD</v>
          </cell>
          <cell r="AL145" t="str">
            <v>Y</v>
          </cell>
          <cell r="AM145">
            <v>200018403</v>
          </cell>
          <cell r="AN145">
            <v>200028403</v>
          </cell>
          <cell r="AO145">
            <v>200018303</v>
          </cell>
          <cell r="AP145">
            <v>200028303</v>
          </cell>
          <cell r="AQ145">
            <v>200018203</v>
          </cell>
          <cell r="AR145">
            <v>200028203</v>
          </cell>
          <cell r="AS145">
            <v>14.555555555555557</v>
          </cell>
          <cell r="AT145">
            <v>20.069602586497279</v>
          </cell>
          <cell r="AU145">
            <v>14.97260437224279</v>
          </cell>
          <cell r="AV145">
            <v>10.224017732239455</v>
          </cell>
          <cell r="AW145">
            <v>40665</v>
          </cell>
        </row>
        <row r="146">
          <cell r="C146" t="str">
            <v>Perlight - PLM-300 Series_S</v>
          </cell>
          <cell r="D146" t="str">
            <v>Standard Claw</v>
          </cell>
          <cell r="E146">
            <v>5000005</v>
          </cell>
          <cell r="F146">
            <v>39.055118110236222</v>
          </cell>
          <cell r="G146">
            <v>77.401574803149614</v>
          </cell>
          <cell r="H146">
            <v>1.9685039370078741</v>
          </cell>
          <cell r="I146">
            <v>200010707</v>
          </cell>
          <cell r="J146">
            <v>200010807</v>
          </cell>
          <cell r="K146">
            <v>200013807</v>
          </cell>
          <cell r="L146">
            <v>200016307</v>
          </cell>
          <cell r="M146">
            <v>500012581</v>
          </cell>
          <cell r="N146">
            <v>500012681</v>
          </cell>
          <cell r="O146">
            <v>500012581</v>
          </cell>
          <cell r="P146">
            <v>500012681</v>
          </cell>
          <cell r="Q146">
            <v>11.698754267040043</v>
          </cell>
          <cell r="R146">
            <v>10.455004839041191</v>
          </cell>
          <cell r="S146">
            <v>4.9330437584696041</v>
          </cell>
          <cell r="T146">
            <v>4.9330437584696041</v>
          </cell>
          <cell r="U146">
            <v>11.698754267040043</v>
          </cell>
          <cell r="V146">
            <v>10.455004839041191</v>
          </cell>
          <cell r="W146">
            <v>50</v>
          </cell>
          <cell r="X146">
            <v>35.2992125984252</v>
          </cell>
          <cell r="Y146">
            <v>78.873031496062993</v>
          </cell>
          <cell r="Z146">
            <v>35.2992125984252</v>
          </cell>
          <cell r="AA146">
            <v>78.873031496062993</v>
          </cell>
          <cell r="AB146">
            <v>35.2992125984252</v>
          </cell>
          <cell r="AC146">
            <v>78.873031496062993</v>
          </cell>
          <cell r="AD146">
            <v>78.873031496062993</v>
          </cell>
          <cell r="AE146">
            <v>77.901574803149614</v>
          </cell>
          <cell r="AF146">
            <v>35.901574803149614</v>
          </cell>
          <cell r="AG146">
            <v>39.925196850393704</v>
          </cell>
          <cell r="AH146" t="str">
            <v>N</v>
          </cell>
          <cell r="AI146">
            <v>59.535000000000004</v>
          </cell>
          <cell r="AJ146">
            <v>27</v>
          </cell>
          <cell r="AK146" t="str">
            <v>TBD</v>
          </cell>
          <cell r="AL146" t="str">
            <v>Y</v>
          </cell>
          <cell r="AM146">
            <v>200018407</v>
          </cell>
          <cell r="AN146">
            <v>200028407</v>
          </cell>
          <cell r="AO146">
            <v>200018307</v>
          </cell>
          <cell r="AP146">
            <v>200028307</v>
          </cell>
          <cell r="AQ146">
            <v>200018207</v>
          </cell>
          <cell r="AR146">
            <v>200028207</v>
          </cell>
          <cell r="AS146">
            <v>17.222222222222221</v>
          </cell>
          <cell r="AT146">
            <v>20.069602586497279</v>
          </cell>
          <cell r="AU146">
            <v>14.97260437224279</v>
          </cell>
          <cell r="AV146">
            <v>10.224017732239455</v>
          </cell>
          <cell r="AW146">
            <v>40665</v>
          </cell>
        </row>
        <row r="147">
          <cell r="C147" t="str">
            <v>Perlight - PLM-P200 Series_S</v>
          </cell>
          <cell r="D147" t="str">
            <v>Standard Claw</v>
          </cell>
          <cell r="E147">
            <v>5000005</v>
          </cell>
          <cell r="F147">
            <v>38.976377952755911</v>
          </cell>
          <cell r="G147">
            <v>58.858267716535437</v>
          </cell>
          <cell r="H147">
            <v>1.8110236220472442</v>
          </cell>
          <cell r="I147">
            <v>200010703</v>
          </cell>
          <cell r="J147">
            <v>200010803</v>
          </cell>
          <cell r="K147">
            <v>200013803</v>
          </cell>
          <cell r="L147">
            <v>200016303</v>
          </cell>
          <cell r="M147">
            <v>500012563</v>
          </cell>
          <cell r="N147">
            <v>500012663</v>
          </cell>
          <cell r="O147">
            <v>500012563</v>
          </cell>
          <cell r="P147">
            <v>500012663</v>
          </cell>
          <cell r="Q147">
            <v>11.725279318414811</v>
          </cell>
          <cell r="R147">
            <v>10.478642249707667</v>
          </cell>
          <cell r="S147">
            <v>4.9440996728708777</v>
          </cell>
          <cell r="T147">
            <v>4.9440996728708777</v>
          </cell>
          <cell r="U147">
            <v>11.725279318414811</v>
          </cell>
          <cell r="V147">
            <v>10.478642249707667</v>
          </cell>
          <cell r="W147">
            <v>50</v>
          </cell>
          <cell r="X147">
            <v>35.220472440944881</v>
          </cell>
          <cell r="Y147">
            <v>60.329724409448822</v>
          </cell>
          <cell r="Z147">
            <v>35.220472440944881</v>
          </cell>
          <cell r="AA147">
            <v>60.329724409448822</v>
          </cell>
          <cell r="AB147">
            <v>35.220472440944881</v>
          </cell>
          <cell r="AC147">
            <v>60.329724409448822</v>
          </cell>
          <cell r="AD147">
            <v>60.329724409448822</v>
          </cell>
          <cell r="AE147">
            <v>59.358267716535437</v>
          </cell>
          <cell r="AF147">
            <v>17.358267716535437</v>
          </cell>
          <cell r="AG147">
            <v>39.846456692913392</v>
          </cell>
          <cell r="AH147" t="str">
            <v>N</v>
          </cell>
          <cell r="AI147">
            <v>37.484999999999999</v>
          </cell>
          <cell r="AJ147">
            <v>17</v>
          </cell>
          <cell r="AK147" t="str">
            <v>TBD</v>
          </cell>
          <cell r="AL147" t="str">
            <v>Y</v>
          </cell>
          <cell r="AM147">
            <v>200018401</v>
          </cell>
          <cell r="AN147">
            <v>200028401</v>
          </cell>
          <cell r="AO147">
            <v>200018301</v>
          </cell>
          <cell r="AP147">
            <v>200028301</v>
          </cell>
          <cell r="AQ147">
            <v>200018201</v>
          </cell>
          <cell r="AR147">
            <v>200028201</v>
          </cell>
          <cell r="AS147">
            <v>13.22222222222222</v>
          </cell>
          <cell r="AT147">
            <v>20.110973161651764</v>
          </cell>
          <cell r="AU147">
            <v>15.002886128524771</v>
          </cell>
          <cell r="AV147">
            <v>10.244439167746933</v>
          </cell>
          <cell r="AW147">
            <v>40665</v>
          </cell>
        </row>
        <row r="148">
          <cell r="C148" t="str">
            <v>Perlight - PLM-P230 Series_S</v>
          </cell>
          <cell r="D148" t="str">
            <v>Standard Claw</v>
          </cell>
          <cell r="E148">
            <v>5000005</v>
          </cell>
          <cell r="F148">
            <v>39.055118110236222</v>
          </cell>
          <cell r="G148">
            <v>64.960629921259851</v>
          </cell>
          <cell r="H148">
            <v>1.8110236220472442</v>
          </cell>
          <cell r="I148">
            <v>200010704</v>
          </cell>
          <cell r="J148">
            <v>200010804</v>
          </cell>
          <cell r="K148">
            <v>200013804</v>
          </cell>
          <cell r="L148">
            <v>200016304</v>
          </cell>
          <cell r="M148">
            <v>500012569</v>
          </cell>
          <cell r="N148">
            <v>500012669</v>
          </cell>
          <cell r="O148">
            <v>500012569</v>
          </cell>
          <cell r="P148">
            <v>500012669</v>
          </cell>
          <cell r="Q148">
            <v>11.698754267040043</v>
          </cell>
          <cell r="R148">
            <v>10.455004839041191</v>
          </cell>
          <cell r="S148">
            <v>4.9330437584696041</v>
          </cell>
          <cell r="T148">
            <v>4.9330437584696041</v>
          </cell>
          <cell r="U148">
            <v>11.698754267040043</v>
          </cell>
          <cell r="V148">
            <v>10.455004839041191</v>
          </cell>
          <cell r="W148">
            <v>50</v>
          </cell>
          <cell r="X148">
            <v>35.2992125984252</v>
          </cell>
          <cell r="Y148">
            <v>66.43208661417323</v>
          </cell>
          <cell r="Z148">
            <v>35.2992125984252</v>
          </cell>
          <cell r="AA148">
            <v>66.43208661417323</v>
          </cell>
          <cell r="AB148">
            <v>35.2992125984252</v>
          </cell>
          <cell r="AC148">
            <v>66.43208661417323</v>
          </cell>
          <cell r="AD148">
            <v>66.43208661417323</v>
          </cell>
          <cell r="AE148">
            <v>65.460629921259851</v>
          </cell>
          <cell r="AF148">
            <v>23.460629921259848</v>
          </cell>
          <cell r="AG148">
            <v>39.925196850393704</v>
          </cell>
          <cell r="AH148" t="str">
            <v>N</v>
          </cell>
          <cell r="AI148">
            <v>46.305</v>
          </cell>
          <cell r="AJ148">
            <v>21</v>
          </cell>
          <cell r="AK148" t="str">
            <v>TBD</v>
          </cell>
          <cell r="AL148" t="str">
            <v>Y</v>
          </cell>
          <cell r="AM148">
            <v>200018403</v>
          </cell>
          <cell r="AN148">
            <v>200028403</v>
          </cell>
          <cell r="AO148">
            <v>200018303</v>
          </cell>
          <cell r="AP148">
            <v>200028303</v>
          </cell>
          <cell r="AQ148">
            <v>200018203</v>
          </cell>
          <cell r="AR148">
            <v>200028203</v>
          </cell>
          <cell r="AS148">
            <v>14.555555555555557</v>
          </cell>
          <cell r="AT148">
            <v>20.069602586497279</v>
          </cell>
          <cell r="AU148">
            <v>14.97260437224279</v>
          </cell>
          <cell r="AV148">
            <v>10.224017732239455</v>
          </cell>
          <cell r="AW148">
            <v>40665</v>
          </cell>
        </row>
        <row r="149">
          <cell r="C149" t="str">
            <v>Perlight - PLM-P280 Series_S</v>
          </cell>
          <cell r="D149" t="str">
            <v>Standard Claw</v>
          </cell>
          <cell r="E149">
            <v>5000005</v>
          </cell>
          <cell r="F149">
            <v>39.055118110236222</v>
          </cell>
          <cell r="G149">
            <v>77.401574803149614</v>
          </cell>
          <cell r="H149">
            <v>1.9685039370078741</v>
          </cell>
          <cell r="I149">
            <v>200010707</v>
          </cell>
          <cell r="J149">
            <v>200010807</v>
          </cell>
          <cell r="K149">
            <v>200013807</v>
          </cell>
          <cell r="L149">
            <v>200016307</v>
          </cell>
          <cell r="M149">
            <v>500012581</v>
          </cell>
          <cell r="N149">
            <v>500012681</v>
          </cell>
          <cell r="O149">
            <v>500012581</v>
          </cell>
          <cell r="P149">
            <v>500012681</v>
          </cell>
          <cell r="Q149">
            <v>11.698754267040043</v>
          </cell>
          <cell r="R149">
            <v>10.455004839041191</v>
          </cell>
          <cell r="S149">
            <v>4.9330437584696041</v>
          </cell>
          <cell r="T149">
            <v>4.9330437584696041</v>
          </cell>
          <cell r="U149">
            <v>11.698754267040043</v>
          </cell>
          <cell r="V149">
            <v>10.455004839041191</v>
          </cell>
          <cell r="W149">
            <v>50</v>
          </cell>
          <cell r="X149">
            <v>35.2992125984252</v>
          </cell>
          <cell r="Y149">
            <v>78.873031496062993</v>
          </cell>
          <cell r="Z149">
            <v>35.2992125984252</v>
          </cell>
          <cell r="AA149">
            <v>78.873031496062993</v>
          </cell>
          <cell r="AB149">
            <v>35.2992125984252</v>
          </cell>
          <cell r="AC149">
            <v>78.873031496062993</v>
          </cell>
          <cell r="AD149">
            <v>78.873031496062993</v>
          </cell>
          <cell r="AE149">
            <v>77.901574803149614</v>
          </cell>
          <cell r="AF149">
            <v>35.901574803149614</v>
          </cell>
          <cell r="AG149">
            <v>39.925196850393704</v>
          </cell>
          <cell r="AH149" t="str">
            <v>N</v>
          </cell>
          <cell r="AI149">
            <v>59.535000000000004</v>
          </cell>
          <cell r="AJ149">
            <v>27</v>
          </cell>
          <cell r="AK149" t="str">
            <v>TBD</v>
          </cell>
          <cell r="AL149" t="str">
            <v>Y</v>
          </cell>
          <cell r="AM149">
            <v>200018407</v>
          </cell>
          <cell r="AN149">
            <v>200028407</v>
          </cell>
          <cell r="AO149">
            <v>200018307</v>
          </cell>
          <cell r="AP149">
            <v>200028307</v>
          </cell>
          <cell r="AQ149">
            <v>200018207</v>
          </cell>
          <cell r="AR149">
            <v>200028207</v>
          </cell>
          <cell r="AS149">
            <v>17.222222222222221</v>
          </cell>
          <cell r="AT149">
            <v>20.069602586497279</v>
          </cell>
          <cell r="AU149">
            <v>14.97260437224279</v>
          </cell>
          <cell r="AV149">
            <v>10.224017732239455</v>
          </cell>
          <cell r="AW149">
            <v>40665</v>
          </cell>
        </row>
        <row r="150">
          <cell r="C150" t="str">
            <v>Phono Solar - PS 235-265 P-M 20 U_S</v>
          </cell>
          <cell r="D150" t="str">
            <v>Standard Claw</v>
          </cell>
          <cell r="E150">
            <v>5000005</v>
          </cell>
          <cell r="F150">
            <v>39.055118110236222</v>
          </cell>
          <cell r="G150">
            <v>64.566929133858267</v>
          </cell>
          <cell r="H150">
            <v>1.7716535433070868</v>
          </cell>
          <cell r="I150">
            <v>200010704</v>
          </cell>
          <cell r="J150">
            <v>200010804</v>
          </cell>
          <cell r="K150">
            <v>200013804</v>
          </cell>
          <cell r="L150">
            <v>200016304</v>
          </cell>
          <cell r="M150">
            <v>500012568</v>
          </cell>
          <cell r="N150">
            <v>500012668</v>
          </cell>
          <cell r="O150">
            <v>500012569</v>
          </cell>
          <cell r="P150">
            <v>500012669</v>
          </cell>
          <cell r="Q150">
            <v>11.698754267040043</v>
          </cell>
          <cell r="R150">
            <v>10.455004839041191</v>
          </cell>
          <cell r="S150">
            <v>4.9330437584696041</v>
          </cell>
          <cell r="T150">
            <v>4.9330437584696041</v>
          </cell>
          <cell r="U150">
            <v>11.698754267040043</v>
          </cell>
          <cell r="V150">
            <v>10.455004839041191</v>
          </cell>
          <cell r="W150">
            <v>50</v>
          </cell>
          <cell r="X150">
            <v>35.2992125984252</v>
          </cell>
          <cell r="Y150">
            <v>66.038385826771659</v>
          </cell>
          <cell r="Z150">
            <v>35.2992125984252</v>
          </cell>
          <cell r="AA150">
            <v>66.038385826771659</v>
          </cell>
          <cell r="AB150">
            <v>35.2992125984252</v>
          </cell>
          <cell r="AC150">
            <v>66.038385826771659</v>
          </cell>
          <cell r="AD150">
            <v>66.038385826771659</v>
          </cell>
          <cell r="AE150">
            <v>65.066929133858267</v>
          </cell>
          <cell r="AF150">
            <v>23.066929133858274</v>
          </cell>
          <cell r="AG150">
            <v>39.925196850393704</v>
          </cell>
          <cell r="AH150" t="str">
            <v>N</v>
          </cell>
          <cell r="AI150">
            <v>44.1</v>
          </cell>
          <cell r="AJ150">
            <v>20</v>
          </cell>
          <cell r="AK150" t="str">
            <v>TBD</v>
          </cell>
          <cell r="AL150" t="str">
            <v>Y</v>
          </cell>
          <cell r="AM150">
            <v>200018403</v>
          </cell>
          <cell r="AN150">
            <v>200028403</v>
          </cell>
          <cell r="AO150">
            <v>200018303</v>
          </cell>
          <cell r="AP150">
            <v>200028303</v>
          </cell>
          <cell r="AQ150">
            <v>200018203</v>
          </cell>
          <cell r="AR150">
            <v>200028203</v>
          </cell>
          <cell r="AS150">
            <v>14.555555555555557</v>
          </cell>
          <cell r="AT150">
            <v>20.069602586497279</v>
          </cell>
          <cell r="AU150">
            <v>14.97260437224279</v>
          </cell>
          <cell r="AV150">
            <v>10.224017732239455</v>
          </cell>
          <cell r="AW150">
            <v>41192</v>
          </cell>
        </row>
        <row r="151">
          <cell r="C151" t="str">
            <v>Q.Cells - QPEAK S 195-205_S</v>
          </cell>
          <cell r="D151" t="str">
            <v>Standard Claw</v>
          </cell>
          <cell r="E151">
            <v>5000005</v>
          </cell>
          <cell r="F151">
            <v>39.370078740157481</v>
          </cell>
          <cell r="G151">
            <v>53.070866141732289</v>
          </cell>
          <cell r="H151">
            <v>1.9685039370078741</v>
          </cell>
          <cell r="I151">
            <v>200010701</v>
          </cell>
          <cell r="J151">
            <v>200010801</v>
          </cell>
          <cell r="K151">
            <v>200013801</v>
          </cell>
          <cell r="L151">
            <v>200016301</v>
          </cell>
          <cell r="M151">
            <v>500012557</v>
          </cell>
          <cell r="N151">
            <v>500012657</v>
          </cell>
          <cell r="O151">
            <v>500012558</v>
          </cell>
          <cell r="P151">
            <v>500012658</v>
          </cell>
          <cell r="Q151">
            <v>11.465358118784648</v>
          </cell>
          <cell r="R151">
            <v>10.246997301541942</v>
          </cell>
          <cell r="S151">
            <v>4.835724312021207</v>
          </cell>
          <cell r="T151">
            <v>4.835724312021207</v>
          </cell>
          <cell r="U151">
            <v>11.465358118784648</v>
          </cell>
          <cell r="V151">
            <v>10.246997301541942</v>
          </cell>
          <cell r="W151">
            <v>50</v>
          </cell>
          <cell r="X151">
            <v>36.007874015748037</v>
          </cell>
          <cell r="Y151">
            <v>54.936023622047244</v>
          </cell>
          <cell r="Z151">
            <v>36.007874015748037</v>
          </cell>
          <cell r="AA151">
            <v>54.936023622047244</v>
          </cell>
          <cell r="AB151">
            <v>36.007874015748037</v>
          </cell>
          <cell r="AC151">
            <v>54.936023622047244</v>
          </cell>
          <cell r="AD151">
            <v>54.936023622047244</v>
          </cell>
          <cell r="AE151" t="str">
            <v>NA</v>
          </cell>
          <cell r="AF151" t="str">
            <v>NA</v>
          </cell>
          <cell r="AG151" t="str">
            <v>NA</v>
          </cell>
          <cell r="AH151" t="str">
            <v>N</v>
          </cell>
          <cell r="AI151">
            <v>35.28</v>
          </cell>
          <cell r="AJ151">
            <v>16</v>
          </cell>
          <cell r="AK151" t="str">
            <v>TBD</v>
          </cell>
          <cell r="AL151" t="str">
            <v>Y</v>
          </cell>
          <cell r="AM151" t="str">
            <v>2000184TBD</v>
          </cell>
          <cell r="AN151" t="str">
            <v>2000284TBD</v>
          </cell>
          <cell r="AO151" t="str">
            <v>2000183TBD</v>
          </cell>
          <cell r="AP151" t="str">
            <v>2000283TBD</v>
          </cell>
          <cell r="AQ151" t="str">
            <v>2000182TBD</v>
          </cell>
          <cell r="AR151" t="str">
            <v>2000282TBD</v>
          </cell>
          <cell r="AS151" t="str">
            <v>TBD</v>
          </cell>
          <cell r="AT151" t="str">
            <v>NA</v>
          </cell>
          <cell r="AU151" t="str">
            <v>NA</v>
          </cell>
          <cell r="AV151" t="str">
            <v>NA</v>
          </cell>
          <cell r="AW151">
            <v>41193</v>
          </cell>
        </row>
        <row r="152">
          <cell r="C152" t="str">
            <v>Q.Cells - QPEAK 230-265_S</v>
          </cell>
          <cell r="D152" t="str">
            <v>Standard Claw</v>
          </cell>
          <cell r="E152">
            <v>5000005</v>
          </cell>
          <cell r="F152">
            <v>39.370078740157481</v>
          </cell>
          <cell r="G152">
            <v>65.748031496062993</v>
          </cell>
          <cell r="H152">
            <v>1.9685039370078741</v>
          </cell>
          <cell r="I152">
            <v>200010705</v>
          </cell>
          <cell r="J152">
            <v>200010805</v>
          </cell>
          <cell r="K152">
            <v>200013805</v>
          </cell>
          <cell r="L152">
            <v>200016305</v>
          </cell>
          <cell r="M152">
            <v>500012570</v>
          </cell>
          <cell r="N152">
            <v>500012670</v>
          </cell>
          <cell r="O152">
            <v>500012570</v>
          </cell>
          <cell r="P152">
            <v>500012670</v>
          </cell>
          <cell r="Q152">
            <v>11.465358118784648</v>
          </cell>
          <cell r="R152">
            <v>10.246997301541942</v>
          </cell>
          <cell r="S152">
            <v>4.835724312021207</v>
          </cell>
          <cell r="T152">
            <v>4.835724312021207</v>
          </cell>
          <cell r="U152">
            <v>11.465358118784648</v>
          </cell>
          <cell r="V152">
            <v>10.246997301541942</v>
          </cell>
          <cell r="W152">
            <v>50</v>
          </cell>
          <cell r="X152">
            <v>36.007874015748037</v>
          </cell>
          <cell r="Y152">
            <v>67.613188976377955</v>
          </cell>
          <cell r="Z152">
            <v>36.007874015748037</v>
          </cell>
          <cell r="AA152">
            <v>67.613188976377955</v>
          </cell>
          <cell r="AB152">
            <v>36.007874015748037</v>
          </cell>
          <cell r="AC152">
            <v>67.613188976377955</v>
          </cell>
          <cell r="AD152">
            <v>67.613188976377955</v>
          </cell>
          <cell r="AE152">
            <v>66.248031496062993</v>
          </cell>
          <cell r="AF152">
            <v>24.248031496062996</v>
          </cell>
          <cell r="AG152">
            <v>40.633858267716533</v>
          </cell>
          <cell r="AH152" t="str">
            <v>N</v>
          </cell>
          <cell r="AI152">
            <v>44.1</v>
          </cell>
          <cell r="AJ152">
            <v>20</v>
          </cell>
          <cell r="AK152" t="str">
            <v>TBD</v>
          </cell>
          <cell r="AL152" t="str">
            <v>Y</v>
          </cell>
          <cell r="AM152">
            <v>200018403</v>
          </cell>
          <cell r="AN152">
            <v>200028403</v>
          </cell>
          <cell r="AO152">
            <v>200018303</v>
          </cell>
          <cell r="AP152">
            <v>200028303</v>
          </cell>
          <cell r="AQ152">
            <v>200018203</v>
          </cell>
          <cell r="AR152">
            <v>200028203</v>
          </cell>
          <cell r="AS152">
            <v>14.555555555555557</v>
          </cell>
          <cell r="AT152">
            <v>19.704952178195999</v>
          </cell>
          <cell r="AU152">
            <v>14.705534151836694</v>
          </cell>
          <cell r="AV152">
            <v>10.043842940733546</v>
          </cell>
          <cell r="AW152">
            <v>41193</v>
          </cell>
        </row>
        <row r="153">
          <cell r="C153" t="str">
            <v>Q.Cells - QPRO-G2 230-265_S</v>
          </cell>
          <cell r="D153" t="str">
            <v>Standard Claw</v>
          </cell>
          <cell r="E153">
            <v>5000005</v>
          </cell>
          <cell r="F153">
            <v>39.370078740157481</v>
          </cell>
          <cell r="G153">
            <v>65.748031496062993</v>
          </cell>
          <cell r="H153">
            <v>1.9685039370078741</v>
          </cell>
          <cell r="I153">
            <v>200010705</v>
          </cell>
          <cell r="J153">
            <v>200010805</v>
          </cell>
          <cell r="K153">
            <v>200013805</v>
          </cell>
          <cell r="L153">
            <v>200016305</v>
          </cell>
          <cell r="M153">
            <v>500012570</v>
          </cell>
          <cell r="N153">
            <v>500012670</v>
          </cell>
          <cell r="O153">
            <v>500012570</v>
          </cell>
          <cell r="P153">
            <v>500012670</v>
          </cell>
          <cell r="Q153">
            <v>11.465358118784648</v>
          </cell>
          <cell r="R153">
            <v>10.246997301541942</v>
          </cell>
          <cell r="S153">
            <v>4.835724312021207</v>
          </cell>
          <cell r="T153">
            <v>4.835724312021207</v>
          </cell>
          <cell r="U153">
            <v>11.465358118784648</v>
          </cell>
          <cell r="V153">
            <v>10.246997301541942</v>
          </cell>
          <cell r="W153">
            <v>50</v>
          </cell>
          <cell r="X153">
            <v>36.007874015748037</v>
          </cell>
          <cell r="Y153">
            <v>67.613188976377955</v>
          </cell>
          <cell r="Z153">
            <v>36.007874015748037</v>
          </cell>
          <cell r="AA153">
            <v>67.613188976377955</v>
          </cell>
          <cell r="AB153">
            <v>36.007874015748037</v>
          </cell>
          <cell r="AC153">
            <v>67.613188976377955</v>
          </cell>
          <cell r="AD153">
            <v>67.613188976377955</v>
          </cell>
          <cell r="AE153">
            <v>66.248031496062993</v>
          </cell>
          <cell r="AF153">
            <v>24.248031496062996</v>
          </cell>
          <cell r="AG153">
            <v>40.633858267716533</v>
          </cell>
          <cell r="AH153" t="str">
            <v>N</v>
          </cell>
          <cell r="AI153">
            <v>44.1</v>
          </cell>
          <cell r="AJ153">
            <v>20</v>
          </cell>
          <cell r="AK153" t="str">
            <v>TBD</v>
          </cell>
          <cell r="AL153" t="str">
            <v>Y</v>
          </cell>
          <cell r="AM153">
            <v>200018403</v>
          </cell>
          <cell r="AN153">
            <v>200028403</v>
          </cell>
          <cell r="AO153">
            <v>200018303</v>
          </cell>
          <cell r="AP153">
            <v>200028303</v>
          </cell>
          <cell r="AQ153">
            <v>200018203</v>
          </cell>
          <cell r="AR153">
            <v>200028203</v>
          </cell>
          <cell r="AS153">
            <v>14.555555555555557</v>
          </cell>
          <cell r="AT153">
            <v>19.704952178195999</v>
          </cell>
          <cell r="AU153">
            <v>14.705534151836694</v>
          </cell>
          <cell r="AV153">
            <v>10.043842940733546</v>
          </cell>
          <cell r="AW153">
            <v>41193</v>
          </cell>
        </row>
        <row r="154">
          <cell r="C154" t="str">
            <v>REC Solar - REC205-230AE_S</v>
          </cell>
          <cell r="D154" t="str">
            <v>Standard Claw</v>
          </cell>
          <cell r="E154">
            <v>5000005</v>
          </cell>
          <cell r="F154">
            <v>39.015748031496067</v>
          </cell>
          <cell r="G154">
            <v>65.551181102362207</v>
          </cell>
          <cell r="H154">
            <v>1.6929133858267718</v>
          </cell>
          <cell r="I154">
            <v>200010705</v>
          </cell>
          <cell r="J154">
            <v>200010805</v>
          </cell>
          <cell r="K154">
            <v>200013804</v>
          </cell>
          <cell r="L154">
            <v>200016304</v>
          </cell>
          <cell r="M154">
            <v>500012569</v>
          </cell>
          <cell r="N154">
            <v>500012669</v>
          </cell>
          <cell r="O154">
            <v>500012570</v>
          </cell>
          <cell r="P154">
            <v>500012670</v>
          </cell>
          <cell r="Q154">
            <v>11.712001665978303</v>
          </cell>
          <cell r="R154">
            <v>10.466810122774502</v>
          </cell>
          <cell r="S154">
            <v>4.9385655202770034</v>
          </cell>
          <cell r="T154">
            <v>4.9385655202770034</v>
          </cell>
          <cell r="U154">
            <v>11.712001665978303</v>
          </cell>
          <cell r="V154">
            <v>10.466810122774502</v>
          </cell>
          <cell r="W154">
            <v>50</v>
          </cell>
          <cell r="X154">
            <v>35.259842519685044</v>
          </cell>
          <cell r="Y154">
            <v>67.0226377952756</v>
          </cell>
          <cell r="Z154">
            <v>35.259842519685044</v>
          </cell>
          <cell r="AA154">
            <v>67.0226377952756</v>
          </cell>
          <cell r="AB154">
            <v>35.259842519685044</v>
          </cell>
          <cell r="AC154">
            <v>67.0226377952756</v>
          </cell>
          <cell r="AD154">
            <v>67.0226377952756</v>
          </cell>
          <cell r="AE154">
            <v>66.051181102362207</v>
          </cell>
          <cell r="AF154">
            <v>24.051181102362211</v>
          </cell>
          <cell r="AG154">
            <v>39.885826771653548</v>
          </cell>
          <cell r="AH154" t="str">
            <v>N</v>
          </cell>
          <cell r="AI154">
            <v>48.510000000000005</v>
          </cell>
          <cell r="AJ154">
            <v>22</v>
          </cell>
          <cell r="AK154" t="str">
            <v>TBD</v>
          </cell>
          <cell r="AL154" t="str">
            <v>Y</v>
          </cell>
          <cell r="AM154">
            <v>200018403</v>
          </cell>
          <cell r="AN154">
            <v>200028403</v>
          </cell>
          <cell r="AO154">
            <v>200018303</v>
          </cell>
          <cell r="AP154">
            <v>200028303</v>
          </cell>
          <cell r="AQ154">
            <v>200018203</v>
          </cell>
          <cell r="AR154">
            <v>200028203</v>
          </cell>
          <cell r="AS154">
            <v>14.555555555555557</v>
          </cell>
          <cell r="AT154">
            <v>20.090266090541991</v>
          </cell>
          <cell r="AU154">
            <v>14.987729769699868</v>
          </cell>
          <cell r="AV154">
            <v>10.23421820704114</v>
          </cell>
          <cell r="AW154">
            <v>40665</v>
          </cell>
        </row>
        <row r="155">
          <cell r="C155" t="str">
            <v>REC Solar - REC 220-245 PE _S</v>
          </cell>
          <cell r="D155" t="str">
            <v>Standard Claw</v>
          </cell>
          <cell r="E155">
            <v>5000005</v>
          </cell>
          <cell r="F155">
            <v>39.015748031496067</v>
          </cell>
          <cell r="G155">
            <v>65.551181102362207</v>
          </cell>
          <cell r="H155">
            <v>1.4960629921259843</v>
          </cell>
          <cell r="I155">
            <v>200010705</v>
          </cell>
          <cell r="J155">
            <v>200010805</v>
          </cell>
          <cell r="K155">
            <v>200013805</v>
          </cell>
          <cell r="L155">
            <v>200016305</v>
          </cell>
          <cell r="M155">
            <v>500012570</v>
          </cell>
          <cell r="N155">
            <v>500012670</v>
          </cell>
          <cell r="O155">
            <v>500012570</v>
          </cell>
          <cell r="P155">
            <v>500012670</v>
          </cell>
          <cell r="Q155">
            <v>11.529244460694249</v>
          </cell>
          <cell r="R155">
            <v>10.303937693229198</v>
          </cell>
          <cell r="S155">
            <v>4.8623697312523513</v>
          </cell>
          <cell r="T155">
            <v>4.8623697312523513</v>
          </cell>
          <cell r="U155">
            <v>11.529244460694249</v>
          </cell>
          <cell r="V155">
            <v>10.303937693229198</v>
          </cell>
          <cell r="W155">
            <v>50</v>
          </cell>
          <cell r="X155">
            <v>35.811023622047244</v>
          </cell>
          <cell r="Y155">
            <v>67.573818897637793</v>
          </cell>
          <cell r="Z155">
            <v>35.811023622047244</v>
          </cell>
          <cell r="AA155">
            <v>67.573818897637793</v>
          </cell>
          <cell r="AB155">
            <v>35.811023622047244</v>
          </cell>
          <cell r="AC155">
            <v>67.573818897637793</v>
          </cell>
          <cell r="AD155">
            <v>67.573818897637793</v>
          </cell>
          <cell r="AE155">
            <v>66.051181102362207</v>
          </cell>
          <cell r="AF155">
            <v>24.051181102362211</v>
          </cell>
          <cell r="AG155">
            <v>40.437007874015748</v>
          </cell>
          <cell r="AH155" t="str">
            <v>N</v>
          </cell>
          <cell r="AI155">
            <v>39.69</v>
          </cell>
          <cell r="AJ155">
            <v>18</v>
          </cell>
          <cell r="AK155" t="str">
            <v>TBD</v>
          </cell>
          <cell r="AL155" t="str">
            <v>Y</v>
          </cell>
          <cell r="AM155">
            <v>200018403</v>
          </cell>
          <cell r="AN155">
            <v>200028403</v>
          </cell>
          <cell r="AO155">
            <v>200018303</v>
          </cell>
          <cell r="AP155">
            <v>200028303</v>
          </cell>
          <cell r="AQ155">
            <v>200018203</v>
          </cell>
          <cell r="AR155">
            <v>200028203</v>
          </cell>
          <cell r="AS155">
            <v>14.555555555555557</v>
          </cell>
          <cell r="AT155">
            <v>19.804878512480695</v>
          </cell>
          <cell r="AU155">
            <v>14.778748578610935</v>
          </cell>
          <cell r="AV155">
            <v>10.093247965686727</v>
          </cell>
          <cell r="AW155">
            <v>41261</v>
          </cell>
        </row>
        <row r="156">
          <cell r="C156" t="str">
            <v>Renogy - RNG 230-250 D-P_S</v>
          </cell>
          <cell r="D156" t="str">
            <v>Standard Claw</v>
          </cell>
          <cell r="E156">
            <v>5000005</v>
          </cell>
          <cell r="F156">
            <v>38.976377952755911</v>
          </cell>
          <cell r="G156">
            <v>64.960629921259851</v>
          </cell>
          <cell r="H156">
            <v>1.9685039370078741</v>
          </cell>
          <cell r="I156">
            <v>200010704</v>
          </cell>
          <cell r="J156">
            <v>200010804</v>
          </cell>
          <cell r="K156">
            <v>200013804</v>
          </cell>
          <cell r="L156">
            <v>200016304</v>
          </cell>
          <cell r="M156">
            <v>500012569</v>
          </cell>
          <cell r="N156">
            <v>500012669</v>
          </cell>
          <cell r="O156">
            <v>500012569</v>
          </cell>
          <cell r="P156">
            <v>500012669</v>
          </cell>
          <cell r="Q156">
            <v>11.725279318414811</v>
          </cell>
          <cell r="R156">
            <v>10.478642249707667</v>
          </cell>
          <cell r="S156">
            <v>4.9440996728708777</v>
          </cell>
          <cell r="T156">
            <v>4.9440996728708777</v>
          </cell>
          <cell r="U156">
            <v>11.725279318414811</v>
          </cell>
          <cell r="V156">
            <v>10.478642249707667</v>
          </cell>
          <cell r="W156">
            <v>50</v>
          </cell>
          <cell r="X156">
            <v>35.220472440944881</v>
          </cell>
          <cell r="Y156">
            <v>66.43208661417323</v>
          </cell>
          <cell r="Z156">
            <v>35.220472440944881</v>
          </cell>
          <cell r="AA156">
            <v>66.43208661417323</v>
          </cell>
          <cell r="AB156">
            <v>35.220472440944881</v>
          </cell>
          <cell r="AC156">
            <v>66.43208661417323</v>
          </cell>
          <cell r="AD156">
            <v>66.43208661417323</v>
          </cell>
          <cell r="AE156">
            <v>65.460629921259851</v>
          </cell>
          <cell r="AF156">
            <v>23.460629921259848</v>
          </cell>
          <cell r="AG156">
            <v>39.846456692913392</v>
          </cell>
          <cell r="AH156" t="str">
            <v>Y</v>
          </cell>
          <cell r="AI156">
            <v>41.895000000000003</v>
          </cell>
          <cell r="AJ156">
            <v>19</v>
          </cell>
          <cell r="AK156" t="str">
            <v>TBD</v>
          </cell>
          <cell r="AL156" t="str">
            <v>Y</v>
          </cell>
          <cell r="AM156">
            <v>200018403</v>
          </cell>
          <cell r="AN156">
            <v>200028403</v>
          </cell>
          <cell r="AO156">
            <v>200018303</v>
          </cell>
          <cell r="AP156">
            <v>200028303</v>
          </cell>
          <cell r="AQ156">
            <v>200018203</v>
          </cell>
          <cell r="AR156">
            <v>200028203</v>
          </cell>
          <cell r="AS156">
            <v>14.555555555555557</v>
          </cell>
          <cell r="AT156">
            <v>20.110973161651764</v>
          </cell>
          <cell r="AU156">
            <v>15.002886128524771</v>
          </cell>
          <cell r="AV156">
            <v>10.244439167746933</v>
          </cell>
          <cell r="AW156">
            <v>40980</v>
          </cell>
        </row>
        <row r="157">
          <cell r="C157" t="str">
            <v>Renogy - RNG 270-300 D-P_S</v>
          </cell>
          <cell r="D157" t="str">
            <v>Standard Claw</v>
          </cell>
          <cell r="E157">
            <v>5000005</v>
          </cell>
          <cell r="F157">
            <v>38.976377952755911</v>
          </cell>
          <cell r="G157">
            <v>76.929133858267718</v>
          </cell>
          <cell r="H157">
            <v>1.9685039370078741</v>
          </cell>
          <cell r="I157">
            <v>200010707</v>
          </cell>
          <cell r="J157">
            <v>200010807</v>
          </cell>
          <cell r="K157">
            <v>200013807</v>
          </cell>
          <cell r="L157">
            <v>200016307</v>
          </cell>
          <cell r="M157">
            <v>500012581</v>
          </cell>
          <cell r="N157">
            <v>500012681</v>
          </cell>
          <cell r="O157">
            <v>500012581</v>
          </cell>
          <cell r="P157">
            <v>500012681</v>
          </cell>
          <cell r="Q157">
            <v>11.725279318414811</v>
          </cell>
          <cell r="R157">
            <v>10.478642249707667</v>
          </cell>
          <cell r="S157">
            <v>4.9440996728708777</v>
          </cell>
          <cell r="T157">
            <v>4.9440996728708777</v>
          </cell>
          <cell r="U157">
            <v>11.725279318414811</v>
          </cell>
          <cell r="V157">
            <v>10.478642249707667</v>
          </cell>
          <cell r="W157">
            <v>40</v>
          </cell>
          <cell r="X157">
            <v>35.220472440944881</v>
          </cell>
          <cell r="Y157">
            <v>78.400590551181111</v>
          </cell>
          <cell r="Z157">
            <v>35.220472440944881</v>
          </cell>
          <cell r="AA157">
            <v>78.400590551181111</v>
          </cell>
          <cell r="AB157">
            <v>35.220472440944881</v>
          </cell>
          <cell r="AC157">
            <v>78.400590551181111</v>
          </cell>
          <cell r="AD157">
            <v>78.400590551181111</v>
          </cell>
          <cell r="AE157">
            <v>77.429133858267718</v>
          </cell>
          <cell r="AF157">
            <v>35.429133858267726</v>
          </cell>
          <cell r="AG157">
            <v>39.846456692913392</v>
          </cell>
          <cell r="AH157" t="str">
            <v>Y</v>
          </cell>
          <cell r="AI157">
            <v>50.715000000000003</v>
          </cell>
          <cell r="AJ157">
            <v>23</v>
          </cell>
          <cell r="AK157" t="str">
            <v>TBD</v>
          </cell>
          <cell r="AL157" t="str">
            <v>Y</v>
          </cell>
          <cell r="AM157">
            <v>200018407</v>
          </cell>
          <cell r="AN157">
            <v>200028407</v>
          </cell>
          <cell r="AO157">
            <v>200018307</v>
          </cell>
          <cell r="AP157">
            <v>200028307</v>
          </cell>
          <cell r="AQ157">
            <v>200018207</v>
          </cell>
          <cell r="AR157">
            <v>200028207</v>
          </cell>
          <cell r="AS157">
            <v>17.222222222222221</v>
          </cell>
          <cell r="AT157">
            <v>20.110973161651764</v>
          </cell>
          <cell r="AU157">
            <v>15.002886128524771</v>
          </cell>
          <cell r="AV157">
            <v>10.244439167746933</v>
          </cell>
          <cell r="AW157">
            <v>41026</v>
          </cell>
        </row>
        <row r="158">
          <cell r="C158" t="str">
            <v>S-Energy - SM-PC8 Rail 195-220_M</v>
          </cell>
          <cell r="D158" t="str">
            <v>Short Clamp Multi Claw</v>
          </cell>
          <cell r="E158">
            <v>500000701</v>
          </cell>
          <cell r="F158">
            <v>39.330708661417326</v>
          </cell>
          <cell r="G158">
            <v>59.251968503937015</v>
          </cell>
          <cell r="H158">
            <v>1.9685039370078741</v>
          </cell>
          <cell r="I158">
            <v>200010703</v>
          </cell>
          <cell r="J158">
            <v>200010803</v>
          </cell>
          <cell r="K158">
            <v>200013803</v>
          </cell>
          <cell r="L158">
            <v>200016303</v>
          </cell>
          <cell r="M158">
            <v>500012562</v>
          </cell>
          <cell r="N158">
            <v>500012662</v>
          </cell>
          <cell r="O158">
            <v>500012563</v>
          </cell>
          <cell r="P158">
            <v>500012663</v>
          </cell>
          <cell r="Q158">
            <v>10.974871106573744</v>
          </cell>
          <cell r="R158">
            <v>9.8097507734764164</v>
          </cell>
          <cell r="S158">
            <v>4.6309905154437647</v>
          </cell>
          <cell r="T158">
            <v>4.6309905154437647</v>
          </cell>
          <cell r="U158">
            <v>10.974871106573744</v>
          </cell>
          <cell r="V158">
            <v>9.8097507734764164</v>
          </cell>
          <cell r="W158">
            <v>30</v>
          </cell>
          <cell r="X158">
            <v>37.596062992125987</v>
          </cell>
          <cell r="Y158">
            <v>59.827362204724416</v>
          </cell>
          <cell r="Z158">
            <v>37.596062992125987</v>
          </cell>
          <cell r="AA158">
            <v>59.827362204724416</v>
          </cell>
          <cell r="AB158">
            <v>37.596062992125987</v>
          </cell>
          <cell r="AC158">
            <v>59.827362204724416</v>
          </cell>
          <cell r="AD158">
            <v>59.827362204724416</v>
          </cell>
          <cell r="AE158">
            <v>59.751968503937015</v>
          </cell>
          <cell r="AF158">
            <v>17.751968503937011</v>
          </cell>
          <cell r="AG158">
            <v>40.437007874015748</v>
          </cell>
          <cell r="AH158" t="str">
            <v>N</v>
          </cell>
          <cell r="AI158">
            <v>39.69</v>
          </cell>
          <cell r="AJ158">
            <v>18</v>
          </cell>
          <cell r="AK158" t="str">
            <v>TBD</v>
          </cell>
          <cell r="AL158" t="str">
            <v>Y</v>
          </cell>
          <cell r="AM158">
            <v>200018401</v>
          </cell>
          <cell r="AN158">
            <v>200028401</v>
          </cell>
          <cell r="AO158">
            <v>200018301</v>
          </cell>
          <cell r="AP158">
            <v>200028301</v>
          </cell>
          <cell r="AQ158">
            <v>200018201</v>
          </cell>
          <cell r="AR158">
            <v>200028201</v>
          </cell>
          <cell r="AS158">
            <v>13.22222222222222</v>
          </cell>
          <cell r="AT158">
            <v>19.804878512480695</v>
          </cell>
          <cell r="AU158">
            <v>14.778748578610935</v>
          </cell>
          <cell r="AV158">
            <v>10.093247965686727</v>
          </cell>
          <cell r="AW158">
            <v>41026</v>
          </cell>
        </row>
        <row r="159">
          <cell r="C159" t="str">
            <v>S-Energy - SM-PC8 Rail 225-250_M</v>
          </cell>
          <cell r="D159" t="str">
            <v>Short Clamp Multi Claw</v>
          </cell>
          <cell r="E159">
            <v>500000701</v>
          </cell>
          <cell r="F159">
            <v>39.330708661417326</v>
          </cell>
          <cell r="G159">
            <v>65.551181102362207</v>
          </cell>
          <cell r="H159">
            <v>1.9685039370078741</v>
          </cell>
          <cell r="I159">
            <v>200010704</v>
          </cell>
          <cell r="J159">
            <v>200010804</v>
          </cell>
          <cell r="K159">
            <v>200013804</v>
          </cell>
          <cell r="L159">
            <v>200016304</v>
          </cell>
          <cell r="M159">
            <v>500012568</v>
          </cell>
          <cell r="N159">
            <v>500012668</v>
          </cell>
          <cell r="O159">
            <v>500012569</v>
          </cell>
          <cell r="P159">
            <v>500012669</v>
          </cell>
          <cell r="Q159">
            <v>10.974871106573744</v>
          </cell>
          <cell r="R159">
            <v>9.8097507734764164</v>
          </cell>
          <cell r="S159">
            <v>4.6309905154437647</v>
          </cell>
          <cell r="T159">
            <v>4.6309905154437647</v>
          </cell>
          <cell r="U159">
            <v>10.974871106573744</v>
          </cell>
          <cell r="V159">
            <v>9.8097507734764164</v>
          </cell>
          <cell r="W159">
            <v>30</v>
          </cell>
          <cell r="X159">
            <v>37.596062992125987</v>
          </cell>
          <cell r="Y159">
            <v>66.126574803149609</v>
          </cell>
          <cell r="Z159">
            <v>37.596062992125987</v>
          </cell>
          <cell r="AA159">
            <v>66.126574803149609</v>
          </cell>
          <cell r="AB159">
            <v>37.596062992125987</v>
          </cell>
          <cell r="AC159">
            <v>66.126574803149609</v>
          </cell>
          <cell r="AD159">
            <v>66.126574803149609</v>
          </cell>
          <cell r="AE159">
            <v>66.051181102362207</v>
          </cell>
          <cell r="AF159">
            <v>24.051181102362211</v>
          </cell>
          <cell r="AG159">
            <v>40.437007874015748</v>
          </cell>
          <cell r="AH159" t="str">
            <v>N</v>
          </cell>
          <cell r="AI159">
            <v>44.1</v>
          </cell>
          <cell r="AJ159">
            <v>20</v>
          </cell>
          <cell r="AK159" t="str">
            <v>TBD</v>
          </cell>
          <cell r="AL159" t="str">
            <v>Y</v>
          </cell>
          <cell r="AM159">
            <v>200018403</v>
          </cell>
          <cell r="AN159">
            <v>200028403</v>
          </cell>
          <cell r="AO159">
            <v>200018303</v>
          </cell>
          <cell r="AP159">
            <v>200028303</v>
          </cell>
          <cell r="AQ159">
            <v>200018203</v>
          </cell>
          <cell r="AR159">
            <v>200028203</v>
          </cell>
          <cell r="AS159">
            <v>14.555555555555557</v>
          </cell>
          <cell r="AT159">
            <v>19.804878512480695</v>
          </cell>
          <cell r="AU159">
            <v>14.778748578610935</v>
          </cell>
          <cell r="AV159">
            <v>10.093247965686727</v>
          </cell>
          <cell r="AW159">
            <v>41026</v>
          </cell>
        </row>
        <row r="160">
          <cell r="C160" t="str">
            <v>S-Energy - SM-PC8 Rail 260-295_M</v>
          </cell>
          <cell r="D160" t="str">
            <v>Short Clamp Multi Claw</v>
          </cell>
          <cell r="E160">
            <v>500000701</v>
          </cell>
          <cell r="F160">
            <v>39.330708661417326</v>
          </cell>
          <cell r="G160">
            <v>78.149606299212607</v>
          </cell>
          <cell r="H160">
            <v>1.9685039370078741</v>
          </cell>
          <cell r="I160">
            <v>200010707</v>
          </cell>
          <cell r="J160">
            <v>200010807</v>
          </cell>
          <cell r="K160">
            <v>200013807</v>
          </cell>
          <cell r="L160">
            <v>200016307</v>
          </cell>
          <cell r="M160">
            <v>500012581</v>
          </cell>
          <cell r="N160">
            <v>500012681</v>
          </cell>
          <cell r="O160">
            <v>500012581</v>
          </cell>
          <cell r="P160">
            <v>500012681</v>
          </cell>
          <cell r="Q160">
            <v>10.974871106573744</v>
          </cell>
          <cell r="R160">
            <v>9.8097507734764164</v>
          </cell>
          <cell r="S160">
            <v>4.6309905154437647</v>
          </cell>
          <cell r="T160">
            <v>4.6309905154437647</v>
          </cell>
          <cell r="U160">
            <v>10.974871106573744</v>
          </cell>
          <cell r="V160">
            <v>9.8097507734764164</v>
          </cell>
          <cell r="W160">
            <v>30</v>
          </cell>
          <cell r="X160">
            <v>37.596062992125987</v>
          </cell>
          <cell r="Y160">
            <v>78.725000000000009</v>
          </cell>
          <cell r="Z160">
            <v>37.596062992125987</v>
          </cell>
          <cell r="AA160">
            <v>78.725000000000009</v>
          </cell>
          <cell r="AB160">
            <v>37.596062992125987</v>
          </cell>
          <cell r="AC160">
            <v>78.725000000000009</v>
          </cell>
          <cell r="AD160">
            <v>78.725000000000009</v>
          </cell>
          <cell r="AE160">
            <v>78.649606299212607</v>
          </cell>
          <cell r="AF160">
            <v>36.649606299212607</v>
          </cell>
          <cell r="AG160">
            <v>40.437007874015748</v>
          </cell>
          <cell r="AH160" t="str">
            <v>N</v>
          </cell>
          <cell r="AI160">
            <v>50.715000000000003</v>
          </cell>
          <cell r="AJ160">
            <v>23</v>
          </cell>
          <cell r="AK160" t="str">
            <v>TBD</v>
          </cell>
          <cell r="AL160" t="str">
            <v>Y</v>
          </cell>
          <cell r="AM160">
            <v>200018407</v>
          </cell>
          <cell r="AN160">
            <v>200028407</v>
          </cell>
          <cell r="AO160">
            <v>200018307</v>
          </cell>
          <cell r="AP160">
            <v>200028307</v>
          </cell>
          <cell r="AQ160">
            <v>200018207</v>
          </cell>
          <cell r="AR160">
            <v>200028207</v>
          </cell>
          <cell r="AS160">
            <v>17.222222222222221</v>
          </cell>
          <cell r="AT160">
            <v>19.804878512480695</v>
          </cell>
          <cell r="AU160">
            <v>14.778748578610935</v>
          </cell>
          <cell r="AV160">
            <v>10.093247965686727</v>
          </cell>
          <cell r="AW160">
            <v>41026</v>
          </cell>
        </row>
        <row r="161">
          <cell r="C161" t="str">
            <v>S-Energy - SM-MC8 Rail 220-240_M</v>
          </cell>
          <cell r="D161" t="str">
            <v>Short Clamp Multi Claw</v>
          </cell>
          <cell r="E161">
            <v>500000701</v>
          </cell>
          <cell r="F161">
            <v>39.330708661417326</v>
          </cell>
          <cell r="G161">
            <v>59.251968503937015</v>
          </cell>
          <cell r="H161">
            <v>1.9685039370078741</v>
          </cell>
          <cell r="I161">
            <v>200010703</v>
          </cell>
          <cell r="J161">
            <v>200010803</v>
          </cell>
          <cell r="K161">
            <v>200013803</v>
          </cell>
          <cell r="L161">
            <v>200016303</v>
          </cell>
          <cell r="M161">
            <v>500012562</v>
          </cell>
          <cell r="N161">
            <v>500012662</v>
          </cell>
          <cell r="O161">
            <v>500012563</v>
          </cell>
          <cell r="P161">
            <v>500012663</v>
          </cell>
          <cell r="Q161">
            <v>10.974871106573744</v>
          </cell>
          <cell r="R161">
            <v>9.8097507734764164</v>
          </cell>
          <cell r="S161">
            <v>4.6309905154437647</v>
          </cell>
          <cell r="T161">
            <v>4.6309905154437647</v>
          </cell>
          <cell r="U161">
            <v>10.974871106573744</v>
          </cell>
          <cell r="V161">
            <v>9.8097507734764164</v>
          </cell>
          <cell r="W161">
            <v>30</v>
          </cell>
          <cell r="X161">
            <v>37.596062992125987</v>
          </cell>
          <cell r="Y161">
            <v>59.827362204724416</v>
          </cell>
          <cell r="Z161">
            <v>37.596062992125987</v>
          </cell>
          <cell r="AA161">
            <v>59.827362204724416</v>
          </cell>
          <cell r="AB161">
            <v>37.596062992125987</v>
          </cell>
          <cell r="AC161">
            <v>59.827362204724416</v>
          </cell>
          <cell r="AD161">
            <v>59.827362204724416</v>
          </cell>
          <cell r="AE161">
            <v>59.751968503937015</v>
          </cell>
          <cell r="AF161">
            <v>17.751968503937011</v>
          </cell>
          <cell r="AG161">
            <v>40.437007874015748</v>
          </cell>
          <cell r="AH161" t="str">
            <v>N</v>
          </cell>
          <cell r="AI161">
            <v>39.69</v>
          </cell>
          <cell r="AJ161">
            <v>18</v>
          </cell>
          <cell r="AK161" t="str">
            <v>TBD</v>
          </cell>
          <cell r="AL161" t="str">
            <v>Y</v>
          </cell>
          <cell r="AM161">
            <v>200018401</v>
          </cell>
          <cell r="AN161">
            <v>200028401</v>
          </cell>
          <cell r="AO161">
            <v>200018301</v>
          </cell>
          <cell r="AP161">
            <v>200028301</v>
          </cell>
          <cell r="AQ161">
            <v>200018201</v>
          </cell>
          <cell r="AR161">
            <v>200028201</v>
          </cell>
          <cell r="AS161">
            <v>13.22222222222222</v>
          </cell>
          <cell r="AT161">
            <v>19.804878512480695</v>
          </cell>
          <cell r="AU161">
            <v>14.778748578610935</v>
          </cell>
          <cell r="AV161">
            <v>10.093247965686727</v>
          </cell>
          <cell r="AW161">
            <v>41026</v>
          </cell>
        </row>
        <row r="162">
          <cell r="C162" t="str">
            <v>S-Energy - SM-MC8 Rail 245-260_M</v>
          </cell>
          <cell r="D162" t="str">
            <v>Short Clamp Multi Claw</v>
          </cell>
          <cell r="E162">
            <v>500000701</v>
          </cell>
          <cell r="F162">
            <v>39.330708661417326</v>
          </cell>
          <cell r="G162">
            <v>65.551181102362207</v>
          </cell>
          <cell r="H162">
            <v>1.9685039370078741</v>
          </cell>
          <cell r="I162">
            <v>200010704</v>
          </cell>
          <cell r="J162">
            <v>200010804</v>
          </cell>
          <cell r="K162">
            <v>200013804</v>
          </cell>
          <cell r="L162">
            <v>200016304</v>
          </cell>
          <cell r="M162">
            <v>500012568</v>
          </cell>
          <cell r="N162">
            <v>500012668</v>
          </cell>
          <cell r="O162">
            <v>500012569</v>
          </cell>
          <cell r="P162">
            <v>500012669</v>
          </cell>
          <cell r="Q162">
            <v>10.974871106573744</v>
          </cell>
          <cell r="R162">
            <v>9.8097507734764164</v>
          </cell>
          <cell r="S162">
            <v>4.6309905154437647</v>
          </cell>
          <cell r="T162">
            <v>4.6309905154437647</v>
          </cell>
          <cell r="U162">
            <v>10.974871106573744</v>
          </cell>
          <cell r="V162">
            <v>9.8097507734764164</v>
          </cell>
          <cell r="W162">
            <v>30</v>
          </cell>
          <cell r="X162">
            <v>37.596062992125987</v>
          </cell>
          <cell r="Y162">
            <v>66.126574803149609</v>
          </cell>
          <cell r="Z162">
            <v>37.596062992125987</v>
          </cell>
          <cell r="AA162">
            <v>66.126574803149609</v>
          </cell>
          <cell r="AB162">
            <v>37.596062992125987</v>
          </cell>
          <cell r="AC162">
            <v>66.126574803149609</v>
          </cell>
          <cell r="AD162">
            <v>66.126574803149609</v>
          </cell>
          <cell r="AE162">
            <v>66.051181102362207</v>
          </cell>
          <cell r="AF162">
            <v>24.051181102362211</v>
          </cell>
          <cell r="AG162">
            <v>40.437007874015748</v>
          </cell>
          <cell r="AH162" t="str">
            <v>N</v>
          </cell>
          <cell r="AI162">
            <v>44.1</v>
          </cell>
          <cell r="AJ162">
            <v>20</v>
          </cell>
          <cell r="AK162" t="str">
            <v>TBD</v>
          </cell>
          <cell r="AL162" t="str">
            <v>Y</v>
          </cell>
          <cell r="AM162">
            <v>200018403</v>
          </cell>
          <cell r="AN162">
            <v>200028403</v>
          </cell>
          <cell r="AO162">
            <v>200018303</v>
          </cell>
          <cell r="AP162">
            <v>200028303</v>
          </cell>
          <cell r="AQ162">
            <v>200018203</v>
          </cell>
          <cell r="AR162">
            <v>200028203</v>
          </cell>
          <cell r="AS162">
            <v>14.555555555555557</v>
          </cell>
          <cell r="AT162">
            <v>19.804878512480695</v>
          </cell>
          <cell r="AU162">
            <v>14.778748578610935</v>
          </cell>
          <cell r="AV162">
            <v>10.093247965686727</v>
          </cell>
          <cell r="AW162">
            <v>41026</v>
          </cell>
        </row>
        <row r="163">
          <cell r="C163" t="str">
            <v>S-Energy - SM-PC8 Hole 195-220_S</v>
          </cell>
          <cell r="D163" t="str">
            <v>Standard Claw</v>
          </cell>
          <cell r="E163">
            <v>5000005</v>
          </cell>
          <cell r="F163">
            <v>39.330708661417326</v>
          </cell>
          <cell r="G163">
            <v>59.251968503937015</v>
          </cell>
          <cell r="H163">
            <v>1.9685039370078741</v>
          </cell>
          <cell r="I163">
            <v>200010703</v>
          </cell>
          <cell r="J163">
            <v>200010803</v>
          </cell>
          <cell r="K163">
            <v>200013803</v>
          </cell>
          <cell r="L163">
            <v>200016303</v>
          </cell>
          <cell r="M163">
            <v>500012563</v>
          </cell>
          <cell r="N163">
            <v>500012663</v>
          </cell>
          <cell r="O163">
            <v>500012564</v>
          </cell>
          <cell r="P163">
            <v>500012664</v>
          </cell>
          <cell r="Q163">
            <v>11.529244460694249</v>
          </cell>
          <cell r="R163">
            <v>10.303937693229198</v>
          </cell>
          <cell r="S163">
            <v>4.8623697312523513</v>
          </cell>
          <cell r="T163">
            <v>4.8623697312523513</v>
          </cell>
          <cell r="U163">
            <v>11.529244460694249</v>
          </cell>
          <cell r="V163">
            <v>10.303937693229198</v>
          </cell>
          <cell r="W163">
            <v>30</v>
          </cell>
          <cell r="X163">
            <v>35.811023622047244</v>
          </cell>
          <cell r="Y163">
            <v>60.959645669291341</v>
          </cell>
          <cell r="Z163">
            <v>35.811023622047244</v>
          </cell>
          <cell r="AA163">
            <v>60.959645669291341</v>
          </cell>
          <cell r="AB163">
            <v>35.811023622047244</v>
          </cell>
          <cell r="AC163">
            <v>60.959645669291341</v>
          </cell>
          <cell r="AD163">
            <v>60.959645669291341</v>
          </cell>
          <cell r="AE163">
            <v>59.751968503937015</v>
          </cell>
          <cell r="AF163">
            <v>17.751968503937011</v>
          </cell>
          <cell r="AG163">
            <v>40.437007874015748</v>
          </cell>
          <cell r="AH163" t="str">
            <v>N</v>
          </cell>
          <cell r="AI163">
            <v>39.69</v>
          </cell>
          <cell r="AJ163">
            <v>18</v>
          </cell>
          <cell r="AK163" t="str">
            <v>TBD</v>
          </cell>
          <cell r="AL163" t="str">
            <v>Y</v>
          </cell>
          <cell r="AM163">
            <v>200018401</v>
          </cell>
          <cell r="AN163">
            <v>200028401</v>
          </cell>
          <cell r="AO163">
            <v>200018301</v>
          </cell>
          <cell r="AP163">
            <v>200028301</v>
          </cell>
          <cell r="AQ163">
            <v>200018201</v>
          </cell>
          <cell r="AR163">
            <v>200028201</v>
          </cell>
          <cell r="AS163">
            <v>13.22222222222222</v>
          </cell>
          <cell r="AT163">
            <v>19.804878512480695</v>
          </cell>
          <cell r="AU163">
            <v>14.778748578610935</v>
          </cell>
          <cell r="AV163">
            <v>10.093247965686727</v>
          </cell>
          <cell r="AW163">
            <v>41026</v>
          </cell>
        </row>
        <row r="164">
          <cell r="C164" t="str">
            <v>S-Energy - SM-PC8 Hole 225-250_S</v>
          </cell>
          <cell r="D164" t="str">
            <v>Standard Claw</v>
          </cell>
          <cell r="E164">
            <v>5000005</v>
          </cell>
          <cell r="F164">
            <v>39.330708661417326</v>
          </cell>
          <cell r="G164">
            <v>65.551181102362207</v>
          </cell>
          <cell r="H164">
            <v>1.9685039370078741</v>
          </cell>
          <cell r="I164">
            <v>200010705</v>
          </cell>
          <cell r="J164">
            <v>200010805</v>
          </cell>
          <cell r="K164">
            <v>200013805</v>
          </cell>
          <cell r="L164">
            <v>200016305</v>
          </cell>
          <cell r="M164">
            <v>500012570</v>
          </cell>
          <cell r="N164">
            <v>500012670</v>
          </cell>
          <cell r="O164">
            <v>500012570</v>
          </cell>
          <cell r="P164">
            <v>500012670</v>
          </cell>
          <cell r="Q164">
            <v>11.529244460694249</v>
          </cell>
          <cell r="R164">
            <v>10.303937693229198</v>
          </cell>
          <cell r="S164">
            <v>4.8623697312523513</v>
          </cell>
          <cell r="T164">
            <v>4.8623697312523513</v>
          </cell>
          <cell r="U164">
            <v>11.529244460694249</v>
          </cell>
          <cell r="V164">
            <v>10.303937693229198</v>
          </cell>
          <cell r="W164">
            <v>30</v>
          </cell>
          <cell r="X164">
            <v>35.811023622047244</v>
          </cell>
          <cell r="Y164">
            <v>67.258858267716533</v>
          </cell>
          <cell r="Z164">
            <v>35.811023622047244</v>
          </cell>
          <cell r="AA164">
            <v>67.258858267716533</v>
          </cell>
          <cell r="AB164">
            <v>35.811023622047244</v>
          </cell>
          <cell r="AC164">
            <v>67.258858267716533</v>
          </cell>
          <cell r="AD164">
            <v>67.258858267716533</v>
          </cell>
          <cell r="AE164">
            <v>66.051181102362207</v>
          </cell>
          <cell r="AF164">
            <v>24.051181102362211</v>
          </cell>
          <cell r="AG164">
            <v>40.437007874015748</v>
          </cell>
          <cell r="AH164" t="str">
            <v>N</v>
          </cell>
          <cell r="AI164">
            <v>44.1</v>
          </cell>
          <cell r="AJ164">
            <v>20</v>
          </cell>
          <cell r="AK164" t="str">
            <v>TBD</v>
          </cell>
          <cell r="AL164" t="str">
            <v>Y</v>
          </cell>
          <cell r="AM164">
            <v>200018403</v>
          </cell>
          <cell r="AN164">
            <v>200028403</v>
          </cell>
          <cell r="AO164">
            <v>200018303</v>
          </cell>
          <cell r="AP164">
            <v>200028303</v>
          </cell>
          <cell r="AQ164">
            <v>200018203</v>
          </cell>
          <cell r="AR164">
            <v>200028203</v>
          </cell>
          <cell r="AS164">
            <v>14.555555555555557</v>
          </cell>
          <cell r="AT164">
            <v>19.804878512480695</v>
          </cell>
          <cell r="AU164">
            <v>14.778748578610935</v>
          </cell>
          <cell r="AV164">
            <v>10.093247965686727</v>
          </cell>
          <cell r="AW164">
            <v>41026</v>
          </cell>
        </row>
        <row r="165">
          <cell r="C165" t="str">
            <v>S-Energy - SM-PC8 Hole 260-295_S</v>
          </cell>
          <cell r="D165" t="str">
            <v>Standard Claw</v>
          </cell>
          <cell r="E165">
            <v>5000005</v>
          </cell>
          <cell r="F165">
            <v>39.330708661417326</v>
          </cell>
          <cell r="G165">
            <v>78.149606299212607</v>
          </cell>
          <cell r="H165">
            <v>1.9685039370078741</v>
          </cell>
          <cell r="I165">
            <v>200010708</v>
          </cell>
          <cell r="J165">
            <v>200010808</v>
          </cell>
          <cell r="K165">
            <v>200013808</v>
          </cell>
          <cell r="L165">
            <v>200016308</v>
          </cell>
          <cell r="M165">
            <v>500012582</v>
          </cell>
          <cell r="N165">
            <v>500012682</v>
          </cell>
          <cell r="O165">
            <v>500012582</v>
          </cell>
          <cell r="P165">
            <v>500012682</v>
          </cell>
          <cell r="Q165">
            <v>11.529244460694249</v>
          </cell>
          <cell r="R165">
            <v>10.303937693229198</v>
          </cell>
          <cell r="S165">
            <v>4.8623697312523513</v>
          </cell>
          <cell r="T165">
            <v>4.8623697312523513</v>
          </cell>
          <cell r="U165">
            <v>11.529244460694249</v>
          </cell>
          <cell r="V165">
            <v>10.303937693229198</v>
          </cell>
          <cell r="W165">
            <v>30</v>
          </cell>
          <cell r="X165">
            <v>35.811023622047244</v>
          </cell>
          <cell r="Y165">
            <v>79.857283464566933</v>
          </cell>
          <cell r="Z165">
            <v>35.811023622047244</v>
          </cell>
          <cell r="AA165">
            <v>79.857283464566933</v>
          </cell>
          <cell r="AB165">
            <v>35.811023622047244</v>
          </cell>
          <cell r="AC165">
            <v>79.857283464566933</v>
          </cell>
          <cell r="AD165">
            <v>79.857283464566933</v>
          </cell>
          <cell r="AE165">
            <v>78.649606299212607</v>
          </cell>
          <cell r="AF165">
            <v>36.649606299212607</v>
          </cell>
          <cell r="AG165">
            <v>40.437007874015748</v>
          </cell>
          <cell r="AH165" t="str">
            <v>N</v>
          </cell>
          <cell r="AI165">
            <v>50.715000000000003</v>
          </cell>
          <cell r="AJ165">
            <v>23</v>
          </cell>
          <cell r="AK165" t="str">
            <v>TBD</v>
          </cell>
          <cell r="AL165" t="str">
            <v>Y</v>
          </cell>
          <cell r="AM165">
            <v>200018407</v>
          </cell>
          <cell r="AN165">
            <v>200028407</v>
          </cell>
          <cell r="AO165">
            <v>200018307</v>
          </cell>
          <cell r="AP165">
            <v>200028307</v>
          </cell>
          <cell r="AQ165">
            <v>200018207</v>
          </cell>
          <cell r="AR165">
            <v>200028207</v>
          </cell>
          <cell r="AS165">
            <v>17.222222222222221</v>
          </cell>
          <cell r="AT165">
            <v>19.804878512480695</v>
          </cell>
          <cell r="AU165">
            <v>14.778748578610935</v>
          </cell>
          <cell r="AV165">
            <v>10.093247965686727</v>
          </cell>
          <cell r="AW165">
            <v>41026</v>
          </cell>
        </row>
        <row r="166">
          <cell r="C166" t="str">
            <v>S-Energy - SM-MC8 Hole 220-240_S</v>
          </cell>
          <cell r="D166" t="str">
            <v>Standard Claw</v>
          </cell>
          <cell r="E166">
            <v>5000005</v>
          </cell>
          <cell r="F166">
            <v>39.330708661417326</v>
          </cell>
          <cell r="G166">
            <v>59.251968503937015</v>
          </cell>
          <cell r="H166">
            <v>1.9685039370078741</v>
          </cell>
          <cell r="I166">
            <v>200010703</v>
          </cell>
          <cell r="J166">
            <v>200010803</v>
          </cell>
          <cell r="K166">
            <v>200013803</v>
          </cell>
          <cell r="L166">
            <v>200016303</v>
          </cell>
          <cell r="M166">
            <v>500012563</v>
          </cell>
          <cell r="N166">
            <v>500012663</v>
          </cell>
          <cell r="O166">
            <v>500012564</v>
          </cell>
          <cell r="P166">
            <v>500012664</v>
          </cell>
          <cell r="Q166">
            <v>11.529244460694249</v>
          </cell>
          <cell r="R166">
            <v>10.303937693229198</v>
          </cell>
          <cell r="S166">
            <v>4.8623697312523513</v>
          </cell>
          <cell r="T166">
            <v>4.8623697312523513</v>
          </cell>
          <cell r="U166">
            <v>11.529244460694249</v>
          </cell>
          <cell r="V166">
            <v>10.303937693229198</v>
          </cell>
          <cell r="W166">
            <v>30</v>
          </cell>
          <cell r="X166">
            <v>35.811023622047244</v>
          </cell>
          <cell r="Y166">
            <v>60.959645669291341</v>
          </cell>
          <cell r="Z166">
            <v>35.811023622047244</v>
          </cell>
          <cell r="AA166">
            <v>60.959645669291341</v>
          </cell>
          <cell r="AB166">
            <v>35.811023622047244</v>
          </cell>
          <cell r="AC166">
            <v>60.959645669291341</v>
          </cell>
          <cell r="AD166">
            <v>60.959645669291341</v>
          </cell>
          <cell r="AE166">
            <v>59.751968503937015</v>
          </cell>
          <cell r="AF166">
            <v>17.751968503937011</v>
          </cell>
          <cell r="AG166">
            <v>40.437007874015748</v>
          </cell>
          <cell r="AH166" t="str">
            <v>N</v>
          </cell>
          <cell r="AI166">
            <v>39.69</v>
          </cell>
          <cell r="AJ166">
            <v>18</v>
          </cell>
          <cell r="AK166" t="str">
            <v>TBD</v>
          </cell>
          <cell r="AL166" t="str">
            <v>Y</v>
          </cell>
          <cell r="AM166">
            <v>200018401</v>
          </cell>
          <cell r="AN166">
            <v>200028401</v>
          </cell>
          <cell r="AO166">
            <v>200018301</v>
          </cell>
          <cell r="AP166">
            <v>200028301</v>
          </cell>
          <cell r="AQ166">
            <v>200018201</v>
          </cell>
          <cell r="AR166">
            <v>200028201</v>
          </cell>
          <cell r="AS166">
            <v>13.22222222222222</v>
          </cell>
          <cell r="AT166">
            <v>19.804878512480695</v>
          </cell>
          <cell r="AU166">
            <v>14.778748578610935</v>
          </cell>
          <cell r="AV166">
            <v>10.093247965686727</v>
          </cell>
          <cell r="AW166">
            <v>41026</v>
          </cell>
        </row>
        <row r="167">
          <cell r="C167" t="str">
            <v>S-Energy - SM-MC8 Hole 245-260_S</v>
          </cell>
          <cell r="D167" t="str">
            <v>Standard Claw</v>
          </cell>
          <cell r="E167">
            <v>5000005</v>
          </cell>
          <cell r="F167">
            <v>39.330708661417326</v>
          </cell>
          <cell r="G167">
            <v>65.551181102362207</v>
          </cell>
          <cell r="H167">
            <v>1.9685039370078741</v>
          </cell>
          <cell r="I167">
            <v>200010705</v>
          </cell>
          <cell r="J167">
            <v>200010805</v>
          </cell>
          <cell r="K167">
            <v>200013805</v>
          </cell>
          <cell r="L167">
            <v>200016305</v>
          </cell>
          <cell r="M167">
            <v>500012570</v>
          </cell>
          <cell r="N167">
            <v>500012670</v>
          </cell>
          <cell r="O167">
            <v>500012570</v>
          </cell>
          <cell r="P167">
            <v>500012670</v>
          </cell>
          <cell r="Q167">
            <v>11.529244460694249</v>
          </cell>
          <cell r="R167">
            <v>10.303937693229198</v>
          </cell>
          <cell r="S167">
            <v>4.8623697312523513</v>
          </cell>
          <cell r="T167">
            <v>4.8623697312523513</v>
          </cell>
          <cell r="U167">
            <v>11.529244460694249</v>
          </cell>
          <cell r="V167">
            <v>10.303937693229198</v>
          </cell>
          <cell r="W167">
            <v>30</v>
          </cell>
          <cell r="X167">
            <v>35.811023622047244</v>
          </cell>
          <cell r="Y167">
            <v>67.258858267716533</v>
          </cell>
          <cell r="Z167">
            <v>35.811023622047244</v>
          </cell>
          <cell r="AA167">
            <v>67.258858267716533</v>
          </cell>
          <cell r="AB167">
            <v>35.811023622047244</v>
          </cell>
          <cell r="AC167">
            <v>67.258858267716533</v>
          </cell>
          <cell r="AD167">
            <v>67.258858267716533</v>
          </cell>
          <cell r="AE167">
            <v>66.051181102362207</v>
          </cell>
          <cell r="AF167">
            <v>24.051181102362211</v>
          </cell>
          <cell r="AG167">
            <v>40.437007874015748</v>
          </cell>
          <cell r="AH167" t="str">
            <v>N</v>
          </cell>
          <cell r="AI167">
            <v>44.1</v>
          </cell>
          <cell r="AJ167">
            <v>20</v>
          </cell>
          <cell r="AK167" t="str">
            <v>TBD</v>
          </cell>
          <cell r="AL167" t="str">
            <v>Y</v>
          </cell>
          <cell r="AM167">
            <v>200018403</v>
          </cell>
          <cell r="AN167">
            <v>200028403</v>
          </cell>
          <cell r="AO167">
            <v>200018303</v>
          </cell>
          <cell r="AP167">
            <v>200028303</v>
          </cell>
          <cell r="AQ167">
            <v>200018203</v>
          </cell>
          <cell r="AR167">
            <v>200028203</v>
          </cell>
          <cell r="AS167">
            <v>14.555555555555557</v>
          </cell>
          <cell r="AT167">
            <v>19.804878512480695</v>
          </cell>
          <cell r="AU167">
            <v>14.778748578610935</v>
          </cell>
          <cell r="AV167">
            <v>10.093247965686727</v>
          </cell>
          <cell r="AW167">
            <v>41026</v>
          </cell>
        </row>
        <row r="168">
          <cell r="C168" t="str">
            <v>Samsung - LPC 235-250 SM-05-06-08_S</v>
          </cell>
          <cell r="D168" t="str">
            <v>Standard Claw</v>
          </cell>
          <cell r="E168">
            <v>5000005</v>
          </cell>
          <cell r="F168">
            <v>38.661417322834644</v>
          </cell>
          <cell r="G168">
            <v>64.173228346456696</v>
          </cell>
          <cell r="H168">
            <v>1.8110236220472442</v>
          </cell>
          <cell r="I168">
            <v>200010704</v>
          </cell>
          <cell r="J168">
            <v>200010804</v>
          </cell>
          <cell r="K168">
            <v>200013804</v>
          </cell>
          <cell r="L168">
            <v>200016304</v>
          </cell>
          <cell r="M168">
            <v>500012568</v>
          </cell>
          <cell r="N168">
            <v>500012668</v>
          </cell>
          <cell r="O168">
            <v>500012569</v>
          </cell>
          <cell r="P168">
            <v>500012669</v>
          </cell>
          <cell r="Q168">
            <v>11.646065132777842</v>
          </cell>
          <cell r="R168">
            <v>10.40805030701417</v>
          </cell>
          <cell r="S168">
            <v>4.911079789514722</v>
          </cell>
          <cell r="T168">
            <v>4.911079789514722</v>
          </cell>
          <cell r="U168">
            <v>11.646065132777842</v>
          </cell>
          <cell r="V168">
            <v>10.40805030701417</v>
          </cell>
          <cell r="W168">
            <v>50</v>
          </cell>
          <cell r="X168">
            <v>35.45669291338583</v>
          </cell>
          <cell r="Y168">
            <v>66.195866141732282</v>
          </cell>
          <cell r="Z168">
            <v>35.45669291338583</v>
          </cell>
          <cell r="AA168">
            <v>66.195866141732282</v>
          </cell>
          <cell r="AB168">
            <v>35.45669291338583</v>
          </cell>
          <cell r="AC168">
            <v>66.195866141732282</v>
          </cell>
          <cell r="AD168">
            <v>66.195866141732282</v>
          </cell>
          <cell r="AE168">
            <v>64.673228346456696</v>
          </cell>
          <cell r="AF168">
            <v>22.673228346456696</v>
          </cell>
          <cell r="AG168">
            <v>40.082677165354333</v>
          </cell>
          <cell r="AH168" t="str">
            <v>Y</v>
          </cell>
          <cell r="AI168">
            <v>41.013000000000005</v>
          </cell>
          <cell r="AJ168">
            <v>18.600000000000001</v>
          </cell>
          <cell r="AK168" t="str">
            <v>TBD</v>
          </cell>
          <cell r="AL168" t="str">
            <v>Y</v>
          </cell>
          <cell r="AM168">
            <v>200018403</v>
          </cell>
          <cell r="AN168">
            <v>200028403</v>
          </cell>
          <cell r="AO168">
            <v>200018303</v>
          </cell>
          <cell r="AP168">
            <v>200028303</v>
          </cell>
          <cell r="AQ168">
            <v>200018203</v>
          </cell>
          <cell r="AR168">
            <v>200028203</v>
          </cell>
          <cell r="AS168">
            <v>14.555555555555557</v>
          </cell>
          <cell r="AT168">
            <v>19.987381438876472</v>
          </cell>
          <cell r="AU168">
            <v>14.912410483320945</v>
          </cell>
          <cell r="AV168">
            <v>10.183419458492327</v>
          </cell>
          <cell r="AW168">
            <v>40807</v>
          </cell>
        </row>
        <row r="169">
          <cell r="C169" t="str">
            <v>Samsung - PV-MBA1AG 240-250_M</v>
          </cell>
          <cell r="D169" t="str">
            <v>Short Clamp Multi Claw</v>
          </cell>
          <cell r="E169">
            <v>500000701</v>
          </cell>
          <cell r="F169">
            <v>39.055118110236222</v>
          </cell>
          <cell r="G169">
            <v>64.724409448818903</v>
          </cell>
          <cell r="H169">
            <v>1.8110236220472442</v>
          </cell>
          <cell r="I169">
            <v>200010704</v>
          </cell>
          <cell r="J169">
            <v>200010804</v>
          </cell>
          <cell r="K169">
            <v>200013804</v>
          </cell>
          <cell r="L169">
            <v>200016304</v>
          </cell>
          <cell r="M169">
            <v>500012568</v>
          </cell>
          <cell r="N169">
            <v>500012668</v>
          </cell>
          <cell r="O169">
            <v>500012568</v>
          </cell>
          <cell r="P169">
            <v>500012668</v>
          </cell>
          <cell r="Q169">
            <v>10.963248121106982</v>
          </cell>
          <cell r="R169">
            <v>9.7993875846612788</v>
          </cell>
          <cell r="S169">
            <v>4.6261355187561186</v>
          </cell>
          <cell r="T169">
            <v>4.6261355187561186</v>
          </cell>
          <cell r="U169">
            <v>10.963248121106982</v>
          </cell>
          <cell r="V169">
            <v>9.7993875846612788</v>
          </cell>
          <cell r="W169">
            <v>50</v>
          </cell>
          <cell r="X169">
            <v>37.635433070866149</v>
          </cell>
          <cell r="Y169">
            <v>65.299803149606305</v>
          </cell>
          <cell r="Z169">
            <v>37.635433070866149</v>
          </cell>
          <cell r="AA169">
            <v>65.299803149606305</v>
          </cell>
          <cell r="AB169">
            <v>37.635433070866149</v>
          </cell>
          <cell r="AC169">
            <v>65.299803149606305</v>
          </cell>
          <cell r="AD169">
            <v>65.299803149606305</v>
          </cell>
          <cell r="AE169">
            <v>65.224409448818903</v>
          </cell>
          <cell r="AF169">
            <v>23.224409448818903</v>
          </cell>
          <cell r="AG169">
            <v>40.161417322834652</v>
          </cell>
          <cell r="AH169" t="str">
            <v>Y</v>
          </cell>
          <cell r="AI169">
            <v>44.540999999999997</v>
          </cell>
          <cell r="AJ169">
            <v>20.2</v>
          </cell>
          <cell r="AK169" t="str">
            <v>TBD</v>
          </cell>
          <cell r="AL169" t="str">
            <v>Y</v>
          </cell>
          <cell r="AM169">
            <v>200018403</v>
          </cell>
          <cell r="AN169">
            <v>200028403</v>
          </cell>
          <cell r="AO169">
            <v>200018303</v>
          </cell>
          <cell r="AP169">
            <v>200028303</v>
          </cell>
          <cell r="AQ169">
            <v>200018203</v>
          </cell>
          <cell r="AR169">
            <v>200028203</v>
          </cell>
          <cell r="AS169">
            <v>14.555555555555557</v>
          </cell>
          <cell r="AT169">
            <v>19.946528641915926</v>
          </cell>
          <cell r="AU169">
            <v>14.882496831605591</v>
          </cell>
          <cell r="AV169">
            <v>10.163241640344483</v>
          </cell>
          <cell r="AW169">
            <v>40807</v>
          </cell>
        </row>
        <row r="170">
          <cell r="C170" t="str">
            <v>Samsung - PV-EBA1AG 245-255_M</v>
          </cell>
          <cell r="D170" t="str">
            <v>Short Clamp Multi Claw</v>
          </cell>
          <cell r="E170">
            <v>500000701</v>
          </cell>
          <cell r="F170">
            <v>39.055118110236222</v>
          </cell>
          <cell r="G170">
            <v>64.724409448818903</v>
          </cell>
          <cell r="H170">
            <v>1.8110236220472442</v>
          </cell>
          <cell r="I170">
            <v>200010704</v>
          </cell>
          <cell r="J170">
            <v>200010804</v>
          </cell>
          <cell r="K170">
            <v>200013804</v>
          </cell>
          <cell r="L170">
            <v>200016304</v>
          </cell>
          <cell r="M170">
            <v>500012568</v>
          </cell>
          <cell r="N170">
            <v>500012668</v>
          </cell>
          <cell r="O170">
            <v>500012568</v>
          </cell>
          <cell r="P170">
            <v>500012668</v>
          </cell>
          <cell r="Q170">
            <v>10.963248121106982</v>
          </cell>
          <cell r="R170">
            <v>9.7993875846612788</v>
          </cell>
          <cell r="S170">
            <v>4.6261355187561186</v>
          </cell>
          <cell r="T170">
            <v>4.6261355187561186</v>
          </cell>
          <cell r="U170">
            <v>10.963248121106982</v>
          </cell>
          <cell r="V170">
            <v>9.7993875846612788</v>
          </cell>
          <cell r="W170">
            <v>50</v>
          </cell>
          <cell r="X170">
            <v>37.635433070866149</v>
          </cell>
          <cell r="Y170">
            <v>65.299803149606305</v>
          </cell>
          <cell r="Z170">
            <v>37.635433070866149</v>
          </cell>
          <cell r="AA170">
            <v>65.299803149606305</v>
          </cell>
          <cell r="AB170">
            <v>37.635433070866149</v>
          </cell>
          <cell r="AC170">
            <v>65.299803149606305</v>
          </cell>
          <cell r="AD170">
            <v>65.299803149606305</v>
          </cell>
          <cell r="AE170">
            <v>65.224409448818903</v>
          </cell>
          <cell r="AF170">
            <v>23.224409448818903</v>
          </cell>
          <cell r="AG170">
            <v>40.161417322834652</v>
          </cell>
          <cell r="AH170" t="str">
            <v>Y</v>
          </cell>
          <cell r="AI170">
            <v>44.540999999999997</v>
          </cell>
          <cell r="AJ170">
            <v>20.2</v>
          </cell>
          <cell r="AK170" t="str">
            <v>TBD</v>
          </cell>
          <cell r="AL170" t="str">
            <v>Y</v>
          </cell>
          <cell r="AM170">
            <v>200018403</v>
          </cell>
          <cell r="AN170">
            <v>200028403</v>
          </cell>
          <cell r="AO170">
            <v>200018303</v>
          </cell>
          <cell r="AP170">
            <v>200028303</v>
          </cell>
          <cell r="AQ170">
            <v>200018203</v>
          </cell>
          <cell r="AR170">
            <v>200028203</v>
          </cell>
          <cell r="AS170">
            <v>14.555555555555557</v>
          </cell>
          <cell r="AT170">
            <v>19.946528641915926</v>
          </cell>
          <cell r="AU170">
            <v>14.882496831605591</v>
          </cell>
          <cell r="AV170">
            <v>10.163241640344483</v>
          </cell>
          <cell r="AW170">
            <v>40807</v>
          </cell>
        </row>
        <row r="171">
          <cell r="C171" t="str">
            <v>Scheuten - Multisol P6-54 190-215 _S</v>
          </cell>
          <cell r="D171" t="str">
            <v>Standard Claw</v>
          </cell>
          <cell r="E171">
            <v>5000005</v>
          </cell>
          <cell r="F171">
            <v>39.370078740157481</v>
          </cell>
          <cell r="G171">
            <v>59.055118110236222</v>
          </cell>
          <cell r="H171">
            <v>1.6535433070866143</v>
          </cell>
          <cell r="I171">
            <v>200010703</v>
          </cell>
          <cell r="J171">
            <v>200010803</v>
          </cell>
          <cell r="K171">
            <v>200013803</v>
          </cell>
          <cell r="L171">
            <v>200016303</v>
          </cell>
          <cell r="M171">
            <v>500012563</v>
          </cell>
          <cell r="N171">
            <v>500012663</v>
          </cell>
          <cell r="O171">
            <v>500012564</v>
          </cell>
          <cell r="P171">
            <v>500012664</v>
          </cell>
          <cell r="Q171">
            <v>11.389629250601068</v>
          </cell>
          <cell r="R171">
            <v>10.17949851730765</v>
          </cell>
          <cell r="S171">
            <v>4.8041332214318873</v>
          </cell>
          <cell r="T171">
            <v>4.8041332214318873</v>
          </cell>
          <cell r="U171">
            <v>11.389629250601068</v>
          </cell>
          <cell r="V171">
            <v>10.17949851730765</v>
          </cell>
          <cell r="W171">
            <v>50</v>
          </cell>
          <cell r="X171">
            <v>36.244094488188978</v>
          </cell>
          <cell r="Y171">
            <v>60.915551181102359</v>
          </cell>
          <cell r="Z171">
            <v>36.244094488188978</v>
          </cell>
          <cell r="AA171">
            <v>60.915551181102359</v>
          </cell>
          <cell r="AB171">
            <v>36.244094488188978</v>
          </cell>
          <cell r="AC171">
            <v>60.915551181102359</v>
          </cell>
          <cell r="AD171">
            <v>60.915551181102359</v>
          </cell>
          <cell r="AE171">
            <v>59.555118110236222</v>
          </cell>
          <cell r="AF171">
            <v>17.555118110236226</v>
          </cell>
          <cell r="AG171">
            <v>40.625984251968511</v>
          </cell>
          <cell r="AH171" t="str">
            <v>N</v>
          </cell>
          <cell r="AI171">
            <v>44.1</v>
          </cell>
          <cell r="AJ171">
            <v>20</v>
          </cell>
          <cell r="AK171" t="str">
            <v>TBD</v>
          </cell>
          <cell r="AL171" t="str">
            <v>Y</v>
          </cell>
          <cell r="AM171">
            <v>200018401</v>
          </cell>
          <cell r="AN171">
            <v>200028401</v>
          </cell>
          <cell r="AO171">
            <v>200018301</v>
          </cell>
          <cell r="AP171">
            <v>200028301</v>
          </cell>
          <cell r="AQ171">
            <v>200018201</v>
          </cell>
          <cell r="AR171">
            <v>200028201</v>
          </cell>
          <cell r="AS171">
            <v>13.22222222222222</v>
          </cell>
          <cell r="AT171">
            <v>19.708929443717658</v>
          </cell>
          <cell r="AU171">
            <v>14.708448636174264</v>
          </cell>
          <cell r="AV171">
            <v>10.045809804739942</v>
          </cell>
          <cell r="AW171">
            <v>40617</v>
          </cell>
        </row>
        <row r="172">
          <cell r="C172" t="str">
            <v>Scheuten - Multisol P6-60 215-230_S</v>
          </cell>
          <cell r="D172" t="str">
            <v>Standard Claw</v>
          </cell>
          <cell r="E172">
            <v>5000005</v>
          </cell>
          <cell r="F172">
            <v>39.370078740157481</v>
          </cell>
          <cell r="G172">
            <v>65.354330708661422</v>
          </cell>
          <cell r="H172">
            <v>1.6535433070866143</v>
          </cell>
          <cell r="I172">
            <v>200010705</v>
          </cell>
          <cell r="J172">
            <v>200010805</v>
          </cell>
          <cell r="K172">
            <v>200013805</v>
          </cell>
          <cell r="L172">
            <v>200016305</v>
          </cell>
          <cell r="M172">
            <v>500012569</v>
          </cell>
          <cell r="N172">
            <v>500012669</v>
          </cell>
          <cell r="O172">
            <v>500012570</v>
          </cell>
          <cell r="P172">
            <v>500012670</v>
          </cell>
          <cell r="Q172">
            <v>11.389629250601068</v>
          </cell>
          <cell r="R172">
            <v>10.17949851730765</v>
          </cell>
          <cell r="S172">
            <v>4.8041332214318873</v>
          </cell>
          <cell r="T172">
            <v>4.8041332214318873</v>
          </cell>
          <cell r="U172">
            <v>11.389629250601068</v>
          </cell>
          <cell r="V172">
            <v>10.17949851730765</v>
          </cell>
          <cell r="W172">
            <v>50</v>
          </cell>
          <cell r="X172">
            <v>36.244094488188978</v>
          </cell>
          <cell r="Y172">
            <v>67.214763779527559</v>
          </cell>
          <cell r="Z172">
            <v>36.244094488188978</v>
          </cell>
          <cell r="AA172">
            <v>67.214763779527559</v>
          </cell>
          <cell r="AB172">
            <v>36.244094488188978</v>
          </cell>
          <cell r="AC172">
            <v>67.214763779527559</v>
          </cell>
          <cell r="AD172">
            <v>67.214763779527559</v>
          </cell>
          <cell r="AE172">
            <v>65.854330708661422</v>
          </cell>
          <cell r="AF172">
            <v>23.854330708661422</v>
          </cell>
          <cell r="AG172">
            <v>40.625984251968511</v>
          </cell>
          <cell r="AH172" t="str">
            <v>N</v>
          </cell>
          <cell r="AI172">
            <v>48.510000000000005</v>
          </cell>
          <cell r="AJ172">
            <v>22</v>
          </cell>
          <cell r="AK172" t="str">
            <v>TBD</v>
          </cell>
          <cell r="AL172" t="str">
            <v>Y</v>
          </cell>
          <cell r="AM172">
            <v>200018403</v>
          </cell>
          <cell r="AN172">
            <v>200028403</v>
          </cell>
          <cell r="AO172">
            <v>200018303</v>
          </cell>
          <cell r="AP172">
            <v>200028303</v>
          </cell>
          <cell r="AQ172">
            <v>200018203</v>
          </cell>
          <cell r="AR172">
            <v>200028203</v>
          </cell>
          <cell r="AS172">
            <v>14.555555555555557</v>
          </cell>
          <cell r="AT172">
            <v>19.708929443717658</v>
          </cell>
          <cell r="AU172">
            <v>14.708448636174264</v>
          </cell>
          <cell r="AV172">
            <v>10.045809804739942</v>
          </cell>
          <cell r="AW172">
            <v>40617</v>
          </cell>
        </row>
        <row r="173">
          <cell r="C173" t="str">
            <v>Schott Solar - Perform Poly 220-245_S</v>
          </cell>
          <cell r="D173" t="str">
            <v>Standard Claw</v>
          </cell>
          <cell r="E173">
            <v>5000005</v>
          </cell>
          <cell r="F173">
            <v>39.094488188976378</v>
          </cell>
          <cell r="G173">
            <v>66.338582677165363</v>
          </cell>
          <cell r="H173">
            <v>1.9685039370078741</v>
          </cell>
          <cell r="I173">
            <v>200010705</v>
          </cell>
          <cell r="J173">
            <v>200010805</v>
          </cell>
          <cell r="K173">
            <v>200013805</v>
          </cell>
          <cell r="L173">
            <v>200016305</v>
          </cell>
          <cell r="M173">
            <v>500012571</v>
          </cell>
          <cell r="N173">
            <v>500012671</v>
          </cell>
          <cell r="O173">
            <v>500012571</v>
          </cell>
          <cell r="P173">
            <v>500012671</v>
          </cell>
          <cell r="Q173">
            <v>11.452666303839393</v>
          </cell>
          <cell r="R173">
            <v>10.235685070109877</v>
          </cell>
          <cell r="S173">
            <v>4.8304302751074495</v>
          </cell>
          <cell r="T173">
            <v>4.8304302751074495</v>
          </cell>
          <cell r="U173">
            <v>11.452666303839393</v>
          </cell>
          <cell r="V173">
            <v>10.235685070109877</v>
          </cell>
          <cell r="W173">
            <v>40</v>
          </cell>
          <cell r="X173">
            <v>36.047244094488192</v>
          </cell>
          <cell r="Y173">
            <v>68.435236220472447</v>
          </cell>
          <cell r="Z173">
            <v>36.047244094488192</v>
          </cell>
          <cell r="AA173">
            <v>68.435236220472447</v>
          </cell>
          <cell r="AB173">
            <v>36.047244094488192</v>
          </cell>
          <cell r="AC173">
            <v>68.435236220472447</v>
          </cell>
          <cell r="AD173">
            <v>68.435236220472447</v>
          </cell>
          <cell r="AE173">
            <v>66.838582677165363</v>
          </cell>
          <cell r="AF173">
            <v>24.838582677165359</v>
          </cell>
          <cell r="AG173">
            <v>40.586614173228355</v>
          </cell>
          <cell r="AH173" t="str">
            <v>N</v>
          </cell>
          <cell r="AI173">
            <v>41.454000000000001</v>
          </cell>
          <cell r="AJ173">
            <v>18.8</v>
          </cell>
          <cell r="AK173" t="str">
            <v>TBD</v>
          </cell>
          <cell r="AL173" t="str">
            <v>Y</v>
          </cell>
          <cell r="AM173">
            <v>200018403</v>
          </cell>
          <cell r="AN173">
            <v>200028403</v>
          </cell>
          <cell r="AO173">
            <v>200018303</v>
          </cell>
          <cell r="AP173">
            <v>200028303</v>
          </cell>
          <cell r="AQ173">
            <v>200018203</v>
          </cell>
          <cell r="AR173">
            <v>200028203</v>
          </cell>
          <cell r="AS173">
            <v>14.555555555555557</v>
          </cell>
          <cell r="AT173">
            <v>19.72884040690586</v>
          </cell>
          <cell r="AU173">
            <v>14.723038605804456</v>
          </cell>
          <cell r="AV173">
            <v>10.055655752081003</v>
          </cell>
          <cell r="AW173">
            <v>40962</v>
          </cell>
        </row>
        <row r="174">
          <cell r="C174" t="str">
            <v>Schuco - MPE 220-230 PS 09_X</v>
          </cell>
          <cell r="D174" t="str">
            <v>Long Claw (Schuco MPE PS09)</v>
          </cell>
          <cell r="E174">
            <v>500003904</v>
          </cell>
          <cell r="F174">
            <v>39.133858267716541</v>
          </cell>
          <cell r="G174">
            <v>65.039370078740163</v>
          </cell>
          <cell r="H174">
            <v>1.7716535433070868</v>
          </cell>
          <cell r="I174">
            <v>200010704</v>
          </cell>
          <cell r="J174">
            <v>200010804</v>
          </cell>
          <cell r="K174">
            <v>200013804</v>
          </cell>
          <cell r="L174">
            <v>200016304</v>
          </cell>
          <cell r="M174">
            <v>500012568</v>
          </cell>
          <cell r="N174">
            <v>500012668</v>
          </cell>
          <cell r="O174">
            <v>500012568</v>
          </cell>
          <cell r="P174">
            <v>500012668</v>
          </cell>
          <cell r="Q174">
            <v>10.902516800852544</v>
          </cell>
          <cell r="R174">
            <v>9.7452374785622045</v>
          </cell>
          <cell r="S174">
            <v>4.6007650933375821</v>
          </cell>
          <cell r="T174">
            <v>4.6007650933375821</v>
          </cell>
          <cell r="U174">
            <v>10.902516800852544</v>
          </cell>
          <cell r="V174">
            <v>9.7452374785622045</v>
          </cell>
          <cell r="W174">
            <v>50</v>
          </cell>
          <cell r="X174">
            <v>37.842519685039377</v>
          </cell>
          <cell r="Y174">
            <v>65.794291338582681</v>
          </cell>
          <cell r="Z174">
            <v>37.842519685039377</v>
          </cell>
          <cell r="AA174">
            <v>65.794291338582681</v>
          </cell>
          <cell r="AB174">
            <v>37.842519685039377</v>
          </cell>
          <cell r="AC174">
            <v>65.794291338582681</v>
          </cell>
          <cell r="AD174">
            <v>65.794291338582681</v>
          </cell>
          <cell r="AE174">
            <v>65.539370078740163</v>
          </cell>
          <cell r="AF174">
            <v>23.539370078740163</v>
          </cell>
          <cell r="AG174">
            <v>40.240157480314963</v>
          </cell>
          <cell r="AH174" t="str">
            <v>N</v>
          </cell>
          <cell r="AI174">
            <v>44.1</v>
          </cell>
          <cell r="AJ174">
            <v>20</v>
          </cell>
          <cell r="AK174" t="str">
            <v>TBD</v>
          </cell>
          <cell r="AL174" t="str">
            <v>Y</v>
          </cell>
          <cell r="AM174">
            <v>200018403</v>
          </cell>
          <cell r="AN174">
            <v>200028403</v>
          </cell>
          <cell r="AO174">
            <v>200018303</v>
          </cell>
          <cell r="AP174">
            <v>200028303</v>
          </cell>
          <cell r="AQ174">
            <v>200018203</v>
          </cell>
          <cell r="AR174">
            <v>200028203</v>
          </cell>
          <cell r="AS174">
            <v>14.555555555555557</v>
          </cell>
          <cell r="AT174">
            <v>19.905846229389603</v>
          </cell>
          <cell r="AU174">
            <v>14.852704372847956</v>
          </cell>
          <cell r="AV174">
            <v>10.143144054640397</v>
          </cell>
          <cell r="AW174">
            <v>40617</v>
          </cell>
        </row>
        <row r="175">
          <cell r="C175" t="str">
            <v>Schuco - MPE 220-230 PS 09_L</v>
          </cell>
          <cell r="D175" t="str">
            <v>2nd Gen Long Claw (Schuco MPE PS09)</v>
          </cell>
          <cell r="E175">
            <v>500014404</v>
          </cell>
          <cell r="F175">
            <v>39.133858267716541</v>
          </cell>
          <cell r="G175">
            <v>65.039370078740163</v>
          </cell>
          <cell r="H175">
            <v>1.7716535433070868</v>
          </cell>
          <cell r="I175">
            <v>200010704</v>
          </cell>
          <cell r="J175">
            <v>200010804</v>
          </cell>
          <cell r="K175">
            <v>200013804</v>
          </cell>
          <cell r="L175">
            <v>200016304</v>
          </cell>
          <cell r="M175">
            <v>500012568</v>
          </cell>
          <cell r="N175">
            <v>500012668</v>
          </cell>
          <cell r="O175">
            <v>500012568</v>
          </cell>
          <cell r="P175">
            <v>500012668</v>
          </cell>
          <cell r="Q175">
            <v>10.41563801751966</v>
          </cell>
          <cell r="R175">
            <v>9.3110390770937794</v>
          </cell>
          <cell r="S175">
            <v>4.3972196268899051</v>
          </cell>
          <cell r="T175">
            <v>4.3972196268899051</v>
          </cell>
          <cell r="U175">
            <v>10.41563801751966</v>
          </cell>
          <cell r="V175">
            <v>9.3110390770937794</v>
          </cell>
          <cell r="W175">
            <v>50</v>
          </cell>
          <cell r="X175">
            <v>39.590551181102363</v>
          </cell>
          <cell r="Y175">
            <v>65.794291338582681</v>
          </cell>
          <cell r="Z175">
            <v>39.590551181102363</v>
          </cell>
          <cell r="AA175">
            <v>65.794291338582681</v>
          </cell>
          <cell r="AB175">
            <v>39.590551181102363</v>
          </cell>
          <cell r="AC175">
            <v>65.794291338582681</v>
          </cell>
          <cell r="AD175">
            <v>65.794291338582681</v>
          </cell>
          <cell r="AE175">
            <v>65.539370078740163</v>
          </cell>
          <cell r="AF175">
            <v>23.539370078740163</v>
          </cell>
          <cell r="AG175">
            <v>40.240157480314963</v>
          </cell>
          <cell r="AH175" t="str">
            <v>N</v>
          </cell>
          <cell r="AI175">
            <v>44.1</v>
          </cell>
          <cell r="AJ175">
            <v>20</v>
          </cell>
          <cell r="AK175" t="str">
            <v>TBD</v>
          </cell>
          <cell r="AL175" t="str">
            <v>Y</v>
          </cell>
          <cell r="AM175">
            <v>200018403</v>
          </cell>
          <cell r="AN175">
            <v>200028403</v>
          </cell>
          <cell r="AO175">
            <v>200018303</v>
          </cell>
          <cell r="AP175">
            <v>200028303</v>
          </cell>
          <cell r="AQ175">
            <v>200018203</v>
          </cell>
          <cell r="AR175">
            <v>200028203</v>
          </cell>
          <cell r="AS175">
            <v>14.555555555555557</v>
          </cell>
          <cell r="AT175">
            <v>19.905846229389603</v>
          </cell>
          <cell r="AU175">
            <v>14.852704372847956</v>
          </cell>
          <cell r="AV175">
            <v>10.143144054640397</v>
          </cell>
          <cell r="AW175">
            <v>40617</v>
          </cell>
        </row>
        <row r="176">
          <cell r="C176" t="str">
            <v>Sharp - NU-Q-U 230-240 F1-F2-F3-F4_X</v>
          </cell>
          <cell r="D176" t="str">
            <v>Long Claw (Sharp)</v>
          </cell>
          <cell r="E176">
            <v>500003901</v>
          </cell>
          <cell r="F176">
            <v>39.133858267716541</v>
          </cell>
          <cell r="G176">
            <v>64.566929133858267</v>
          </cell>
          <cell r="H176">
            <v>1.8110236220472442</v>
          </cell>
          <cell r="I176">
            <v>200010704</v>
          </cell>
          <cell r="J176">
            <v>200010804</v>
          </cell>
          <cell r="K176">
            <v>200013804</v>
          </cell>
          <cell r="L176">
            <v>200016304</v>
          </cell>
          <cell r="M176">
            <v>500012568</v>
          </cell>
          <cell r="N176">
            <v>500012668</v>
          </cell>
          <cell r="O176">
            <v>500012568</v>
          </cell>
          <cell r="P176">
            <v>500012668</v>
          </cell>
          <cell r="Q176">
            <v>10.902516800852544</v>
          </cell>
          <cell r="R176">
            <v>9.7452374785622045</v>
          </cell>
          <cell r="S176">
            <v>4.6007650933375821</v>
          </cell>
          <cell r="T176">
            <v>4.6007650933375821</v>
          </cell>
          <cell r="U176">
            <v>10.902516800852544</v>
          </cell>
          <cell r="V176">
            <v>9.7452374785622045</v>
          </cell>
          <cell r="W176">
            <v>50</v>
          </cell>
          <cell r="X176">
            <v>37.842519685039377</v>
          </cell>
          <cell r="Y176">
            <v>65.321850393700785</v>
          </cell>
          <cell r="Z176">
            <v>37.842519685039377</v>
          </cell>
          <cell r="AA176">
            <v>65.321850393700785</v>
          </cell>
          <cell r="AB176">
            <v>37.842519685039377</v>
          </cell>
          <cell r="AC176">
            <v>65.321850393700785</v>
          </cell>
          <cell r="AD176">
            <v>65.321850393700785</v>
          </cell>
          <cell r="AE176" t="str">
            <v>NA</v>
          </cell>
          <cell r="AF176" t="str">
            <v>NA</v>
          </cell>
          <cell r="AG176" t="str">
            <v>NA</v>
          </cell>
          <cell r="AH176" t="str">
            <v>Y</v>
          </cell>
          <cell r="AI176">
            <v>41.895000000000003</v>
          </cell>
          <cell r="AJ176">
            <v>19</v>
          </cell>
          <cell r="AK176" t="str">
            <v>TBD</v>
          </cell>
          <cell r="AL176" t="str">
            <v>N</v>
          </cell>
          <cell r="AM176" t="str">
            <v>2000184TBD</v>
          </cell>
          <cell r="AN176" t="str">
            <v>2000284TBD</v>
          </cell>
          <cell r="AO176" t="str">
            <v>2000183TBD</v>
          </cell>
          <cell r="AP176" t="str">
            <v>2000283TBD</v>
          </cell>
          <cell r="AQ176" t="str">
            <v>2000182TBD</v>
          </cell>
          <cell r="AR176" t="str">
            <v>2000282TBD</v>
          </cell>
          <cell r="AS176" t="str">
            <v>TBD</v>
          </cell>
          <cell r="AT176" t="str">
            <v>NA</v>
          </cell>
          <cell r="AU176" t="str">
            <v>NA</v>
          </cell>
          <cell r="AV176" t="str">
            <v>NA</v>
          </cell>
          <cell r="AW176">
            <v>41317</v>
          </cell>
        </row>
        <row r="177">
          <cell r="C177" t="str">
            <v>Sharp - NU-Q-U 230-240 F1-F2-F3-F4_L</v>
          </cell>
          <cell r="D177" t="str">
            <v>2nd Gen Long Claw (Sharp)</v>
          </cell>
          <cell r="E177">
            <v>500014401</v>
          </cell>
          <cell r="F177">
            <v>39.133858267716541</v>
          </cell>
          <cell r="G177">
            <v>64.566929133858267</v>
          </cell>
          <cell r="H177">
            <v>1.8110236220472442</v>
          </cell>
          <cell r="I177">
            <v>200010704</v>
          </cell>
          <cell r="J177">
            <v>200010804</v>
          </cell>
          <cell r="K177">
            <v>200013804</v>
          </cell>
          <cell r="L177">
            <v>200016304</v>
          </cell>
          <cell r="M177">
            <v>500012568</v>
          </cell>
          <cell r="N177">
            <v>500012668</v>
          </cell>
          <cell r="O177">
            <v>500012568</v>
          </cell>
          <cell r="P177">
            <v>500012668</v>
          </cell>
          <cell r="Q177">
            <v>10.305798776616593</v>
          </cell>
          <cell r="R177">
            <v>9.2130650449241358</v>
          </cell>
          <cell r="S177">
            <v>4.3512632993337474</v>
          </cell>
          <cell r="T177">
            <v>4.3512632993337474</v>
          </cell>
          <cell r="U177">
            <v>10.305798776616593</v>
          </cell>
          <cell r="V177">
            <v>9.2130650449241358</v>
          </cell>
          <cell r="W177">
            <v>50</v>
          </cell>
          <cell r="X177">
            <v>40.007874015748037</v>
          </cell>
          <cell r="Y177">
            <v>65.321850393700785</v>
          </cell>
          <cell r="Z177">
            <v>40.007874015748037</v>
          </cell>
          <cell r="AA177">
            <v>65.321850393700785</v>
          </cell>
          <cell r="AB177">
            <v>40.007874015748037</v>
          </cell>
          <cell r="AC177">
            <v>65.321850393700785</v>
          </cell>
          <cell r="AD177">
            <v>65.321850393700785</v>
          </cell>
          <cell r="AE177" t="str">
            <v>NA</v>
          </cell>
          <cell r="AF177" t="str">
            <v>NA</v>
          </cell>
          <cell r="AG177" t="str">
            <v>NA</v>
          </cell>
          <cell r="AH177" t="str">
            <v>Y</v>
          </cell>
          <cell r="AI177">
            <v>41.895000000000003</v>
          </cell>
          <cell r="AJ177">
            <v>19</v>
          </cell>
          <cell r="AK177" t="str">
            <v>TBD</v>
          </cell>
          <cell r="AL177" t="str">
            <v>N</v>
          </cell>
          <cell r="AM177" t="str">
            <v>2000184TBD</v>
          </cell>
          <cell r="AN177" t="str">
            <v>2000284TBD</v>
          </cell>
          <cell r="AO177" t="str">
            <v>2000183TBD</v>
          </cell>
          <cell r="AP177" t="str">
            <v>2000283TBD</v>
          </cell>
          <cell r="AQ177" t="str">
            <v>2000182TBD</v>
          </cell>
          <cell r="AR177" t="str">
            <v>2000282TBD</v>
          </cell>
          <cell r="AS177" t="str">
            <v>TBD</v>
          </cell>
          <cell r="AT177" t="str">
            <v>NA</v>
          </cell>
          <cell r="AU177" t="str">
            <v>NA</v>
          </cell>
          <cell r="AV177" t="str">
            <v>NA</v>
          </cell>
          <cell r="AW177">
            <v>41317</v>
          </cell>
        </row>
        <row r="178">
          <cell r="C178" t="str">
            <v>Sharp - ND- 200-240 QCJ-UCJ-UC1_X</v>
          </cell>
          <cell r="D178" t="str">
            <v>Long Claw (Sharp)</v>
          </cell>
          <cell r="E178">
            <v>500003901</v>
          </cell>
          <cell r="F178">
            <v>39.133858267716541</v>
          </cell>
          <cell r="G178">
            <v>64.566929133858267</v>
          </cell>
          <cell r="H178">
            <v>1.8110236220472442</v>
          </cell>
          <cell r="I178">
            <v>200010704</v>
          </cell>
          <cell r="J178">
            <v>200010804</v>
          </cell>
          <cell r="K178">
            <v>200013804</v>
          </cell>
          <cell r="L178">
            <v>200016304</v>
          </cell>
          <cell r="M178">
            <v>500012568</v>
          </cell>
          <cell r="N178">
            <v>500012668</v>
          </cell>
          <cell r="O178">
            <v>500012568</v>
          </cell>
          <cell r="P178">
            <v>500012668</v>
          </cell>
          <cell r="Q178">
            <v>10.902516800852544</v>
          </cell>
          <cell r="R178">
            <v>9.7452374785622045</v>
          </cell>
          <cell r="S178">
            <v>4.6007650933375821</v>
          </cell>
          <cell r="T178">
            <v>4.6007650933375821</v>
          </cell>
          <cell r="U178">
            <v>10.902516800852544</v>
          </cell>
          <cell r="V178">
            <v>9.7452374785622045</v>
          </cell>
          <cell r="W178">
            <v>50</v>
          </cell>
          <cell r="X178">
            <v>37.842519685039377</v>
          </cell>
          <cell r="Y178">
            <v>65.321850393700785</v>
          </cell>
          <cell r="Z178">
            <v>37.842519685039377</v>
          </cell>
          <cell r="AA178">
            <v>65.321850393700785</v>
          </cell>
          <cell r="AB178">
            <v>37.842519685039377</v>
          </cell>
          <cell r="AC178">
            <v>65.321850393700785</v>
          </cell>
          <cell r="AD178">
            <v>65.321850393700785</v>
          </cell>
          <cell r="AE178" t="str">
            <v>NA</v>
          </cell>
          <cell r="AF178" t="str">
            <v>NA</v>
          </cell>
          <cell r="AG178" t="str">
            <v>NA</v>
          </cell>
          <cell r="AH178" t="str">
            <v>Y</v>
          </cell>
          <cell r="AI178">
            <v>41.895000000000003</v>
          </cell>
          <cell r="AJ178">
            <v>19</v>
          </cell>
          <cell r="AK178" t="str">
            <v>TBD</v>
          </cell>
          <cell r="AL178" t="str">
            <v>N</v>
          </cell>
          <cell r="AM178" t="str">
            <v>2000184TBD</v>
          </cell>
          <cell r="AN178" t="str">
            <v>2000284TBD</v>
          </cell>
          <cell r="AO178" t="str">
            <v>2000183TBD</v>
          </cell>
          <cell r="AP178" t="str">
            <v>2000283TBD</v>
          </cell>
          <cell r="AQ178" t="str">
            <v>2000182TBD</v>
          </cell>
          <cell r="AR178" t="str">
            <v>2000282TBD</v>
          </cell>
          <cell r="AS178" t="str">
            <v>TBD</v>
          </cell>
          <cell r="AT178" t="str">
            <v>NA</v>
          </cell>
          <cell r="AU178" t="str">
            <v>NA</v>
          </cell>
          <cell r="AV178" t="str">
            <v>NA</v>
          </cell>
          <cell r="AW178">
            <v>41317</v>
          </cell>
        </row>
        <row r="179">
          <cell r="C179" t="str">
            <v>Sharp - ND- 200-240 QCJ-UCJ-UC1_L</v>
          </cell>
          <cell r="D179" t="str">
            <v>2nd Gen Long Claw (Sharp)</v>
          </cell>
          <cell r="E179">
            <v>500014401</v>
          </cell>
          <cell r="F179">
            <v>39.133858267716541</v>
          </cell>
          <cell r="G179">
            <v>64.566929133858267</v>
          </cell>
          <cell r="H179">
            <v>1.8110236220472442</v>
          </cell>
          <cell r="I179">
            <v>200010704</v>
          </cell>
          <cell r="J179">
            <v>200010804</v>
          </cell>
          <cell r="K179">
            <v>200013804</v>
          </cell>
          <cell r="L179">
            <v>200016304</v>
          </cell>
          <cell r="M179">
            <v>500012568</v>
          </cell>
          <cell r="N179">
            <v>500012668</v>
          </cell>
          <cell r="O179">
            <v>500012568</v>
          </cell>
          <cell r="P179">
            <v>500012668</v>
          </cell>
          <cell r="Q179">
            <v>10.305798776616593</v>
          </cell>
          <cell r="R179">
            <v>9.2130650449241358</v>
          </cell>
          <cell r="S179">
            <v>4.3512632993337474</v>
          </cell>
          <cell r="T179">
            <v>4.3512632993337474</v>
          </cell>
          <cell r="U179">
            <v>10.305798776616593</v>
          </cell>
          <cell r="V179">
            <v>9.2130650449241358</v>
          </cell>
          <cell r="W179">
            <v>50</v>
          </cell>
          <cell r="X179">
            <v>40.007874015748037</v>
          </cell>
          <cell r="Y179">
            <v>65.321850393700785</v>
          </cell>
          <cell r="Z179">
            <v>40.007874015748037</v>
          </cell>
          <cell r="AA179">
            <v>65.321850393700785</v>
          </cell>
          <cell r="AB179">
            <v>40.007874015748037</v>
          </cell>
          <cell r="AC179">
            <v>65.321850393700785</v>
          </cell>
          <cell r="AD179">
            <v>65.321850393700785</v>
          </cell>
          <cell r="AE179" t="str">
            <v>NA</v>
          </cell>
          <cell r="AF179" t="str">
            <v>NA</v>
          </cell>
          <cell r="AG179" t="str">
            <v>NA</v>
          </cell>
          <cell r="AH179" t="str">
            <v>Y</v>
          </cell>
          <cell r="AI179">
            <v>41.895000000000003</v>
          </cell>
          <cell r="AJ179">
            <v>19</v>
          </cell>
          <cell r="AK179" t="str">
            <v>TBD</v>
          </cell>
          <cell r="AL179" t="str">
            <v>N</v>
          </cell>
          <cell r="AM179" t="str">
            <v>2000184TBD</v>
          </cell>
          <cell r="AN179" t="str">
            <v>2000284TBD</v>
          </cell>
          <cell r="AO179" t="str">
            <v>2000183TBD</v>
          </cell>
          <cell r="AP179" t="str">
            <v>2000283TBD</v>
          </cell>
          <cell r="AQ179" t="str">
            <v>2000182TBD</v>
          </cell>
          <cell r="AR179" t="str">
            <v>2000282TBD</v>
          </cell>
          <cell r="AS179" t="str">
            <v>TBD</v>
          </cell>
          <cell r="AT179" t="str">
            <v>NA</v>
          </cell>
          <cell r="AU179" t="str">
            <v>NA</v>
          </cell>
          <cell r="AV179" t="str">
            <v>NA</v>
          </cell>
          <cell r="AW179">
            <v>41317</v>
          </cell>
        </row>
        <row r="180">
          <cell r="C180" t="str">
            <v>Sharp - ND-H-L-U 230-245 C1-C5-Q2_X</v>
          </cell>
          <cell r="D180" t="str">
            <v>Long Claw (Sharp)</v>
          </cell>
          <cell r="E180">
            <v>500003901</v>
          </cell>
          <cell r="F180">
            <v>39.133858267716541</v>
          </cell>
          <cell r="G180">
            <v>64.566929133858267</v>
          </cell>
          <cell r="H180">
            <v>1.8110236220472442</v>
          </cell>
          <cell r="I180">
            <v>200010704</v>
          </cell>
          <cell r="J180">
            <v>200010804</v>
          </cell>
          <cell r="K180">
            <v>200013804</v>
          </cell>
          <cell r="L180">
            <v>200016304</v>
          </cell>
          <cell r="M180">
            <v>500012568</v>
          </cell>
          <cell r="N180">
            <v>500012668</v>
          </cell>
          <cell r="O180">
            <v>500012568</v>
          </cell>
          <cell r="P180">
            <v>500012668</v>
          </cell>
          <cell r="Q180">
            <v>10.902516800852544</v>
          </cell>
          <cell r="R180">
            <v>9.7452374785622045</v>
          </cell>
          <cell r="S180">
            <v>4.6007650933375821</v>
          </cell>
          <cell r="T180">
            <v>4.6007650933375821</v>
          </cell>
          <cell r="U180">
            <v>10.902516800852544</v>
          </cell>
          <cell r="V180">
            <v>9.7452374785622045</v>
          </cell>
          <cell r="W180">
            <v>50</v>
          </cell>
          <cell r="X180">
            <v>37.842519685039377</v>
          </cell>
          <cell r="Y180">
            <v>65.321850393700785</v>
          </cell>
          <cell r="Z180">
            <v>37.842519685039377</v>
          </cell>
          <cell r="AA180">
            <v>65.321850393700785</v>
          </cell>
          <cell r="AB180">
            <v>37.842519685039377</v>
          </cell>
          <cell r="AC180">
            <v>65.321850393700785</v>
          </cell>
          <cell r="AD180">
            <v>65.321850393700785</v>
          </cell>
          <cell r="AE180" t="str">
            <v>NA</v>
          </cell>
          <cell r="AF180" t="str">
            <v>NA</v>
          </cell>
          <cell r="AG180" t="str">
            <v>NA</v>
          </cell>
          <cell r="AH180" t="str">
            <v>Y</v>
          </cell>
          <cell r="AI180">
            <v>41.895000000000003</v>
          </cell>
          <cell r="AJ180">
            <v>19</v>
          </cell>
          <cell r="AK180" t="str">
            <v>TBD</v>
          </cell>
          <cell r="AL180" t="str">
            <v>N</v>
          </cell>
          <cell r="AM180" t="str">
            <v>2000184TBD</v>
          </cell>
          <cell r="AN180" t="str">
            <v>2000284TBD</v>
          </cell>
          <cell r="AO180" t="str">
            <v>2000183TBD</v>
          </cell>
          <cell r="AP180" t="str">
            <v>2000283TBD</v>
          </cell>
          <cell r="AQ180" t="str">
            <v>2000182TBD</v>
          </cell>
          <cell r="AR180" t="str">
            <v>2000282TBD</v>
          </cell>
          <cell r="AS180" t="str">
            <v>TBD</v>
          </cell>
          <cell r="AT180" t="str">
            <v>NA</v>
          </cell>
          <cell r="AU180" t="str">
            <v>NA</v>
          </cell>
          <cell r="AV180" t="str">
            <v>NA</v>
          </cell>
          <cell r="AW180">
            <v>41317</v>
          </cell>
        </row>
        <row r="181">
          <cell r="C181" t="str">
            <v>Sharp - ND-H-L-U 230-245 C1-C5-Q2_L</v>
          </cell>
          <cell r="D181" t="str">
            <v>2nd Gen Long Claw (Sharp)</v>
          </cell>
          <cell r="E181">
            <v>500014401</v>
          </cell>
          <cell r="F181">
            <v>39.133858267716541</v>
          </cell>
          <cell r="G181">
            <v>64.566929133858267</v>
          </cell>
          <cell r="H181">
            <v>1.8110236220472442</v>
          </cell>
          <cell r="I181">
            <v>200010704</v>
          </cell>
          <cell r="J181">
            <v>200010804</v>
          </cell>
          <cell r="K181">
            <v>200013804</v>
          </cell>
          <cell r="L181">
            <v>200016304</v>
          </cell>
          <cell r="M181">
            <v>500012568</v>
          </cell>
          <cell r="N181">
            <v>500012668</v>
          </cell>
          <cell r="O181">
            <v>500012568</v>
          </cell>
          <cell r="P181">
            <v>500012668</v>
          </cell>
          <cell r="Q181">
            <v>10.305798776616593</v>
          </cell>
          <cell r="R181">
            <v>9.2130650449241358</v>
          </cell>
          <cell r="S181">
            <v>4.3512632993337474</v>
          </cell>
          <cell r="T181">
            <v>4.3512632993337474</v>
          </cell>
          <cell r="U181">
            <v>10.305798776616593</v>
          </cell>
          <cell r="V181">
            <v>9.2130650449241358</v>
          </cell>
          <cell r="W181">
            <v>50</v>
          </cell>
          <cell r="X181">
            <v>40.007874015748037</v>
          </cell>
          <cell r="Y181">
            <v>65.321850393700785</v>
          </cell>
          <cell r="Z181">
            <v>40.007874015748037</v>
          </cell>
          <cell r="AA181">
            <v>65.321850393700785</v>
          </cell>
          <cell r="AB181">
            <v>40.007874015748037</v>
          </cell>
          <cell r="AC181">
            <v>65.321850393700785</v>
          </cell>
          <cell r="AD181">
            <v>65.321850393700785</v>
          </cell>
          <cell r="AE181" t="str">
            <v>NA</v>
          </cell>
          <cell r="AF181" t="str">
            <v>NA</v>
          </cell>
          <cell r="AG181" t="str">
            <v>NA</v>
          </cell>
          <cell r="AH181" t="str">
            <v>Y</v>
          </cell>
          <cell r="AI181">
            <v>41.895000000000003</v>
          </cell>
          <cell r="AJ181">
            <v>19</v>
          </cell>
          <cell r="AK181" t="str">
            <v>TBD</v>
          </cell>
          <cell r="AL181" t="str">
            <v>N</v>
          </cell>
          <cell r="AM181" t="str">
            <v>2000184TBD</v>
          </cell>
          <cell r="AN181" t="str">
            <v>2000284TBD</v>
          </cell>
          <cell r="AO181" t="str">
            <v>2000183TBD</v>
          </cell>
          <cell r="AP181" t="str">
            <v>2000283TBD</v>
          </cell>
          <cell r="AQ181" t="str">
            <v>2000182TBD</v>
          </cell>
          <cell r="AR181" t="str">
            <v>2000282TBD</v>
          </cell>
          <cell r="AS181" t="str">
            <v>TBD</v>
          </cell>
          <cell r="AT181" t="str">
            <v>NA</v>
          </cell>
          <cell r="AU181" t="str">
            <v>NA</v>
          </cell>
          <cell r="AV181" t="str">
            <v>NA</v>
          </cell>
          <cell r="AW181">
            <v>41317</v>
          </cell>
        </row>
        <row r="182">
          <cell r="C182" t="str">
            <v>Siliken - SLK60P6L 225-255_S</v>
          </cell>
          <cell r="D182" t="str">
            <v>Standard Claw</v>
          </cell>
          <cell r="E182">
            <v>5000005</v>
          </cell>
          <cell r="F182">
            <v>38.976377952755911</v>
          </cell>
          <cell r="G182">
            <v>64.566929133858267</v>
          </cell>
          <cell r="H182">
            <v>1.5748031496062993</v>
          </cell>
          <cell r="I182">
            <v>200010704</v>
          </cell>
          <cell r="J182">
            <v>200010804</v>
          </cell>
          <cell r="K182">
            <v>200013804</v>
          </cell>
          <cell r="L182">
            <v>200016304</v>
          </cell>
          <cell r="M182">
            <v>500012569</v>
          </cell>
          <cell r="N182">
            <v>500012669</v>
          </cell>
          <cell r="O182">
            <v>500012569</v>
          </cell>
          <cell r="P182">
            <v>500012669</v>
          </cell>
          <cell r="Q182">
            <v>11.567921568027101</v>
          </cell>
          <cell r="R182">
            <v>10.338408394627242</v>
          </cell>
          <cell r="S182">
            <v>4.8784985689262594</v>
          </cell>
          <cell r="T182">
            <v>4.8784985689262594</v>
          </cell>
          <cell r="U182">
            <v>11.567921568027101</v>
          </cell>
          <cell r="V182">
            <v>10.338408394627242</v>
          </cell>
          <cell r="W182">
            <v>55</v>
          </cell>
          <cell r="X182">
            <v>35.692913385826778</v>
          </cell>
          <cell r="Y182">
            <v>66.510826771653541</v>
          </cell>
          <cell r="Z182">
            <v>35.692913385826778</v>
          </cell>
          <cell r="AA182">
            <v>66.510826771653541</v>
          </cell>
          <cell r="AB182">
            <v>35.692913385826778</v>
          </cell>
          <cell r="AC182">
            <v>66.510826771653541</v>
          </cell>
          <cell r="AD182">
            <v>66.510826771653541</v>
          </cell>
          <cell r="AE182">
            <v>65.066929133858267</v>
          </cell>
          <cell r="AF182">
            <v>23.066929133858274</v>
          </cell>
          <cell r="AG182">
            <v>40.318897637795274</v>
          </cell>
          <cell r="AH182" t="str">
            <v>Y</v>
          </cell>
          <cell r="AI182">
            <v>41.895000000000003</v>
          </cell>
          <cell r="AJ182">
            <v>19</v>
          </cell>
          <cell r="AK182" t="str">
            <v>TBD</v>
          </cell>
          <cell r="AL182" t="str">
            <v>Y</v>
          </cell>
          <cell r="AM182">
            <v>200018403</v>
          </cell>
          <cell r="AN182">
            <v>200028403</v>
          </cell>
          <cell r="AO182">
            <v>200018303</v>
          </cell>
          <cell r="AP182">
            <v>200028303</v>
          </cell>
          <cell r="AQ182">
            <v>200018203</v>
          </cell>
          <cell r="AR182">
            <v>200028203</v>
          </cell>
          <cell r="AS182">
            <v>14.555555555555557</v>
          </cell>
          <cell r="AT182">
            <v>19.865333113183517</v>
          </cell>
          <cell r="AU182">
            <v>14.823032363177612</v>
          </cell>
          <cell r="AV182">
            <v>10.123126221214482</v>
          </cell>
          <cell r="AW182">
            <v>41317</v>
          </cell>
        </row>
        <row r="183">
          <cell r="C183" t="str">
            <v>Siliken - SLK72P6L 280-305_S</v>
          </cell>
          <cell r="D183" t="str">
            <v>Standard Claw</v>
          </cell>
          <cell r="E183">
            <v>5000005</v>
          </cell>
          <cell r="F183">
            <v>38.976377952755911</v>
          </cell>
          <cell r="G183">
            <v>77.165354330708666</v>
          </cell>
          <cell r="H183">
            <v>1.5748031496062993</v>
          </cell>
          <cell r="I183">
            <v>200010708</v>
          </cell>
          <cell r="J183">
            <v>200010808</v>
          </cell>
          <cell r="K183">
            <v>200013808</v>
          </cell>
          <cell r="L183">
            <v>200016308</v>
          </cell>
          <cell r="M183">
            <v>500012581</v>
          </cell>
          <cell r="N183">
            <v>500012681</v>
          </cell>
          <cell r="O183">
            <v>500012582</v>
          </cell>
          <cell r="P183">
            <v>500012682</v>
          </cell>
          <cell r="Q183">
            <v>11.567921568027101</v>
          </cell>
          <cell r="R183">
            <v>10.338408394627242</v>
          </cell>
          <cell r="S183">
            <v>4.8784985689262594</v>
          </cell>
          <cell r="T183">
            <v>4.8784985689262594</v>
          </cell>
          <cell r="U183">
            <v>11.567921568027101</v>
          </cell>
          <cell r="V183">
            <v>10.338408394627242</v>
          </cell>
          <cell r="W183">
            <v>55</v>
          </cell>
          <cell r="X183">
            <v>35.692913385826778</v>
          </cell>
          <cell r="Y183">
            <v>79.109251968503941</v>
          </cell>
          <cell r="Z183">
            <v>35.692913385826778</v>
          </cell>
          <cell r="AA183">
            <v>79.109251968503941</v>
          </cell>
          <cell r="AB183">
            <v>35.692913385826778</v>
          </cell>
          <cell r="AC183">
            <v>79.109251968503941</v>
          </cell>
          <cell r="AD183">
            <v>79.109251968503941</v>
          </cell>
          <cell r="AE183">
            <v>77.665354330708666</v>
          </cell>
          <cell r="AF183">
            <v>35.665354330708666</v>
          </cell>
          <cell r="AG183">
            <v>40.318897637795274</v>
          </cell>
          <cell r="AH183" t="str">
            <v>N</v>
          </cell>
          <cell r="AI183">
            <v>50.715000000000003</v>
          </cell>
          <cell r="AJ183">
            <v>23</v>
          </cell>
          <cell r="AK183" t="str">
            <v>TBD</v>
          </cell>
          <cell r="AL183" t="str">
            <v>Y</v>
          </cell>
          <cell r="AM183">
            <v>200018407</v>
          </cell>
          <cell r="AN183">
            <v>200028407</v>
          </cell>
          <cell r="AO183">
            <v>200018307</v>
          </cell>
          <cell r="AP183">
            <v>200028307</v>
          </cell>
          <cell r="AQ183">
            <v>200018207</v>
          </cell>
          <cell r="AR183">
            <v>200028207</v>
          </cell>
          <cell r="AS183">
            <v>17.222222222222221</v>
          </cell>
          <cell r="AT183">
            <v>19.865333113183517</v>
          </cell>
          <cell r="AU183">
            <v>14.823032363177612</v>
          </cell>
          <cell r="AV183">
            <v>10.123126221214482</v>
          </cell>
          <cell r="AW183">
            <v>40962</v>
          </cell>
        </row>
        <row r="184">
          <cell r="C184" t="str">
            <v>Solarworld - Sunmodule Plus SW poly 220-245_X</v>
          </cell>
          <cell r="D184" t="str">
            <v>Long Claw (Solarworld)</v>
          </cell>
          <cell r="E184">
            <v>500003906</v>
          </cell>
          <cell r="F184">
            <v>39.409448818897637</v>
          </cell>
          <cell r="G184">
            <v>65.944881889763778</v>
          </cell>
          <cell r="H184">
            <v>1.2204724409448819</v>
          </cell>
          <cell r="I184">
            <v>200010704</v>
          </cell>
          <cell r="J184">
            <v>200010804</v>
          </cell>
          <cell r="K184">
            <v>200013804</v>
          </cell>
          <cell r="L184">
            <v>200016304</v>
          </cell>
          <cell r="M184">
            <v>500012569</v>
          </cell>
          <cell r="N184">
            <v>500012669</v>
          </cell>
          <cell r="O184">
            <v>500012569</v>
          </cell>
          <cell r="P184">
            <v>500012669</v>
          </cell>
          <cell r="Q184">
            <v>10.822737897385357</v>
          </cell>
          <cell r="R184">
            <v>9.6741004596157492</v>
          </cell>
          <cell r="S184">
            <v>4.5674310720656335</v>
          </cell>
          <cell r="T184">
            <v>4.5674310720656335</v>
          </cell>
          <cell r="U184">
            <v>10.822737897385357</v>
          </cell>
          <cell r="V184">
            <v>9.6741004596157492</v>
          </cell>
          <cell r="W184">
            <v>0</v>
          </cell>
          <cell r="X184">
            <v>38.118110236220474</v>
          </cell>
          <cell r="Y184">
            <v>66.699803149606296</v>
          </cell>
          <cell r="Z184">
            <v>38.118110236220474</v>
          </cell>
          <cell r="AA184">
            <v>66.699803149606296</v>
          </cell>
          <cell r="AB184">
            <v>38.118110236220474</v>
          </cell>
          <cell r="AC184">
            <v>66.699803149606296</v>
          </cell>
          <cell r="AD184">
            <v>66.699803149606296</v>
          </cell>
          <cell r="AE184" t="str">
            <v>NA</v>
          </cell>
          <cell r="AF184" t="str">
            <v>NA</v>
          </cell>
          <cell r="AG184" t="str">
            <v>NA</v>
          </cell>
          <cell r="AH184" t="str">
            <v>N</v>
          </cell>
          <cell r="AI184">
            <v>46.746000000000002</v>
          </cell>
          <cell r="AJ184">
            <v>21.2</v>
          </cell>
          <cell r="AK184" t="str">
            <v>TBD</v>
          </cell>
          <cell r="AL184" t="str">
            <v>N</v>
          </cell>
          <cell r="AM184" t="str">
            <v>2000184TBD</v>
          </cell>
          <cell r="AN184" t="str">
            <v>2000284TBD</v>
          </cell>
          <cell r="AO184" t="str">
            <v>2000183TBD</v>
          </cell>
          <cell r="AP184" t="str">
            <v>2000283TBD</v>
          </cell>
          <cell r="AQ184" t="str">
            <v>2000182TBD</v>
          </cell>
          <cell r="AR184" t="str">
            <v>2000282TBD</v>
          </cell>
          <cell r="AS184" t="str">
            <v>TBD</v>
          </cell>
          <cell r="AT184" t="str">
            <v>NA</v>
          </cell>
          <cell r="AU184" t="str">
            <v>NA</v>
          </cell>
          <cell r="AV184" t="str">
            <v>NA</v>
          </cell>
          <cell r="AW184">
            <v>41226</v>
          </cell>
        </row>
        <row r="185">
          <cell r="C185" t="str">
            <v>Solarworld - Sunmodule Plus SW poly 220-245_L</v>
          </cell>
          <cell r="D185" t="str">
            <v>2nd Gen Long Claw (Solarworld)</v>
          </cell>
          <cell r="E185">
            <v>500014406</v>
          </cell>
          <cell r="F185">
            <v>39.409448818897637</v>
          </cell>
          <cell r="G185">
            <v>65.944881889763778</v>
          </cell>
          <cell r="H185">
            <v>1.2204724409448819</v>
          </cell>
          <cell r="I185">
            <v>200010704</v>
          </cell>
          <cell r="J185">
            <v>200010804</v>
          </cell>
          <cell r="K185">
            <v>200013804</v>
          </cell>
          <cell r="L185">
            <v>200016304</v>
          </cell>
          <cell r="M185">
            <v>500012569</v>
          </cell>
          <cell r="N185">
            <v>500012669</v>
          </cell>
          <cell r="O185">
            <v>500012569</v>
          </cell>
          <cell r="P185">
            <v>500012669</v>
          </cell>
          <cell r="Q185">
            <v>10.378071043466617</v>
          </cell>
          <cell r="R185">
            <v>9.2775310056174831</v>
          </cell>
          <cell r="S185">
            <v>4.3815032414171657</v>
          </cell>
          <cell r="T185">
            <v>4.3815032414171657</v>
          </cell>
          <cell r="U185">
            <v>10.378071043466617</v>
          </cell>
          <cell r="V185">
            <v>9.2775310056174831</v>
          </cell>
          <cell r="W185">
            <v>30</v>
          </cell>
          <cell r="X185">
            <v>39.732283464566933</v>
          </cell>
          <cell r="Y185">
            <v>66.699803149606296</v>
          </cell>
          <cell r="Z185">
            <v>39.732283464566933</v>
          </cell>
          <cell r="AA185">
            <v>66.699803149606296</v>
          </cell>
          <cell r="AB185">
            <v>39.732283464566933</v>
          </cell>
          <cell r="AC185">
            <v>66.699803149606296</v>
          </cell>
          <cell r="AD185">
            <v>66.699803149606296</v>
          </cell>
          <cell r="AE185" t="str">
            <v>NA</v>
          </cell>
          <cell r="AF185" t="str">
            <v>NA</v>
          </cell>
          <cell r="AG185" t="str">
            <v>NA</v>
          </cell>
          <cell r="AH185" t="str">
            <v>N</v>
          </cell>
          <cell r="AI185">
            <v>46.746000000000002</v>
          </cell>
          <cell r="AJ185">
            <v>21.2</v>
          </cell>
          <cell r="AK185" t="str">
            <v>TBD</v>
          </cell>
          <cell r="AL185" t="str">
            <v>N</v>
          </cell>
          <cell r="AM185" t="str">
            <v>2000184TBD</v>
          </cell>
          <cell r="AN185" t="str">
            <v>2000284TBD</v>
          </cell>
          <cell r="AO185" t="str">
            <v>2000183TBD</v>
          </cell>
          <cell r="AP185" t="str">
            <v>2000283TBD</v>
          </cell>
          <cell r="AQ185" t="str">
            <v>2000182TBD</v>
          </cell>
          <cell r="AR185" t="str">
            <v>2000282TBD</v>
          </cell>
          <cell r="AS185" t="str">
            <v>TBD</v>
          </cell>
          <cell r="AT185" t="str">
            <v>NA</v>
          </cell>
          <cell r="AU185" t="str">
            <v>NA</v>
          </cell>
          <cell r="AV185" t="str">
            <v>NA</v>
          </cell>
          <cell r="AW185">
            <v>41226</v>
          </cell>
        </row>
        <row r="186">
          <cell r="C186" t="str">
            <v>Solarworld - Sunmodule Plus SW mono 225-255_X</v>
          </cell>
          <cell r="D186" t="str">
            <v>Long Claw (Solarworld)</v>
          </cell>
          <cell r="E186">
            <v>500003906</v>
          </cell>
          <cell r="F186">
            <v>39.409448818897637</v>
          </cell>
          <cell r="G186">
            <v>65.944881889763778</v>
          </cell>
          <cell r="H186">
            <v>1.2204724409448819</v>
          </cell>
          <cell r="I186">
            <v>200010704</v>
          </cell>
          <cell r="J186">
            <v>200010804</v>
          </cell>
          <cell r="K186">
            <v>200013804</v>
          </cell>
          <cell r="L186">
            <v>200016304</v>
          </cell>
          <cell r="M186">
            <v>500012569</v>
          </cell>
          <cell r="N186">
            <v>500012669</v>
          </cell>
          <cell r="O186">
            <v>500012569</v>
          </cell>
          <cell r="P186">
            <v>500012669</v>
          </cell>
          <cell r="Q186">
            <v>10.822737897385357</v>
          </cell>
          <cell r="R186">
            <v>9.6741004596157492</v>
          </cell>
          <cell r="S186">
            <v>4.5674310720656335</v>
          </cell>
          <cell r="T186">
            <v>4.5674310720656335</v>
          </cell>
          <cell r="U186">
            <v>10.822737897385357</v>
          </cell>
          <cell r="V186">
            <v>9.6741004596157492</v>
          </cell>
          <cell r="W186">
            <v>0</v>
          </cell>
          <cell r="X186">
            <v>38.118110236220474</v>
          </cell>
          <cell r="Y186">
            <v>66.699803149606296</v>
          </cell>
          <cell r="Z186">
            <v>38.118110236220474</v>
          </cell>
          <cell r="AA186">
            <v>66.699803149606296</v>
          </cell>
          <cell r="AB186">
            <v>38.118110236220474</v>
          </cell>
          <cell r="AC186">
            <v>66.699803149606296</v>
          </cell>
          <cell r="AD186">
            <v>66.699803149606296</v>
          </cell>
          <cell r="AE186" t="str">
            <v>NA</v>
          </cell>
          <cell r="AF186" t="str">
            <v>NA</v>
          </cell>
          <cell r="AG186" t="str">
            <v>NA</v>
          </cell>
          <cell r="AH186" t="str">
            <v>N</v>
          </cell>
          <cell r="AI186">
            <v>46.746000000000002</v>
          </cell>
          <cell r="AJ186">
            <v>21.2</v>
          </cell>
          <cell r="AK186" t="str">
            <v>TBD</v>
          </cell>
          <cell r="AL186" t="str">
            <v>N</v>
          </cell>
          <cell r="AM186" t="str">
            <v>2000184TBD</v>
          </cell>
          <cell r="AN186" t="str">
            <v>2000284TBD</v>
          </cell>
          <cell r="AO186" t="str">
            <v>2000183TBD</v>
          </cell>
          <cell r="AP186" t="str">
            <v>2000283TBD</v>
          </cell>
          <cell r="AQ186" t="str">
            <v>2000182TBD</v>
          </cell>
          <cell r="AR186" t="str">
            <v>2000282TBD</v>
          </cell>
          <cell r="AS186" t="str">
            <v>TBD</v>
          </cell>
          <cell r="AT186" t="str">
            <v>NA</v>
          </cell>
          <cell r="AU186" t="str">
            <v>NA</v>
          </cell>
          <cell r="AV186" t="str">
            <v>NA</v>
          </cell>
          <cell r="AW186">
            <v>41226</v>
          </cell>
        </row>
        <row r="187">
          <cell r="C187" t="str">
            <v>Solarworld - Sunmodule Plus SW mono 225-255_L</v>
          </cell>
          <cell r="D187" t="str">
            <v>2nd Gen Long Claw (Solarworld)</v>
          </cell>
          <cell r="E187">
            <v>500014406</v>
          </cell>
          <cell r="F187">
            <v>39.409448818897637</v>
          </cell>
          <cell r="G187">
            <v>65.944881889763778</v>
          </cell>
          <cell r="H187">
            <v>1.2204724409448819</v>
          </cell>
          <cell r="I187">
            <v>200010704</v>
          </cell>
          <cell r="J187">
            <v>200010804</v>
          </cell>
          <cell r="K187">
            <v>200013804</v>
          </cell>
          <cell r="L187">
            <v>200016304</v>
          </cell>
          <cell r="M187">
            <v>500012569</v>
          </cell>
          <cell r="N187">
            <v>500012669</v>
          </cell>
          <cell r="O187">
            <v>500012569</v>
          </cell>
          <cell r="P187">
            <v>500012669</v>
          </cell>
          <cell r="Q187">
            <v>10.378071043466617</v>
          </cell>
          <cell r="R187">
            <v>9.2775310056174831</v>
          </cell>
          <cell r="S187">
            <v>4.3815032414171657</v>
          </cell>
          <cell r="T187">
            <v>4.3815032414171657</v>
          </cell>
          <cell r="U187">
            <v>10.378071043466617</v>
          </cell>
          <cell r="V187">
            <v>9.2775310056174831</v>
          </cell>
          <cell r="W187">
            <v>30</v>
          </cell>
          <cell r="X187">
            <v>39.732283464566933</v>
          </cell>
          <cell r="Y187">
            <v>66.699803149606296</v>
          </cell>
          <cell r="Z187">
            <v>39.732283464566933</v>
          </cell>
          <cell r="AA187">
            <v>66.699803149606296</v>
          </cell>
          <cell r="AB187">
            <v>39.732283464566933</v>
          </cell>
          <cell r="AC187">
            <v>66.699803149606296</v>
          </cell>
          <cell r="AD187">
            <v>66.699803149606296</v>
          </cell>
          <cell r="AE187" t="str">
            <v>NA</v>
          </cell>
          <cell r="AF187" t="str">
            <v>NA</v>
          </cell>
          <cell r="AG187" t="str">
            <v>NA</v>
          </cell>
          <cell r="AH187" t="str">
            <v>N</v>
          </cell>
          <cell r="AI187">
            <v>46.746000000000002</v>
          </cell>
          <cell r="AJ187">
            <v>21.2</v>
          </cell>
          <cell r="AK187" t="str">
            <v>TBD</v>
          </cell>
          <cell r="AL187" t="str">
            <v>N</v>
          </cell>
          <cell r="AM187" t="str">
            <v>2000184TBD</v>
          </cell>
          <cell r="AN187" t="str">
            <v>2000284TBD</v>
          </cell>
          <cell r="AO187" t="str">
            <v>2000183TBD</v>
          </cell>
          <cell r="AP187" t="str">
            <v>2000283TBD</v>
          </cell>
          <cell r="AQ187" t="str">
            <v>2000182TBD</v>
          </cell>
          <cell r="AR187" t="str">
            <v>2000282TBD</v>
          </cell>
          <cell r="AS187" t="str">
            <v>TBD</v>
          </cell>
          <cell r="AT187" t="str">
            <v>NA</v>
          </cell>
          <cell r="AU187" t="str">
            <v>NA</v>
          </cell>
          <cell r="AV187" t="str">
            <v>NA</v>
          </cell>
          <cell r="AW187">
            <v>41226</v>
          </cell>
        </row>
        <row r="188">
          <cell r="C188" t="str">
            <v>Solvinti - S-235-245 C_S</v>
          </cell>
          <cell r="D188" t="str">
            <v>Standard Claw</v>
          </cell>
          <cell r="E188">
            <v>5000005</v>
          </cell>
          <cell r="F188">
            <v>39.055118110236222</v>
          </cell>
          <cell r="G188">
            <v>64.960629921259851</v>
          </cell>
          <cell r="H188">
            <v>1.8110236220472442</v>
          </cell>
          <cell r="I188">
            <v>200010704</v>
          </cell>
          <cell r="J188">
            <v>200010804</v>
          </cell>
          <cell r="K188">
            <v>200013804</v>
          </cell>
          <cell r="L188">
            <v>200016304</v>
          </cell>
          <cell r="M188">
            <v>500012568</v>
          </cell>
          <cell r="N188">
            <v>500012668</v>
          </cell>
          <cell r="O188">
            <v>500012569</v>
          </cell>
          <cell r="P188">
            <v>500012669</v>
          </cell>
          <cell r="Q188">
            <v>11.832602308505239</v>
          </cell>
          <cell r="R188">
            <v>10.574276773282593</v>
          </cell>
          <cell r="S188">
            <v>4.9888240185700683</v>
          </cell>
          <cell r="T188">
            <v>4.9888240185700683</v>
          </cell>
          <cell r="U188">
            <v>11.832602308505239</v>
          </cell>
          <cell r="V188">
            <v>10.574276773282593</v>
          </cell>
          <cell r="W188">
            <v>50</v>
          </cell>
          <cell r="X188">
            <v>34.905511811023622</v>
          </cell>
          <cell r="Y188">
            <v>66.038385826771659</v>
          </cell>
          <cell r="Z188">
            <v>34.905511811023622</v>
          </cell>
          <cell r="AA188">
            <v>66.038385826771659</v>
          </cell>
          <cell r="AB188">
            <v>34.905511811023622</v>
          </cell>
          <cell r="AC188">
            <v>66.038385826771659</v>
          </cell>
          <cell r="AD188">
            <v>66.038385826771659</v>
          </cell>
          <cell r="AE188">
            <v>65.460629921259851</v>
          </cell>
          <cell r="AF188">
            <v>23.460629921259848</v>
          </cell>
          <cell r="AG188">
            <v>39.531496062992126</v>
          </cell>
          <cell r="AH188" t="str">
            <v>N</v>
          </cell>
          <cell r="AI188">
            <v>50.715000000000003</v>
          </cell>
          <cell r="AJ188">
            <v>23</v>
          </cell>
          <cell r="AK188" t="str">
            <v>TBD</v>
          </cell>
          <cell r="AL188" t="str">
            <v>Y</v>
          </cell>
          <cell r="AM188">
            <v>200018403</v>
          </cell>
          <cell r="AN188">
            <v>200028403</v>
          </cell>
          <cell r="AO188">
            <v>200018303</v>
          </cell>
          <cell r="AP188">
            <v>200028303</v>
          </cell>
          <cell r="AQ188">
            <v>200018203</v>
          </cell>
          <cell r="AR188">
            <v>200028203</v>
          </cell>
          <cell r="AS188">
            <v>14.555555555555557</v>
          </cell>
          <cell r="AT188">
            <v>20.278215219832653</v>
          </cell>
          <cell r="AU188">
            <v>15.125263254990072</v>
          </cell>
          <cell r="AV188">
            <v>10.326951853502411</v>
          </cell>
          <cell r="AW188">
            <v>40617</v>
          </cell>
        </row>
        <row r="189">
          <cell r="C189" t="str">
            <v>Stion - STN 125-140_S</v>
          </cell>
          <cell r="D189" t="str">
            <v>Standard Claw</v>
          </cell>
          <cell r="E189">
            <v>5000005</v>
          </cell>
          <cell r="F189">
            <v>25.826771653543307</v>
          </cell>
          <cell r="G189">
            <v>65.196850393700785</v>
          </cell>
          <cell r="H189">
            <v>1.3779527559055118</v>
          </cell>
          <cell r="I189">
            <v>200010704</v>
          </cell>
          <cell r="J189">
            <v>200010804</v>
          </cell>
          <cell r="K189">
            <v>200013804</v>
          </cell>
          <cell r="L189">
            <v>200016304</v>
          </cell>
          <cell r="M189">
            <v>500012569</v>
          </cell>
          <cell r="N189">
            <v>500012669</v>
          </cell>
          <cell r="O189">
            <v>500012569</v>
          </cell>
          <cell r="P189">
            <v>500012669</v>
          </cell>
          <cell r="Q189">
            <v>18.646759082927325</v>
          </cell>
          <cell r="R189">
            <v>16.627087624346455</v>
          </cell>
          <cell r="S189">
            <v>7.7930967180026212</v>
          </cell>
          <cell r="T189">
            <v>7.7930967180026212</v>
          </cell>
          <cell r="U189">
            <v>18.646759082927325</v>
          </cell>
          <cell r="V189">
            <v>16.627087624346455</v>
          </cell>
          <cell r="W189">
            <v>30</v>
          </cell>
          <cell r="X189">
            <v>22.385826771653544</v>
          </cell>
          <cell r="Y189">
            <v>66.663582677165351</v>
          </cell>
          <cell r="Z189">
            <v>22.385826771653544</v>
          </cell>
          <cell r="AA189">
            <v>66.663582677165351</v>
          </cell>
          <cell r="AB189">
            <v>22.385826771653544</v>
          </cell>
          <cell r="AC189">
            <v>66.663582677165351</v>
          </cell>
          <cell r="AD189">
            <v>66.663582677165351</v>
          </cell>
          <cell r="AE189">
            <v>65.696850393700799</v>
          </cell>
          <cell r="AF189">
            <v>23.696850393700792</v>
          </cell>
          <cell r="AG189">
            <v>26.688976377952756</v>
          </cell>
          <cell r="AH189" t="str">
            <v>Y</v>
          </cell>
          <cell r="AI189">
            <v>36.603000000000002</v>
          </cell>
          <cell r="AJ189">
            <v>16.600000000000001</v>
          </cell>
          <cell r="AK189" t="str">
            <v>TBD</v>
          </cell>
          <cell r="AL189" t="str">
            <v>Y</v>
          </cell>
          <cell r="AM189">
            <v>200018403</v>
          </cell>
          <cell r="AN189">
            <v>200028403</v>
          </cell>
          <cell r="AO189">
            <v>200018303</v>
          </cell>
          <cell r="AP189">
            <v>200028303</v>
          </cell>
          <cell r="AQ189">
            <v>200018203</v>
          </cell>
          <cell r="AR189">
            <v>200028203</v>
          </cell>
          <cell r="AS189">
            <v>14.555555555555557</v>
          </cell>
          <cell r="AT189">
            <v>30.887233777756016</v>
          </cell>
          <cell r="AU189">
            <v>22.736128511518519</v>
          </cell>
          <cell r="AV189">
            <v>15.39820352823091</v>
          </cell>
          <cell r="AW189">
            <v>41193</v>
          </cell>
        </row>
        <row r="190">
          <cell r="C190" t="str">
            <v>Suniva - ART245-60_S</v>
          </cell>
          <cell r="D190" t="str">
            <v>Standard Claw</v>
          </cell>
          <cell r="E190">
            <v>5000005</v>
          </cell>
          <cell r="F190">
            <v>38.661417322834644</v>
          </cell>
          <cell r="G190">
            <v>65.078740157480325</v>
          </cell>
          <cell r="H190">
            <v>1.8110236220472442</v>
          </cell>
          <cell r="I190">
            <v>200010705</v>
          </cell>
          <cell r="J190">
            <v>200010805</v>
          </cell>
          <cell r="K190">
            <v>200013805</v>
          </cell>
          <cell r="L190">
            <v>200016305</v>
          </cell>
          <cell r="M190">
            <v>500012569</v>
          </cell>
          <cell r="N190">
            <v>500012669</v>
          </cell>
          <cell r="O190">
            <v>500012570</v>
          </cell>
          <cell r="P190">
            <v>500012670</v>
          </cell>
          <cell r="Q190">
            <v>11.63296745038237</v>
          </cell>
          <cell r="R190">
            <v>10.396377871112776</v>
          </cell>
          <cell r="S190">
            <v>4.9056193610673633</v>
          </cell>
          <cell r="T190">
            <v>4.9056193610673633</v>
          </cell>
          <cell r="U190">
            <v>11.63296745038237</v>
          </cell>
          <cell r="V190">
            <v>10.396377871112776</v>
          </cell>
          <cell r="W190">
            <v>50</v>
          </cell>
          <cell r="X190">
            <v>35.496062992125985</v>
          </cell>
          <cell r="Y190">
            <v>67.140748031496074</v>
          </cell>
          <cell r="Z190">
            <v>35.496062992125985</v>
          </cell>
          <cell r="AA190">
            <v>67.140748031496074</v>
          </cell>
          <cell r="AB190">
            <v>35.496062992125985</v>
          </cell>
          <cell r="AC190">
            <v>67.140748031496074</v>
          </cell>
          <cell r="AD190">
            <v>67.140748031496074</v>
          </cell>
          <cell r="AE190">
            <v>65.578740157480325</v>
          </cell>
          <cell r="AF190">
            <v>23.578740157480318</v>
          </cell>
          <cell r="AG190">
            <v>40.122047244094489</v>
          </cell>
          <cell r="AH190" t="str">
            <v>Y</v>
          </cell>
          <cell r="AI190">
            <v>41.211450000000006</v>
          </cell>
          <cell r="AJ190">
            <v>18.690000000000001</v>
          </cell>
          <cell r="AK190" t="str">
            <v>TBD</v>
          </cell>
          <cell r="AL190" t="str">
            <v>Y</v>
          </cell>
          <cell r="AM190">
            <v>200018403</v>
          </cell>
          <cell r="AN190">
            <v>200028403</v>
          </cell>
          <cell r="AO190">
            <v>200018303</v>
          </cell>
          <cell r="AP190">
            <v>200028303</v>
          </cell>
          <cell r="AQ190">
            <v>200018203</v>
          </cell>
          <cell r="AR190">
            <v>200028203</v>
          </cell>
          <cell r="AS190">
            <v>14.555555555555557</v>
          </cell>
          <cell r="AT190">
            <v>19.966933673962352</v>
          </cell>
          <cell r="AU190">
            <v>14.897438461609681</v>
          </cell>
          <cell r="AV190">
            <v>10.173320490201343</v>
          </cell>
          <cell r="AW190">
            <v>40843</v>
          </cell>
        </row>
        <row r="191">
          <cell r="C191" t="str">
            <v>Suniva - OPT 60 250-265_S</v>
          </cell>
          <cell r="D191" t="str">
            <v>Standard Claw</v>
          </cell>
          <cell r="E191">
            <v>5000005</v>
          </cell>
          <cell r="F191">
            <v>38.661417322834644</v>
          </cell>
          <cell r="G191">
            <v>65.078740157480325</v>
          </cell>
          <cell r="H191">
            <v>1.8110236220472442</v>
          </cell>
          <cell r="I191">
            <v>200010705</v>
          </cell>
          <cell r="J191">
            <v>200010805</v>
          </cell>
          <cell r="K191">
            <v>200013805</v>
          </cell>
          <cell r="L191">
            <v>200016305</v>
          </cell>
          <cell r="M191">
            <v>500012569</v>
          </cell>
          <cell r="N191">
            <v>500012669</v>
          </cell>
          <cell r="O191">
            <v>500012570</v>
          </cell>
          <cell r="P191">
            <v>500012670</v>
          </cell>
          <cell r="Q191">
            <v>11.63296745038237</v>
          </cell>
          <cell r="R191">
            <v>10.396377871112776</v>
          </cell>
          <cell r="S191">
            <v>4.9056193610673633</v>
          </cell>
          <cell r="T191">
            <v>4.9056193610673633</v>
          </cell>
          <cell r="U191">
            <v>11.63296745038237</v>
          </cell>
          <cell r="V191">
            <v>10.396377871112776</v>
          </cell>
          <cell r="W191">
            <v>50</v>
          </cell>
          <cell r="X191">
            <v>35.496062992125985</v>
          </cell>
          <cell r="Y191">
            <v>67.140748031496074</v>
          </cell>
          <cell r="Z191">
            <v>35.496062992125985</v>
          </cell>
          <cell r="AA191">
            <v>67.140748031496074</v>
          </cell>
          <cell r="AB191">
            <v>35.496062992125985</v>
          </cell>
          <cell r="AC191">
            <v>67.140748031496074</v>
          </cell>
          <cell r="AD191">
            <v>67.140748031496074</v>
          </cell>
          <cell r="AE191">
            <v>65.578740157480325</v>
          </cell>
          <cell r="AF191">
            <v>23.578740157480318</v>
          </cell>
          <cell r="AG191">
            <v>40.122047244094489</v>
          </cell>
          <cell r="AH191" t="str">
            <v>Y</v>
          </cell>
          <cell r="AI191">
            <v>39.5</v>
          </cell>
          <cell r="AJ191">
            <v>17.899999999999999</v>
          </cell>
          <cell r="AK191" t="str">
            <v>TBD</v>
          </cell>
          <cell r="AL191" t="str">
            <v>Y</v>
          </cell>
          <cell r="AM191">
            <v>200018403</v>
          </cell>
          <cell r="AN191">
            <v>200028403</v>
          </cell>
          <cell r="AO191">
            <v>200018303</v>
          </cell>
          <cell r="AP191">
            <v>200028303</v>
          </cell>
          <cell r="AQ191">
            <v>200018203</v>
          </cell>
          <cell r="AR191">
            <v>200028203</v>
          </cell>
          <cell r="AS191">
            <v>14.555555555555557</v>
          </cell>
          <cell r="AT191">
            <v>19.966933673962352</v>
          </cell>
          <cell r="AU191">
            <v>14.897438461609681</v>
          </cell>
          <cell r="AV191">
            <v>10.173320490201343</v>
          </cell>
          <cell r="AW191">
            <v>41226</v>
          </cell>
        </row>
        <row r="192">
          <cell r="C192" t="str">
            <v>Suniva - OPT 72  300-315_S</v>
          </cell>
          <cell r="D192" t="str">
            <v>Standard Claw</v>
          </cell>
          <cell r="E192">
            <v>5000005</v>
          </cell>
          <cell r="F192">
            <v>38.661417322834644</v>
          </cell>
          <cell r="G192">
            <v>77.5984251968504</v>
          </cell>
          <cell r="H192">
            <v>1.8110236220472442</v>
          </cell>
          <cell r="I192">
            <v>200010708</v>
          </cell>
          <cell r="J192">
            <v>200010808</v>
          </cell>
          <cell r="K192">
            <v>200013808</v>
          </cell>
          <cell r="L192">
            <v>200016308</v>
          </cell>
          <cell r="M192">
            <v>500012582</v>
          </cell>
          <cell r="N192">
            <v>500012682</v>
          </cell>
          <cell r="O192">
            <v>500012582</v>
          </cell>
          <cell r="P192">
            <v>500012682</v>
          </cell>
          <cell r="Q192">
            <v>11.63296745038237</v>
          </cell>
          <cell r="R192">
            <v>10.396377871112776</v>
          </cell>
          <cell r="S192">
            <v>4.9056193610673633</v>
          </cell>
          <cell r="T192">
            <v>4.9056193610673633</v>
          </cell>
          <cell r="U192">
            <v>11.63296745038237</v>
          </cell>
          <cell r="V192">
            <v>10.396377871112776</v>
          </cell>
          <cell r="W192">
            <v>30</v>
          </cell>
          <cell r="X192">
            <v>35.496062992125985</v>
          </cell>
          <cell r="Y192">
            <v>79.660433070866148</v>
          </cell>
          <cell r="Z192">
            <v>35.496062992125985</v>
          </cell>
          <cell r="AA192">
            <v>79.660433070866148</v>
          </cell>
          <cell r="AB192">
            <v>35.496062992125985</v>
          </cell>
          <cell r="AC192">
            <v>79.660433070866148</v>
          </cell>
          <cell r="AD192">
            <v>79.660433070866148</v>
          </cell>
          <cell r="AE192">
            <v>78.0984251968504</v>
          </cell>
          <cell r="AF192">
            <v>36.0984251968504</v>
          </cell>
          <cell r="AG192">
            <v>40.122047244094489</v>
          </cell>
          <cell r="AH192" t="str">
            <v>Y</v>
          </cell>
          <cell r="AI192">
            <v>50.715000000000003</v>
          </cell>
          <cell r="AJ192">
            <v>23</v>
          </cell>
          <cell r="AK192" t="str">
            <v>TBD</v>
          </cell>
          <cell r="AL192" t="str">
            <v>Y</v>
          </cell>
          <cell r="AM192">
            <v>200018407</v>
          </cell>
          <cell r="AN192">
            <v>200028407</v>
          </cell>
          <cell r="AO192">
            <v>200018307</v>
          </cell>
          <cell r="AP192">
            <v>200028307</v>
          </cell>
          <cell r="AQ192">
            <v>200018207</v>
          </cell>
          <cell r="AR192">
            <v>200028207</v>
          </cell>
          <cell r="AS192">
            <v>17.222222222222221</v>
          </cell>
          <cell r="AT192">
            <v>19.966933673962352</v>
          </cell>
          <cell r="AU192">
            <v>14.897438461609681</v>
          </cell>
          <cell r="AV192">
            <v>10.173320490201343</v>
          </cell>
          <cell r="AW192">
            <v>41254</v>
          </cell>
        </row>
        <row r="193">
          <cell r="C193" t="str">
            <v>Suniva - MVS 60 230-240_S</v>
          </cell>
          <cell r="D193" t="str">
            <v>Standard Claw</v>
          </cell>
          <cell r="E193">
            <v>5000005</v>
          </cell>
          <cell r="F193">
            <v>38.937007874015748</v>
          </cell>
          <cell r="G193">
            <v>65.157480314960637</v>
          </cell>
          <cell r="H193">
            <v>1.5354330708661419</v>
          </cell>
          <cell r="I193">
            <v>200010704</v>
          </cell>
          <cell r="J193">
            <v>200010804</v>
          </cell>
          <cell r="K193">
            <v>200013804</v>
          </cell>
          <cell r="L193">
            <v>200016304</v>
          </cell>
          <cell r="M193">
            <v>500012568</v>
          </cell>
          <cell r="N193">
            <v>500012668</v>
          </cell>
          <cell r="O193">
            <v>500012569</v>
          </cell>
          <cell r="P193">
            <v>500012669</v>
          </cell>
          <cell r="Q193">
            <v>11.873360468673903</v>
          </cell>
          <cell r="R193">
            <v>10.610593971182906</v>
          </cell>
          <cell r="S193">
            <v>5.0058052361358509</v>
          </cell>
          <cell r="T193">
            <v>5.0058052361358509</v>
          </cell>
          <cell r="U193">
            <v>11.873360468673903</v>
          </cell>
          <cell r="V193">
            <v>10.610593971182906</v>
          </cell>
          <cell r="W193">
            <v>50</v>
          </cell>
          <cell r="X193">
            <v>34.787401574803155</v>
          </cell>
          <cell r="Y193">
            <v>66.235236220472444</v>
          </cell>
          <cell r="Z193">
            <v>34.787401574803155</v>
          </cell>
          <cell r="AA193">
            <v>66.235236220472444</v>
          </cell>
          <cell r="AB193">
            <v>34.787401574803155</v>
          </cell>
          <cell r="AC193">
            <v>66.235236220472444</v>
          </cell>
          <cell r="AD193">
            <v>66.235236220472444</v>
          </cell>
          <cell r="AE193">
            <v>65.657480314960637</v>
          </cell>
          <cell r="AF193">
            <v>23.657480314960633</v>
          </cell>
          <cell r="AG193">
            <v>39.413385826771659</v>
          </cell>
          <cell r="AH193" t="str">
            <v>Y</v>
          </cell>
          <cell r="AI193">
            <v>43.218000000000004</v>
          </cell>
          <cell r="AJ193">
            <v>19.600000000000001</v>
          </cell>
          <cell r="AK193" t="str">
            <v>TBD</v>
          </cell>
          <cell r="AL193" t="str">
            <v>Y</v>
          </cell>
          <cell r="AM193">
            <v>200018403</v>
          </cell>
          <cell r="AN193">
            <v>200028403</v>
          </cell>
          <cell r="AO193">
            <v>200018303</v>
          </cell>
          <cell r="AP193">
            <v>200028303</v>
          </cell>
          <cell r="AQ193">
            <v>200018203</v>
          </cell>
          <cell r="AR193">
            <v>200028203</v>
          </cell>
          <cell r="AS193">
            <v>14.555555555555557</v>
          </cell>
          <cell r="AT193">
            <v>20.341667202100606</v>
          </cell>
          <cell r="AU193">
            <v>15.171677372068142</v>
          </cell>
          <cell r="AV193">
            <v>10.358239753326892</v>
          </cell>
          <cell r="AW193">
            <v>41227</v>
          </cell>
        </row>
        <row r="194">
          <cell r="C194" t="str">
            <v>Suniva - MVP 60 235-245_S</v>
          </cell>
          <cell r="D194" t="str">
            <v>Standard Claw</v>
          </cell>
          <cell r="E194">
            <v>5000005</v>
          </cell>
          <cell r="F194">
            <v>39.055118110236222</v>
          </cell>
          <cell r="G194">
            <v>64.566929133858267</v>
          </cell>
          <cell r="H194">
            <v>1.9685039370078741</v>
          </cell>
          <cell r="I194">
            <v>200010704</v>
          </cell>
          <cell r="J194">
            <v>200010804</v>
          </cell>
          <cell r="K194">
            <v>200013804</v>
          </cell>
          <cell r="L194">
            <v>200016304</v>
          </cell>
          <cell r="M194">
            <v>500012568</v>
          </cell>
          <cell r="N194">
            <v>500012668</v>
          </cell>
          <cell r="O194">
            <v>500012569</v>
          </cell>
          <cell r="P194">
            <v>500012669</v>
          </cell>
          <cell r="Q194">
            <v>11.698754267040043</v>
          </cell>
          <cell r="R194">
            <v>10.455004839041191</v>
          </cell>
          <cell r="S194">
            <v>4.9330437584696041</v>
          </cell>
          <cell r="T194">
            <v>4.9330437584696041</v>
          </cell>
          <cell r="U194">
            <v>11.698754267040043</v>
          </cell>
          <cell r="V194">
            <v>10.455004839041191</v>
          </cell>
          <cell r="W194">
            <v>50</v>
          </cell>
          <cell r="X194">
            <v>35.2992125984252</v>
          </cell>
          <cell r="Y194">
            <v>66.038385826771659</v>
          </cell>
          <cell r="Z194">
            <v>35.2992125984252</v>
          </cell>
          <cell r="AA194">
            <v>66.038385826771659</v>
          </cell>
          <cell r="AB194">
            <v>35.2992125984252</v>
          </cell>
          <cell r="AC194">
            <v>66.038385826771659</v>
          </cell>
          <cell r="AD194">
            <v>66.038385826771659</v>
          </cell>
          <cell r="AE194">
            <v>65.066929133858267</v>
          </cell>
          <cell r="AF194">
            <v>23.066929133858274</v>
          </cell>
          <cell r="AG194">
            <v>39.925196850393704</v>
          </cell>
          <cell r="AH194" t="str">
            <v>Y</v>
          </cell>
          <cell r="AI194">
            <v>43.218000000000004</v>
          </cell>
          <cell r="AJ194">
            <v>19.600000000000001</v>
          </cell>
          <cell r="AK194" t="str">
            <v>TBD</v>
          </cell>
          <cell r="AL194" t="str">
            <v>Y</v>
          </cell>
          <cell r="AM194">
            <v>200018403</v>
          </cell>
          <cell r="AN194">
            <v>200028403</v>
          </cell>
          <cell r="AO194">
            <v>200018303</v>
          </cell>
          <cell r="AP194">
            <v>200028303</v>
          </cell>
          <cell r="AQ194">
            <v>200018203</v>
          </cell>
          <cell r="AR194">
            <v>200028203</v>
          </cell>
          <cell r="AS194">
            <v>14.555555555555557</v>
          </cell>
          <cell r="AT194">
            <v>20.069602586497279</v>
          </cell>
          <cell r="AU194">
            <v>14.97260437224279</v>
          </cell>
          <cell r="AV194">
            <v>10.224017732239455</v>
          </cell>
          <cell r="AW194">
            <v>40886</v>
          </cell>
        </row>
        <row r="195">
          <cell r="C195" t="str">
            <v>Suniva - MVP 72 280-290_S</v>
          </cell>
          <cell r="D195" t="str">
            <v>Standard Claw</v>
          </cell>
          <cell r="E195">
            <v>5000005</v>
          </cell>
          <cell r="F195">
            <v>39.055118110236222</v>
          </cell>
          <cell r="G195">
            <v>77.00787401574803</v>
          </cell>
          <cell r="H195">
            <v>1.9685039370078741</v>
          </cell>
          <cell r="I195">
            <v>200010707</v>
          </cell>
          <cell r="J195">
            <v>200010807</v>
          </cell>
          <cell r="K195">
            <v>200013807</v>
          </cell>
          <cell r="L195">
            <v>200016307</v>
          </cell>
          <cell r="M195">
            <v>500012581</v>
          </cell>
          <cell r="N195">
            <v>500012681</v>
          </cell>
          <cell r="O195">
            <v>500012581</v>
          </cell>
          <cell r="P195">
            <v>500012681</v>
          </cell>
          <cell r="Q195">
            <v>11.698754267040043</v>
          </cell>
          <cell r="R195">
            <v>10.455004839041191</v>
          </cell>
          <cell r="S195">
            <v>4.9330437584696041</v>
          </cell>
          <cell r="T195">
            <v>4.9330437584696041</v>
          </cell>
          <cell r="U195">
            <v>11.698754267040043</v>
          </cell>
          <cell r="V195">
            <v>10.455004839041191</v>
          </cell>
          <cell r="W195">
            <v>30</v>
          </cell>
          <cell r="X195">
            <v>35.2992125984252</v>
          </cell>
          <cell r="Y195">
            <v>78.479330708661422</v>
          </cell>
          <cell r="Z195">
            <v>35.2992125984252</v>
          </cell>
          <cell r="AA195">
            <v>78.479330708661422</v>
          </cell>
          <cell r="AB195">
            <v>35.2992125984252</v>
          </cell>
          <cell r="AC195">
            <v>78.479330708661422</v>
          </cell>
          <cell r="AD195">
            <v>78.479330708661422</v>
          </cell>
          <cell r="AE195">
            <v>77.507874015748044</v>
          </cell>
          <cell r="AF195">
            <v>35.507874015748037</v>
          </cell>
          <cell r="AG195">
            <v>39.925196850393704</v>
          </cell>
          <cell r="AH195" t="str">
            <v>Y</v>
          </cell>
          <cell r="AI195">
            <v>50.935500000000005</v>
          </cell>
          <cell r="AJ195">
            <v>23.1</v>
          </cell>
          <cell r="AK195" t="str">
            <v>TBD</v>
          </cell>
          <cell r="AL195" t="str">
            <v>Y</v>
          </cell>
          <cell r="AM195">
            <v>200018407</v>
          </cell>
          <cell r="AN195">
            <v>200028407</v>
          </cell>
          <cell r="AO195">
            <v>200018307</v>
          </cell>
          <cell r="AP195">
            <v>200028307</v>
          </cell>
          <cell r="AQ195">
            <v>200018207</v>
          </cell>
          <cell r="AR195">
            <v>200028207</v>
          </cell>
          <cell r="AS195">
            <v>17.222222222222221</v>
          </cell>
          <cell r="AT195">
            <v>20.069602586497279</v>
          </cell>
          <cell r="AU195">
            <v>14.97260437224279</v>
          </cell>
          <cell r="AV195">
            <v>10.224017732239455</v>
          </cell>
          <cell r="AW195">
            <v>41123</v>
          </cell>
        </row>
        <row r="196">
          <cell r="C196" t="str">
            <v>Suniva - MVX 60 235-245_S</v>
          </cell>
          <cell r="D196" t="str">
            <v>Standard Claw</v>
          </cell>
          <cell r="E196">
            <v>5000005</v>
          </cell>
          <cell r="F196">
            <v>38.976377952755911</v>
          </cell>
          <cell r="G196">
            <v>64.960629921259851</v>
          </cell>
          <cell r="H196">
            <v>1.6535433070866143</v>
          </cell>
          <cell r="I196">
            <v>200010704</v>
          </cell>
          <cell r="J196">
            <v>200010804</v>
          </cell>
          <cell r="K196">
            <v>200013804</v>
          </cell>
          <cell r="L196">
            <v>200016304</v>
          </cell>
          <cell r="M196">
            <v>500012569</v>
          </cell>
          <cell r="N196">
            <v>500012669</v>
          </cell>
          <cell r="O196">
            <v>500012569</v>
          </cell>
          <cell r="P196">
            <v>500012669</v>
          </cell>
          <cell r="Q196">
            <v>11.646065132777842</v>
          </cell>
          <cell r="R196">
            <v>10.40805030701417</v>
          </cell>
          <cell r="S196">
            <v>4.911079789514722</v>
          </cell>
          <cell r="T196">
            <v>4.911079789514722</v>
          </cell>
          <cell r="U196">
            <v>11.646065132777842</v>
          </cell>
          <cell r="V196">
            <v>10.40805030701417</v>
          </cell>
          <cell r="W196">
            <v>50</v>
          </cell>
          <cell r="X196">
            <v>35.45669291338583</v>
          </cell>
          <cell r="Y196">
            <v>66.668307086614178</v>
          </cell>
          <cell r="Z196">
            <v>35.45669291338583</v>
          </cell>
          <cell r="AA196">
            <v>66.668307086614178</v>
          </cell>
          <cell r="AB196">
            <v>35.45669291338583</v>
          </cell>
          <cell r="AC196">
            <v>66.668307086614178</v>
          </cell>
          <cell r="AD196">
            <v>66.668307086614178</v>
          </cell>
          <cell r="AE196">
            <v>65.460629921259851</v>
          </cell>
          <cell r="AF196">
            <v>23.460629921259848</v>
          </cell>
          <cell r="AG196">
            <v>40.082677165354333</v>
          </cell>
          <cell r="AH196" t="str">
            <v>Y</v>
          </cell>
          <cell r="AI196">
            <v>42.997500000000002</v>
          </cell>
          <cell r="AJ196">
            <v>19.5</v>
          </cell>
          <cell r="AK196" t="str">
            <v>TBD</v>
          </cell>
          <cell r="AL196" t="str">
            <v>Y</v>
          </cell>
          <cell r="AM196">
            <v>200018403</v>
          </cell>
          <cell r="AN196">
            <v>200028403</v>
          </cell>
          <cell r="AO196">
            <v>200018303</v>
          </cell>
          <cell r="AP196">
            <v>200028303</v>
          </cell>
          <cell r="AQ196">
            <v>200018203</v>
          </cell>
          <cell r="AR196">
            <v>200028203</v>
          </cell>
          <cell r="AS196">
            <v>14.555555555555557</v>
          </cell>
          <cell r="AT196">
            <v>19.987381438876472</v>
          </cell>
          <cell r="AU196">
            <v>14.912410483320945</v>
          </cell>
          <cell r="AV196">
            <v>10.183419458492327</v>
          </cell>
          <cell r="AW196">
            <v>41123</v>
          </cell>
        </row>
        <row r="197">
          <cell r="C197" t="str">
            <v>Suniva - MVX 72 285-295_S</v>
          </cell>
          <cell r="D197" t="str">
            <v>Standard Claw</v>
          </cell>
          <cell r="E197">
            <v>5000005</v>
          </cell>
          <cell r="F197">
            <v>38.976377952755911</v>
          </cell>
          <cell r="G197">
            <v>77.559055118110237</v>
          </cell>
          <cell r="H197">
            <v>1.6535433070866143</v>
          </cell>
          <cell r="I197">
            <v>200010708</v>
          </cell>
          <cell r="J197">
            <v>200010808</v>
          </cell>
          <cell r="K197">
            <v>200013808</v>
          </cell>
          <cell r="L197">
            <v>200016308</v>
          </cell>
          <cell r="M197">
            <v>500012581</v>
          </cell>
          <cell r="N197">
            <v>500012681</v>
          </cell>
          <cell r="O197">
            <v>500012582</v>
          </cell>
          <cell r="P197">
            <v>500012682</v>
          </cell>
          <cell r="Q197">
            <v>11.646065132777842</v>
          </cell>
          <cell r="R197">
            <v>10.40805030701417</v>
          </cell>
          <cell r="S197">
            <v>4.911079789514722</v>
          </cell>
          <cell r="T197">
            <v>4.911079789514722</v>
          </cell>
          <cell r="U197">
            <v>11.646065132777842</v>
          </cell>
          <cell r="V197">
            <v>10.40805030701417</v>
          </cell>
          <cell r="W197">
            <v>30</v>
          </cell>
          <cell r="X197">
            <v>35.45669291338583</v>
          </cell>
          <cell r="Y197">
            <v>79.266732283464577</v>
          </cell>
          <cell r="Z197">
            <v>35.45669291338583</v>
          </cell>
          <cell r="AA197">
            <v>79.266732283464577</v>
          </cell>
          <cell r="AB197">
            <v>35.45669291338583</v>
          </cell>
          <cell r="AC197">
            <v>79.266732283464577</v>
          </cell>
          <cell r="AD197">
            <v>79.266732283464577</v>
          </cell>
          <cell r="AE197">
            <v>78.059055118110237</v>
          </cell>
          <cell r="AF197">
            <v>36.059055118110244</v>
          </cell>
          <cell r="AG197">
            <v>40.082677165354333</v>
          </cell>
          <cell r="AH197" t="str">
            <v>Y</v>
          </cell>
          <cell r="AI197">
            <v>58.432500000000005</v>
          </cell>
          <cell r="AJ197">
            <v>26.5</v>
          </cell>
          <cell r="AK197" t="str">
            <v>TBD</v>
          </cell>
          <cell r="AL197" t="str">
            <v>Y</v>
          </cell>
          <cell r="AM197">
            <v>200018407</v>
          </cell>
          <cell r="AN197">
            <v>200028407</v>
          </cell>
          <cell r="AO197">
            <v>200018307</v>
          </cell>
          <cell r="AP197">
            <v>200028307</v>
          </cell>
          <cell r="AQ197">
            <v>200018207</v>
          </cell>
          <cell r="AR197">
            <v>200028207</v>
          </cell>
          <cell r="AS197">
            <v>17.222222222222221</v>
          </cell>
          <cell r="AT197">
            <v>19.987381438876472</v>
          </cell>
          <cell r="AU197">
            <v>14.912410483320945</v>
          </cell>
          <cell r="AV197">
            <v>10.183419458492327</v>
          </cell>
          <cell r="AW197">
            <v>41123</v>
          </cell>
        </row>
        <row r="198">
          <cell r="C198" t="str">
            <v>Suntech - STP 180-185S-24-Adb+_M</v>
          </cell>
          <cell r="D198" t="str">
            <v>Short Clamp Multi Claw</v>
          </cell>
          <cell r="E198">
            <v>500000701</v>
          </cell>
          <cell r="F198">
            <v>31.811023622047244</v>
          </cell>
          <cell r="G198">
            <v>62.204724409448822</v>
          </cell>
          <cell r="H198">
            <v>1.3779527559055118</v>
          </cell>
          <cell r="I198">
            <v>200010703</v>
          </cell>
          <cell r="J198">
            <v>200010803</v>
          </cell>
          <cell r="K198">
            <v>200013803</v>
          </cell>
          <cell r="L198">
            <v>200016303</v>
          </cell>
          <cell r="M198">
            <v>500012565</v>
          </cell>
          <cell r="N198">
            <v>500012665</v>
          </cell>
          <cell r="O198">
            <v>500012565</v>
          </cell>
          <cell r="P198">
            <v>500012665</v>
          </cell>
          <cell r="Q198">
            <v>13.62171878398231</v>
          </cell>
          <cell r="R198">
            <v>12.167343817471885</v>
          </cell>
          <cell r="S198">
            <v>5.7321584003175321</v>
          </cell>
          <cell r="T198">
            <v>5.7321584003175321</v>
          </cell>
          <cell r="U198">
            <v>13.62171878398231</v>
          </cell>
          <cell r="V198">
            <v>12.167343817471885</v>
          </cell>
          <cell r="W198">
            <v>50</v>
          </cell>
          <cell r="X198">
            <v>30.391338582677168</v>
          </cell>
          <cell r="Y198">
            <v>62.780118110236224</v>
          </cell>
          <cell r="Z198">
            <v>30.391338582677168</v>
          </cell>
          <cell r="AA198">
            <v>62.780118110236224</v>
          </cell>
          <cell r="AB198">
            <v>30.391338582677168</v>
          </cell>
          <cell r="AC198">
            <v>62.780118110236224</v>
          </cell>
          <cell r="AD198">
            <v>62.780118110236224</v>
          </cell>
          <cell r="AE198">
            <v>62.704724409448822</v>
          </cell>
          <cell r="AF198">
            <v>20.704724409448822</v>
          </cell>
          <cell r="AG198">
            <v>32.681102362204726</v>
          </cell>
          <cell r="AH198" t="str">
            <v>N</v>
          </cell>
          <cell r="AI198">
            <v>37.926000000000002</v>
          </cell>
          <cell r="AJ198">
            <v>17.2</v>
          </cell>
          <cell r="AK198" t="str">
            <v>TBD</v>
          </cell>
          <cell r="AL198" t="str">
            <v>Y</v>
          </cell>
          <cell r="AM198">
            <v>200018402</v>
          </cell>
          <cell r="AN198">
            <v>200028402</v>
          </cell>
          <cell r="AO198">
            <v>200018302</v>
          </cell>
          <cell r="AP198">
            <v>200028302</v>
          </cell>
          <cell r="AQ198">
            <v>200018202</v>
          </cell>
          <cell r="AR198">
            <v>200028202</v>
          </cell>
          <cell r="AS198">
            <v>13.888888888888888</v>
          </cell>
          <cell r="AT198">
            <v>24.785769092963804</v>
          </cell>
          <cell r="AU198">
            <v>18.39852585667062</v>
          </cell>
          <cell r="AV198">
            <v>12.523577389800897</v>
          </cell>
          <cell r="AW198">
            <v>40617</v>
          </cell>
        </row>
        <row r="199">
          <cell r="C199" t="str">
            <v>Suntech - STP 180-190S-24-Ad+_M</v>
          </cell>
          <cell r="D199" t="str">
            <v>Short Clamp Multi Claw</v>
          </cell>
          <cell r="E199">
            <v>500000701</v>
          </cell>
          <cell r="F199">
            <v>31.811023622047244</v>
          </cell>
          <cell r="G199">
            <v>62.204724409448822</v>
          </cell>
          <cell r="H199">
            <v>1.3779527559055118</v>
          </cell>
          <cell r="I199">
            <v>200010703</v>
          </cell>
          <cell r="J199">
            <v>200010803</v>
          </cell>
          <cell r="K199">
            <v>200013803</v>
          </cell>
          <cell r="L199">
            <v>200016303</v>
          </cell>
          <cell r="M199">
            <v>500012565</v>
          </cell>
          <cell r="N199">
            <v>500012665</v>
          </cell>
          <cell r="O199">
            <v>500012565</v>
          </cell>
          <cell r="P199">
            <v>500012665</v>
          </cell>
          <cell r="Q199">
            <v>13.62171878398231</v>
          </cell>
          <cell r="R199">
            <v>12.167343817471885</v>
          </cell>
          <cell r="S199">
            <v>5.7321584003175321</v>
          </cell>
          <cell r="T199">
            <v>5.7321584003175321</v>
          </cell>
          <cell r="U199">
            <v>13.62171878398231</v>
          </cell>
          <cell r="V199">
            <v>12.167343817471885</v>
          </cell>
          <cell r="W199">
            <v>50</v>
          </cell>
          <cell r="X199">
            <v>30.391338582677168</v>
          </cell>
          <cell r="Y199">
            <v>62.780118110236224</v>
          </cell>
          <cell r="Z199">
            <v>30.391338582677168</v>
          </cell>
          <cell r="AA199">
            <v>62.780118110236224</v>
          </cell>
          <cell r="AB199">
            <v>30.391338582677168</v>
          </cell>
          <cell r="AC199">
            <v>62.780118110236224</v>
          </cell>
          <cell r="AD199">
            <v>62.780118110236224</v>
          </cell>
          <cell r="AE199">
            <v>62.704724409448822</v>
          </cell>
          <cell r="AF199">
            <v>20.704724409448822</v>
          </cell>
          <cell r="AG199">
            <v>32.681102362204726</v>
          </cell>
          <cell r="AH199" t="str">
            <v>N</v>
          </cell>
          <cell r="AI199">
            <v>37.926000000000002</v>
          </cell>
          <cell r="AJ199">
            <v>17.2</v>
          </cell>
          <cell r="AK199" t="str">
            <v>TBD</v>
          </cell>
          <cell r="AL199" t="str">
            <v>Y</v>
          </cell>
          <cell r="AM199">
            <v>200018402</v>
          </cell>
          <cell r="AN199">
            <v>200028402</v>
          </cell>
          <cell r="AO199">
            <v>200018302</v>
          </cell>
          <cell r="AP199">
            <v>200028302</v>
          </cell>
          <cell r="AQ199">
            <v>200018202</v>
          </cell>
          <cell r="AR199">
            <v>200028202</v>
          </cell>
          <cell r="AS199">
            <v>13.888888888888888</v>
          </cell>
          <cell r="AT199">
            <v>24.785769092963804</v>
          </cell>
          <cell r="AU199">
            <v>18.39852585667062</v>
          </cell>
          <cell r="AV199">
            <v>12.523577389800897</v>
          </cell>
          <cell r="AW199">
            <v>40617</v>
          </cell>
        </row>
        <row r="200">
          <cell r="C200" t="str">
            <v>Suntech - STP 240-245-20-Wd-Wde_S</v>
          </cell>
          <cell r="D200" t="str">
            <v>Standard Claw</v>
          </cell>
          <cell r="E200">
            <v>5000005</v>
          </cell>
          <cell r="F200">
            <v>39.055118110236222</v>
          </cell>
          <cell r="G200">
            <v>64.566929133858267</v>
          </cell>
          <cell r="H200">
            <v>1.3779527559055118</v>
          </cell>
          <cell r="I200">
            <v>200010704</v>
          </cell>
          <cell r="J200">
            <v>200010804</v>
          </cell>
          <cell r="K200">
            <v>200013804</v>
          </cell>
          <cell r="L200">
            <v>200016304</v>
          </cell>
          <cell r="M200">
            <v>500012568</v>
          </cell>
          <cell r="N200">
            <v>500012668</v>
          </cell>
          <cell r="O200">
            <v>500012569</v>
          </cell>
          <cell r="P200">
            <v>500012669</v>
          </cell>
          <cell r="Q200">
            <v>11.698754267040043</v>
          </cell>
          <cell r="R200">
            <v>10.455004839041191</v>
          </cell>
          <cell r="S200">
            <v>4.9330437584696041</v>
          </cell>
          <cell r="T200">
            <v>4.9330437584696041</v>
          </cell>
          <cell r="U200">
            <v>11.698754267040043</v>
          </cell>
          <cell r="V200">
            <v>10.455004839041191</v>
          </cell>
          <cell r="W200">
            <v>50</v>
          </cell>
          <cell r="X200">
            <v>35.2992125984252</v>
          </cell>
          <cell r="Y200">
            <v>66.038385826771659</v>
          </cell>
          <cell r="Z200">
            <v>35.2992125984252</v>
          </cell>
          <cell r="AA200">
            <v>66.038385826771659</v>
          </cell>
          <cell r="AB200">
            <v>35.2992125984252</v>
          </cell>
          <cell r="AC200">
            <v>66.038385826771659</v>
          </cell>
          <cell r="AD200">
            <v>66.038385826771659</v>
          </cell>
          <cell r="AE200">
            <v>65.066929133858267</v>
          </cell>
          <cell r="AF200">
            <v>23.066929133858274</v>
          </cell>
          <cell r="AG200">
            <v>39.925196850393704</v>
          </cell>
          <cell r="AH200" t="str">
            <v>N</v>
          </cell>
          <cell r="AI200">
            <v>40.131</v>
          </cell>
          <cell r="AJ200">
            <v>18.2</v>
          </cell>
          <cell r="AK200" t="str">
            <v>TBD</v>
          </cell>
          <cell r="AL200" t="str">
            <v>Y</v>
          </cell>
          <cell r="AM200">
            <v>200018403</v>
          </cell>
          <cell r="AN200">
            <v>200028403</v>
          </cell>
          <cell r="AO200">
            <v>200018303</v>
          </cell>
          <cell r="AP200">
            <v>200028303</v>
          </cell>
          <cell r="AQ200">
            <v>200018203</v>
          </cell>
          <cell r="AR200">
            <v>200028203</v>
          </cell>
          <cell r="AS200">
            <v>14.555555555555557</v>
          </cell>
          <cell r="AT200">
            <v>20.069602586497279</v>
          </cell>
          <cell r="AU200">
            <v>14.97260437224279</v>
          </cell>
          <cell r="AV200">
            <v>10.224017732239455</v>
          </cell>
          <cell r="AW200">
            <v>41254</v>
          </cell>
        </row>
        <row r="201">
          <cell r="C201" t="str">
            <v>Suntech - STP 275-295-24-Vd_S</v>
          </cell>
          <cell r="D201" t="str">
            <v>Standard Claw</v>
          </cell>
          <cell r="E201">
            <v>5000005</v>
          </cell>
          <cell r="F201">
            <v>39.055118110236222</v>
          </cell>
          <cell r="G201">
            <v>77.00787401574803</v>
          </cell>
          <cell r="H201">
            <v>1.9685039370078741</v>
          </cell>
          <cell r="I201">
            <v>200010707</v>
          </cell>
          <cell r="J201">
            <v>200010807</v>
          </cell>
          <cell r="K201">
            <v>200013807</v>
          </cell>
          <cell r="L201">
            <v>200016307</v>
          </cell>
          <cell r="M201">
            <v>500012581</v>
          </cell>
          <cell r="N201">
            <v>500012681</v>
          </cell>
          <cell r="O201">
            <v>500012581</v>
          </cell>
          <cell r="P201">
            <v>500012681</v>
          </cell>
          <cell r="Q201">
            <v>11.698754267040043</v>
          </cell>
          <cell r="R201">
            <v>10.455004839041191</v>
          </cell>
          <cell r="S201">
            <v>4.9330437584696041</v>
          </cell>
          <cell r="T201">
            <v>4.9330437584696041</v>
          </cell>
          <cell r="U201">
            <v>11.698754267040043</v>
          </cell>
          <cell r="V201">
            <v>10.455004839041191</v>
          </cell>
          <cell r="W201">
            <v>30</v>
          </cell>
          <cell r="X201">
            <v>35.2992125984252</v>
          </cell>
          <cell r="Y201">
            <v>78.479330708661422</v>
          </cell>
          <cell r="Z201">
            <v>35.2992125984252</v>
          </cell>
          <cell r="AA201">
            <v>78.479330708661422</v>
          </cell>
          <cell r="AB201">
            <v>35.2992125984252</v>
          </cell>
          <cell r="AC201">
            <v>78.479330708661422</v>
          </cell>
          <cell r="AD201">
            <v>78.479330708661422</v>
          </cell>
          <cell r="AE201">
            <v>77.507874015748044</v>
          </cell>
          <cell r="AF201">
            <v>35.507874015748037</v>
          </cell>
          <cell r="AG201">
            <v>39.925196850393704</v>
          </cell>
          <cell r="AH201" t="str">
            <v>Y</v>
          </cell>
          <cell r="AI201">
            <v>59.535000000000004</v>
          </cell>
          <cell r="AJ201">
            <v>27</v>
          </cell>
          <cell r="AK201" t="str">
            <v>TBD</v>
          </cell>
          <cell r="AL201" t="str">
            <v>Y</v>
          </cell>
          <cell r="AM201">
            <v>200018407</v>
          </cell>
          <cell r="AN201">
            <v>200028407</v>
          </cell>
          <cell r="AO201">
            <v>200018307</v>
          </cell>
          <cell r="AP201">
            <v>200028307</v>
          </cell>
          <cell r="AQ201">
            <v>200018207</v>
          </cell>
          <cell r="AR201">
            <v>200028207</v>
          </cell>
          <cell r="AS201">
            <v>17.222222222222221</v>
          </cell>
          <cell r="AT201">
            <v>20.069602586497279</v>
          </cell>
          <cell r="AU201">
            <v>14.97260437224279</v>
          </cell>
          <cell r="AV201">
            <v>10.224017732239455</v>
          </cell>
          <cell r="AW201">
            <v>41226</v>
          </cell>
        </row>
        <row r="202">
          <cell r="C202" t="str">
            <v>Suntech - STP 275-295-24-Vd_X</v>
          </cell>
          <cell r="D202" t="str">
            <v>Long Claw (Suntech STP-280)</v>
          </cell>
          <cell r="E202">
            <v>500003909</v>
          </cell>
          <cell r="F202">
            <v>39.055118110236222</v>
          </cell>
          <cell r="G202">
            <v>77.00787401574803</v>
          </cell>
          <cell r="H202">
            <v>1.9685039370078741</v>
          </cell>
          <cell r="I202">
            <v>200010707</v>
          </cell>
          <cell r="J202">
            <v>200010807</v>
          </cell>
          <cell r="K202">
            <v>200013807</v>
          </cell>
          <cell r="L202">
            <v>200016307</v>
          </cell>
          <cell r="M202">
            <v>500012580</v>
          </cell>
          <cell r="N202">
            <v>500012680</v>
          </cell>
          <cell r="O202">
            <v>500012580</v>
          </cell>
          <cell r="P202">
            <v>500012680</v>
          </cell>
          <cell r="Q202">
            <v>10.925528613606973</v>
          </cell>
          <cell r="R202">
            <v>9.7657558591012528</v>
          </cell>
          <cell r="S202">
            <v>4.610378750883191</v>
          </cell>
          <cell r="T202">
            <v>4.610378750883191</v>
          </cell>
          <cell r="U202">
            <v>10.925528613606973</v>
          </cell>
          <cell r="V202">
            <v>9.7657558591012528</v>
          </cell>
          <cell r="W202">
            <v>50</v>
          </cell>
          <cell r="X202">
            <v>37.763779527559059</v>
          </cell>
          <cell r="Y202">
            <v>77.762795275590548</v>
          </cell>
          <cell r="Z202">
            <v>37.763779527559059</v>
          </cell>
          <cell r="AA202">
            <v>77.762795275590548</v>
          </cell>
          <cell r="AB202">
            <v>37.763779527559059</v>
          </cell>
          <cell r="AC202">
            <v>77.762795275590548</v>
          </cell>
          <cell r="AD202">
            <v>77.762795275590548</v>
          </cell>
          <cell r="AE202">
            <v>77.507874015748044</v>
          </cell>
          <cell r="AF202">
            <v>35.507874015748037</v>
          </cell>
          <cell r="AG202">
            <v>39.925196850393704</v>
          </cell>
          <cell r="AH202" t="str">
            <v>Y</v>
          </cell>
          <cell r="AI202">
            <v>59.535000000000004</v>
          </cell>
          <cell r="AJ202">
            <v>27</v>
          </cell>
          <cell r="AK202" t="str">
            <v>TBD</v>
          </cell>
          <cell r="AL202" t="str">
            <v>Y</v>
          </cell>
          <cell r="AM202">
            <v>200018407</v>
          </cell>
          <cell r="AN202">
            <v>200028407</v>
          </cell>
          <cell r="AO202">
            <v>200018307</v>
          </cell>
          <cell r="AP202">
            <v>200028307</v>
          </cell>
          <cell r="AQ202">
            <v>200018207</v>
          </cell>
          <cell r="AR202">
            <v>200028207</v>
          </cell>
          <cell r="AS202">
            <v>17.222222222222221</v>
          </cell>
          <cell r="AT202">
            <v>20.069602586497279</v>
          </cell>
          <cell r="AU202">
            <v>14.97260437224279</v>
          </cell>
          <cell r="AV202">
            <v>10.224017732239455</v>
          </cell>
          <cell r="AW202">
            <v>41226</v>
          </cell>
        </row>
        <row r="203">
          <cell r="C203" t="str">
            <v>Suntech - STP 275-295-24-Vd_L</v>
          </cell>
          <cell r="D203" t="str">
            <v>2nd Gen Long Claw (Suntech STP-280)</v>
          </cell>
          <cell r="E203">
            <v>500014409</v>
          </cell>
          <cell r="F203">
            <v>39.055118110236222</v>
          </cell>
          <cell r="G203">
            <v>77.00787401574803</v>
          </cell>
          <cell r="H203">
            <v>1.9685039370078741</v>
          </cell>
          <cell r="I203">
            <v>200010707</v>
          </cell>
          <cell r="J203">
            <v>200010807</v>
          </cell>
          <cell r="K203">
            <v>200013807</v>
          </cell>
          <cell r="L203">
            <v>200016307</v>
          </cell>
          <cell r="M203">
            <v>500012580</v>
          </cell>
          <cell r="N203">
            <v>500012680</v>
          </cell>
          <cell r="O203">
            <v>500012580</v>
          </cell>
          <cell r="P203">
            <v>500012680</v>
          </cell>
          <cell r="Q203">
            <v>10.491598561783562</v>
          </cell>
          <cell r="R203">
            <v>9.3787899813738882</v>
          </cell>
          <cell r="S203">
            <v>4.4289934295908475</v>
          </cell>
          <cell r="T203">
            <v>4.4289934295908475</v>
          </cell>
          <cell r="U203">
            <v>10.491598561783562</v>
          </cell>
          <cell r="V203">
            <v>9.3787899813738882</v>
          </cell>
          <cell r="W203">
            <v>50</v>
          </cell>
          <cell r="X203">
            <v>39.30708661417323</v>
          </cell>
          <cell r="Y203">
            <v>77.762795275590548</v>
          </cell>
          <cell r="Z203">
            <v>39.30708661417323</v>
          </cell>
          <cell r="AA203">
            <v>77.762795275590548</v>
          </cell>
          <cell r="AB203">
            <v>39.30708661417323</v>
          </cell>
          <cell r="AC203">
            <v>77.762795275590548</v>
          </cell>
          <cell r="AD203">
            <v>77.762795275590548</v>
          </cell>
          <cell r="AE203">
            <v>77.507874015748044</v>
          </cell>
          <cell r="AF203">
            <v>35.507874015748037</v>
          </cell>
          <cell r="AG203">
            <v>39.925196850393704</v>
          </cell>
          <cell r="AH203" t="str">
            <v>Y</v>
          </cell>
          <cell r="AI203">
            <v>59.535000000000004</v>
          </cell>
          <cell r="AJ203">
            <v>27</v>
          </cell>
          <cell r="AK203" t="str">
            <v>TBD</v>
          </cell>
          <cell r="AL203" t="str">
            <v>Y</v>
          </cell>
          <cell r="AM203">
            <v>200018407</v>
          </cell>
          <cell r="AN203">
            <v>200028407</v>
          </cell>
          <cell r="AO203">
            <v>200018307</v>
          </cell>
          <cell r="AP203">
            <v>200028307</v>
          </cell>
          <cell r="AQ203">
            <v>200018207</v>
          </cell>
          <cell r="AR203">
            <v>200028207</v>
          </cell>
          <cell r="AS203">
            <v>17.222222222222221</v>
          </cell>
          <cell r="AT203">
            <v>20.069602586497279</v>
          </cell>
          <cell r="AU203">
            <v>14.97260437224279</v>
          </cell>
          <cell r="AV203">
            <v>10.224017732239455</v>
          </cell>
          <cell r="AW203">
            <v>41226</v>
          </cell>
        </row>
        <row r="204">
          <cell r="C204" t="str">
            <v>Suntech - PLUTO 240-245-Wde_S</v>
          </cell>
          <cell r="D204" t="str">
            <v>Standard Claw</v>
          </cell>
          <cell r="E204">
            <v>5000005</v>
          </cell>
          <cell r="F204">
            <v>39.015748031496067</v>
          </cell>
          <cell r="G204">
            <v>65.551181102362207</v>
          </cell>
          <cell r="H204">
            <v>1.9685039370078741</v>
          </cell>
          <cell r="I204">
            <v>200010705</v>
          </cell>
          <cell r="J204">
            <v>200010805</v>
          </cell>
          <cell r="K204">
            <v>200013804</v>
          </cell>
          <cell r="L204">
            <v>200016304</v>
          </cell>
          <cell r="M204">
            <v>500012569</v>
          </cell>
          <cell r="N204">
            <v>500012669</v>
          </cell>
          <cell r="O204">
            <v>500012570</v>
          </cell>
          <cell r="P204">
            <v>500012670</v>
          </cell>
          <cell r="Q204">
            <v>11.712001665978303</v>
          </cell>
          <cell r="R204">
            <v>10.466810122774502</v>
          </cell>
          <cell r="S204">
            <v>4.9385655202770034</v>
          </cell>
          <cell r="T204">
            <v>4.9385655202770034</v>
          </cell>
          <cell r="U204">
            <v>11.712001665978303</v>
          </cell>
          <cell r="V204">
            <v>10.466810122774502</v>
          </cell>
          <cell r="W204">
            <v>50</v>
          </cell>
          <cell r="X204">
            <v>35.259842519685044</v>
          </cell>
          <cell r="Y204">
            <v>67.0226377952756</v>
          </cell>
          <cell r="Z204">
            <v>35.259842519685044</v>
          </cell>
          <cell r="AA204">
            <v>67.0226377952756</v>
          </cell>
          <cell r="AB204">
            <v>35.259842519685044</v>
          </cell>
          <cell r="AC204">
            <v>67.0226377952756</v>
          </cell>
          <cell r="AD204">
            <v>67.0226377952756</v>
          </cell>
          <cell r="AE204">
            <v>66.051181102362207</v>
          </cell>
          <cell r="AF204">
            <v>24.051181102362211</v>
          </cell>
          <cell r="AG204">
            <v>39.885826771653548</v>
          </cell>
          <cell r="AH204" t="str">
            <v>N</v>
          </cell>
          <cell r="AI204">
            <v>44.1</v>
          </cell>
          <cell r="AJ204">
            <v>20</v>
          </cell>
          <cell r="AK204" t="str">
            <v>TBD</v>
          </cell>
          <cell r="AL204" t="str">
            <v>Y</v>
          </cell>
          <cell r="AM204">
            <v>200018403</v>
          </cell>
          <cell r="AN204">
            <v>200028403</v>
          </cell>
          <cell r="AO204">
            <v>200018303</v>
          </cell>
          <cell r="AP204">
            <v>200028303</v>
          </cell>
          <cell r="AQ204">
            <v>200018203</v>
          </cell>
          <cell r="AR204">
            <v>200028203</v>
          </cell>
          <cell r="AS204">
            <v>14.555555555555557</v>
          </cell>
          <cell r="AT204">
            <v>20.090266090541991</v>
          </cell>
          <cell r="AU204">
            <v>14.987729769699868</v>
          </cell>
          <cell r="AV204">
            <v>10.23421820704114</v>
          </cell>
          <cell r="AW204">
            <v>41229</v>
          </cell>
        </row>
        <row r="205">
          <cell r="C205" t="str">
            <v>Trina Solar - TSM-PC-PA05-DC-DA05 220-255_S</v>
          </cell>
          <cell r="D205" t="str">
            <v>Standard Claw</v>
          </cell>
          <cell r="E205">
            <v>5000005</v>
          </cell>
          <cell r="F205">
            <v>39.055118110236222</v>
          </cell>
          <cell r="G205">
            <v>64.960629921259851</v>
          </cell>
          <cell r="H205">
            <v>1.8110236220472442</v>
          </cell>
          <cell r="I205">
            <v>200010704</v>
          </cell>
          <cell r="J205">
            <v>200010804</v>
          </cell>
          <cell r="K205">
            <v>200013804</v>
          </cell>
          <cell r="L205">
            <v>200016304</v>
          </cell>
          <cell r="M205">
            <v>500012568</v>
          </cell>
          <cell r="N205">
            <v>500012668</v>
          </cell>
          <cell r="O205">
            <v>500012569</v>
          </cell>
          <cell r="P205">
            <v>500012669</v>
          </cell>
          <cell r="Q205">
            <v>11.778694560772582</v>
          </cell>
          <cell r="R205">
            <v>10.526241039665905</v>
          </cell>
          <cell r="S205">
            <v>4.9663610300746015</v>
          </cell>
          <cell r="T205">
            <v>4.9663610300746015</v>
          </cell>
          <cell r="U205">
            <v>11.778694560772582</v>
          </cell>
          <cell r="V205">
            <v>10.526241039665905</v>
          </cell>
          <cell r="W205">
            <v>50</v>
          </cell>
          <cell r="X205">
            <v>35.062992125984252</v>
          </cell>
          <cell r="Y205">
            <v>66.195866141732282</v>
          </cell>
          <cell r="Z205">
            <v>35.062992125984252</v>
          </cell>
          <cell r="AA205">
            <v>66.195866141732282</v>
          </cell>
          <cell r="AB205">
            <v>35.062992125984252</v>
          </cell>
          <cell r="AC205">
            <v>66.195866141732282</v>
          </cell>
          <cell r="AD205">
            <v>66.195866141732282</v>
          </cell>
          <cell r="AE205">
            <v>65.460629921259851</v>
          </cell>
          <cell r="AF205">
            <v>23.460629921259848</v>
          </cell>
          <cell r="AG205">
            <v>39.688976377952756</v>
          </cell>
          <cell r="AH205" t="str">
            <v>Y</v>
          </cell>
          <cell r="AI205">
            <v>42.997500000000002</v>
          </cell>
          <cell r="AJ205">
            <v>19.5</v>
          </cell>
          <cell r="AK205" t="str">
            <v>TBD</v>
          </cell>
          <cell r="AL205" t="str">
            <v>Y</v>
          </cell>
          <cell r="AM205">
            <v>200018403</v>
          </cell>
          <cell r="AN205">
            <v>200028403</v>
          </cell>
          <cell r="AO205">
            <v>200018303</v>
          </cell>
          <cell r="AP205">
            <v>200028303</v>
          </cell>
          <cell r="AQ205">
            <v>200018203</v>
          </cell>
          <cell r="AR205">
            <v>200028203</v>
          </cell>
          <cell r="AS205">
            <v>14.555555555555557</v>
          </cell>
          <cell r="AT205">
            <v>20.19423994993074</v>
          </cell>
          <cell r="AU205">
            <v>15.063823110425394</v>
          </cell>
          <cell r="AV205">
            <v>10.285529115768481</v>
          </cell>
          <cell r="AW205">
            <v>41317</v>
          </cell>
        </row>
        <row r="206">
          <cell r="C206" t="str">
            <v>Trina Solar - TSM-PC-PA14-PA14A 270-315_S</v>
          </cell>
          <cell r="D206" t="str">
            <v>Standard Claw</v>
          </cell>
          <cell r="E206">
            <v>5000005</v>
          </cell>
          <cell r="F206">
            <v>39.055118110236222</v>
          </cell>
          <cell r="G206">
            <v>77.00787401574803</v>
          </cell>
          <cell r="H206">
            <v>1.8110236220472442</v>
          </cell>
          <cell r="I206">
            <v>200010707</v>
          </cell>
          <cell r="J206">
            <v>200010807</v>
          </cell>
          <cell r="K206">
            <v>200013807</v>
          </cell>
          <cell r="L206">
            <v>200016307</v>
          </cell>
          <cell r="M206">
            <v>500012580</v>
          </cell>
          <cell r="N206">
            <v>500012680</v>
          </cell>
          <cell r="O206">
            <v>500012581</v>
          </cell>
          <cell r="P206">
            <v>500012681</v>
          </cell>
          <cell r="Q206">
            <v>11.778694560772582</v>
          </cell>
          <cell r="R206">
            <v>10.526241039665905</v>
          </cell>
          <cell r="S206">
            <v>4.9663610300746015</v>
          </cell>
          <cell r="T206">
            <v>4.9663610300746015</v>
          </cell>
          <cell r="U206">
            <v>11.778694560772582</v>
          </cell>
          <cell r="V206">
            <v>10.526241039665905</v>
          </cell>
          <cell r="W206">
            <v>50</v>
          </cell>
          <cell r="X206">
            <v>35.062992125984252</v>
          </cell>
          <cell r="Y206">
            <v>78.243110236220474</v>
          </cell>
          <cell r="Z206">
            <v>35.062992125984252</v>
          </cell>
          <cell r="AA206">
            <v>78.243110236220474</v>
          </cell>
          <cell r="AB206">
            <v>35.062992125984252</v>
          </cell>
          <cell r="AC206">
            <v>78.243110236220474</v>
          </cell>
          <cell r="AD206">
            <v>78.243110236220474</v>
          </cell>
          <cell r="AE206">
            <v>77.507874015748044</v>
          </cell>
          <cell r="AF206">
            <v>35.507874015748037</v>
          </cell>
          <cell r="AG206">
            <v>39.688976377952756</v>
          </cell>
          <cell r="AH206" t="str">
            <v>Y</v>
          </cell>
          <cell r="AI206">
            <v>60.858000000000004</v>
          </cell>
          <cell r="AJ206">
            <v>27.6</v>
          </cell>
          <cell r="AK206" t="str">
            <v>TBD</v>
          </cell>
          <cell r="AL206" t="str">
            <v>Y</v>
          </cell>
          <cell r="AM206">
            <v>200018407</v>
          </cell>
          <cell r="AN206">
            <v>200028407</v>
          </cell>
          <cell r="AO206">
            <v>200018307</v>
          </cell>
          <cell r="AP206">
            <v>200028307</v>
          </cell>
          <cell r="AQ206">
            <v>200018207</v>
          </cell>
          <cell r="AR206">
            <v>200028207</v>
          </cell>
          <cell r="AS206">
            <v>17.222222222222221</v>
          </cell>
          <cell r="AT206">
            <v>20.19423994993074</v>
          </cell>
          <cell r="AU206">
            <v>15.063823110425394</v>
          </cell>
          <cell r="AV206">
            <v>10.285529115768481</v>
          </cell>
          <cell r="AW206">
            <v>41317</v>
          </cell>
        </row>
        <row r="207">
          <cell r="C207" t="str">
            <v>Trina Solar - TSM-PC-PA05 220-255_S</v>
          </cell>
          <cell r="D207" t="str">
            <v>Standard Claw</v>
          </cell>
          <cell r="E207">
            <v>5000005</v>
          </cell>
          <cell r="F207">
            <v>39.055118110236222</v>
          </cell>
          <cell r="G207">
            <v>64.960629921259851</v>
          </cell>
          <cell r="H207">
            <v>1.5748031496062993</v>
          </cell>
          <cell r="I207">
            <v>200010704</v>
          </cell>
          <cell r="J207">
            <v>200010804</v>
          </cell>
          <cell r="K207">
            <v>200013804</v>
          </cell>
          <cell r="L207">
            <v>200016304</v>
          </cell>
          <cell r="M207">
            <v>500012569</v>
          </cell>
          <cell r="N207">
            <v>500012669</v>
          </cell>
          <cell r="O207">
            <v>500012569</v>
          </cell>
          <cell r="P207">
            <v>500012669</v>
          </cell>
          <cell r="Q207">
            <v>11.698754267040043</v>
          </cell>
          <cell r="R207">
            <v>10.455004839041191</v>
          </cell>
          <cell r="S207">
            <v>4.9330437584696041</v>
          </cell>
          <cell r="T207">
            <v>4.9330437584696041</v>
          </cell>
          <cell r="U207">
            <v>11.698754267040043</v>
          </cell>
          <cell r="V207">
            <v>10.455004839041191</v>
          </cell>
          <cell r="W207">
            <v>50</v>
          </cell>
          <cell r="X207">
            <v>35.2992125984252</v>
          </cell>
          <cell r="Y207">
            <v>66.43208661417323</v>
          </cell>
          <cell r="Z207">
            <v>35.2992125984252</v>
          </cell>
          <cell r="AA207">
            <v>66.43208661417323</v>
          </cell>
          <cell r="AB207">
            <v>35.2992125984252</v>
          </cell>
          <cell r="AC207">
            <v>66.43208661417323</v>
          </cell>
          <cell r="AD207">
            <v>66.43208661417323</v>
          </cell>
          <cell r="AE207">
            <v>65.460629921259851</v>
          </cell>
          <cell r="AF207">
            <v>23.460629921259848</v>
          </cell>
          <cell r="AG207">
            <v>39.925196850393704</v>
          </cell>
          <cell r="AH207" t="str">
            <v>Y</v>
          </cell>
          <cell r="AI207">
            <v>42.997500000000002</v>
          </cell>
          <cell r="AJ207">
            <v>19.5</v>
          </cell>
          <cell r="AK207" t="str">
            <v>TBD</v>
          </cell>
          <cell r="AL207" t="str">
            <v>Y</v>
          </cell>
          <cell r="AM207">
            <v>200018403</v>
          </cell>
          <cell r="AN207">
            <v>200028403</v>
          </cell>
          <cell r="AO207">
            <v>200018303</v>
          </cell>
          <cell r="AP207">
            <v>200028303</v>
          </cell>
          <cell r="AQ207">
            <v>200018203</v>
          </cell>
          <cell r="AR207">
            <v>200028203</v>
          </cell>
          <cell r="AS207">
            <v>14.555555555555557</v>
          </cell>
          <cell r="AT207">
            <v>20.069602586497279</v>
          </cell>
          <cell r="AU207">
            <v>14.97260437224279</v>
          </cell>
          <cell r="AV207">
            <v>10.224017732239455</v>
          </cell>
          <cell r="AW207">
            <v>41317</v>
          </cell>
        </row>
        <row r="208">
          <cell r="C208" t="str">
            <v>Trina Solar - TSM-DC-DA05 220-240_S</v>
          </cell>
          <cell r="D208" t="str">
            <v>Standard Claw</v>
          </cell>
          <cell r="E208">
            <v>5000005</v>
          </cell>
          <cell r="F208">
            <v>39.055118110236222</v>
          </cell>
          <cell r="G208">
            <v>64.960629921259851</v>
          </cell>
          <cell r="H208">
            <v>1.5748031496062993</v>
          </cell>
          <cell r="I208">
            <v>200010704</v>
          </cell>
          <cell r="J208">
            <v>200010804</v>
          </cell>
          <cell r="K208">
            <v>200013804</v>
          </cell>
          <cell r="L208">
            <v>200016304</v>
          </cell>
          <cell r="M208">
            <v>500012569</v>
          </cell>
          <cell r="N208">
            <v>500012669</v>
          </cell>
          <cell r="O208">
            <v>500012569</v>
          </cell>
          <cell r="P208">
            <v>500012669</v>
          </cell>
          <cell r="Q208">
            <v>11.698754267040043</v>
          </cell>
          <cell r="R208">
            <v>10.455004839041191</v>
          </cell>
          <cell r="S208">
            <v>4.9330437584696041</v>
          </cell>
          <cell r="T208">
            <v>4.9330437584696041</v>
          </cell>
          <cell r="U208">
            <v>11.698754267040043</v>
          </cell>
          <cell r="V208">
            <v>10.455004839041191</v>
          </cell>
          <cell r="W208">
            <v>50</v>
          </cell>
          <cell r="X208">
            <v>35.2992125984252</v>
          </cell>
          <cell r="Y208">
            <v>66.43208661417323</v>
          </cell>
          <cell r="Z208">
            <v>35.2992125984252</v>
          </cell>
          <cell r="AA208">
            <v>66.43208661417323</v>
          </cell>
          <cell r="AB208">
            <v>35.2992125984252</v>
          </cell>
          <cell r="AC208">
            <v>66.43208661417323</v>
          </cell>
          <cell r="AD208">
            <v>66.43208661417323</v>
          </cell>
          <cell r="AE208">
            <v>65.460629921259851</v>
          </cell>
          <cell r="AF208">
            <v>23.460629921259848</v>
          </cell>
          <cell r="AG208">
            <v>39.925196850393704</v>
          </cell>
          <cell r="AH208" t="str">
            <v>Y</v>
          </cell>
          <cell r="AI208">
            <v>42.997500000000002</v>
          </cell>
          <cell r="AJ208">
            <v>19.5</v>
          </cell>
          <cell r="AK208" t="str">
            <v>TBD</v>
          </cell>
          <cell r="AL208" t="str">
            <v>Y</v>
          </cell>
          <cell r="AM208">
            <v>200018403</v>
          </cell>
          <cell r="AN208">
            <v>200028403</v>
          </cell>
          <cell r="AO208">
            <v>200018303</v>
          </cell>
          <cell r="AP208">
            <v>200028303</v>
          </cell>
          <cell r="AQ208">
            <v>200018203</v>
          </cell>
          <cell r="AR208">
            <v>200028203</v>
          </cell>
          <cell r="AS208">
            <v>14.555555555555557</v>
          </cell>
          <cell r="AT208">
            <v>20.069602586497279</v>
          </cell>
          <cell r="AU208">
            <v>14.97260437224279</v>
          </cell>
          <cell r="AV208">
            <v>10.224017732239455</v>
          </cell>
          <cell r="AW208">
            <v>41123</v>
          </cell>
        </row>
        <row r="209">
          <cell r="C209" t="str">
            <v>Trina Solar - TSM-PC-PA14 270-305_S</v>
          </cell>
          <cell r="D209" t="str">
            <v>Standard Claw</v>
          </cell>
          <cell r="E209">
            <v>5000005</v>
          </cell>
          <cell r="F209">
            <v>39.055118110236222</v>
          </cell>
          <cell r="G209">
            <v>77.00787401574803</v>
          </cell>
          <cell r="H209">
            <v>1.5748031496062993</v>
          </cell>
          <cell r="I209">
            <v>200010707</v>
          </cell>
          <cell r="J209">
            <v>200010807</v>
          </cell>
          <cell r="K209">
            <v>200013807</v>
          </cell>
          <cell r="L209">
            <v>200016307</v>
          </cell>
          <cell r="M209">
            <v>500012581</v>
          </cell>
          <cell r="N209">
            <v>500012681</v>
          </cell>
          <cell r="O209">
            <v>500012581</v>
          </cell>
          <cell r="P209">
            <v>500012681</v>
          </cell>
          <cell r="Q209">
            <v>11.698754267040043</v>
          </cell>
          <cell r="R209">
            <v>10.455004839041191</v>
          </cell>
          <cell r="S209">
            <v>4.9330437584696041</v>
          </cell>
          <cell r="T209">
            <v>4.9330437584696041</v>
          </cell>
          <cell r="U209">
            <v>11.698754267040043</v>
          </cell>
          <cell r="V209">
            <v>10.455004839041191</v>
          </cell>
          <cell r="W209">
            <v>50</v>
          </cell>
          <cell r="X209">
            <v>35.2992125984252</v>
          </cell>
          <cell r="Y209">
            <v>78.479330708661422</v>
          </cell>
          <cell r="Z209">
            <v>35.2992125984252</v>
          </cell>
          <cell r="AA209">
            <v>78.479330708661422</v>
          </cell>
          <cell r="AB209">
            <v>35.2992125984252</v>
          </cell>
          <cell r="AC209">
            <v>78.479330708661422</v>
          </cell>
          <cell r="AD209">
            <v>78.479330708661422</v>
          </cell>
          <cell r="AE209">
            <v>77.507874015748044</v>
          </cell>
          <cell r="AF209">
            <v>35.507874015748037</v>
          </cell>
          <cell r="AG209">
            <v>39.925196850393704</v>
          </cell>
          <cell r="AH209" t="str">
            <v>N</v>
          </cell>
          <cell r="AI209">
            <v>60.8</v>
          </cell>
          <cell r="AJ209">
            <v>27.6</v>
          </cell>
          <cell r="AK209" t="str">
            <v>TBD</v>
          </cell>
          <cell r="AL209" t="str">
            <v>Y</v>
          </cell>
          <cell r="AM209">
            <v>200018407</v>
          </cell>
          <cell r="AN209">
            <v>200028407</v>
          </cell>
          <cell r="AO209">
            <v>200018307</v>
          </cell>
          <cell r="AP209">
            <v>200028307</v>
          </cell>
          <cell r="AQ209">
            <v>200018207</v>
          </cell>
          <cell r="AR209">
            <v>200028207</v>
          </cell>
          <cell r="AS209">
            <v>17.222222222222221</v>
          </cell>
          <cell r="AT209">
            <v>20.069602586497279</v>
          </cell>
          <cell r="AU209">
            <v>14.97260437224279</v>
          </cell>
          <cell r="AV209">
            <v>10.224017732239455</v>
          </cell>
          <cell r="AW209">
            <v>41317</v>
          </cell>
        </row>
        <row r="210">
          <cell r="C210" t="str">
            <v>Trina Solar - TSM-PC-PA14A 290-315_S</v>
          </cell>
          <cell r="D210" t="str">
            <v>Standard Claw</v>
          </cell>
          <cell r="E210">
            <v>5000005</v>
          </cell>
          <cell r="F210">
            <v>39.055118110236222</v>
          </cell>
          <cell r="G210">
            <v>77.00787401574803</v>
          </cell>
          <cell r="H210">
            <v>1.5748031496062993</v>
          </cell>
          <cell r="I210">
            <v>200010707</v>
          </cell>
          <cell r="J210">
            <v>200010807</v>
          </cell>
          <cell r="K210">
            <v>200013807</v>
          </cell>
          <cell r="L210">
            <v>200016307</v>
          </cell>
          <cell r="M210">
            <v>500012581</v>
          </cell>
          <cell r="N210">
            <v>500012681</v>
          </cell>
          <cell r="O210">
            <v>500012581</v>
          </cell>
          <cell r="P210">
            <v>500012681</v>
          </cell>
          <cell r="Q210">
            <v>11.698754267040043</v>
          </cell>
          <cell r="R210">
            <v>10.455004839041191</v>
          </cell>
          <cell r="S210">
            <v>4.9330437584696041</v>
          </cell>
          <cell r="T210">
            <v>4.9330437584696041</v>
          </cell>
          <cell r="U210">
            <v>11.698754267040043</v>
          </cell>
          <cell r="V210">
            <v>10.455004839041191</v>
          </cell>
          <cell r="W210">
            <v>50</v>
          </cell>
          <cell r="X210">
            <v>35.2992125984252</v>
          </cell>
          <cell r="Y210">
            <v>78.479330708661422</v>
          </cell>
          <cell r="Z210">
            <v>35.2992125984252</v>
          </cell>
          <cell r="AA210">
            <v>78.479330708661422</v>
          </cell>
          <cell r="AB210">
            <v>35.2992125984252</v>
          </cell>
          <cell r="AC210">
            <v>78.479330708661422</v>
          </cell>
          <cell r="AD210">
            <v>78.479330708661422</v>
          </cell>
          <cell r="AE210">
            <v>77.507874015748044</v>
          </cell>
          <cell r="AF210">
            <v>35.507874015748037</v>
          </cell>
          <cell r="AG210">
            <v>39.925196850393704</v>
          </cell>
          <cell r="AH210" t="str">
            <v>N</v>
          </cell>
          <cell r="AI210">
            <v>60.8</v>
          </cell>
          <cell r="AJ210">
            <v>27.6</v>
          </cell>
          <cell r="AK210" t="str">
            <v>TBD</v>
          </cell>
          <cell r="AL210" t="str">
            <v>Y</v>
          </cell>
          <cell r="AM210">
            <v>200018407</v>
          </cell>
          <cell r="AN210">
            <v>200028407</v>
          </cell>
          <cell r="AO210">
            <v>200018307</v>
          </cell>
          <cell r="AP210">
            <v>200028307</v>
          </cell>
          <cell r="AQ210">
            <v>200018207</v>
          </cell>
          <cell r="AR210">
            <v>200028207</v>
          </cell>
          <cell r="AS210">
            <v>17.222222222222221</v>
          </cell>
          <cell r="AT210">
            <v>20.069602586497279</v>
          </cell>
          <cell r="AU210">
            <v>14.97260437224279</v>
          </cell>
          <cell r="AV210">
            <v>10.224017732239455</v>
          </cell>
          <cell r="AW210">
            <v>41317</v>
          </cell>
        </row>
        <row r="211">
          <cell r="C211" t="str">
            <v>TSMC - TSMC 125-140_S</v>
          </cell>
          <cell r="D211" t="str">
            <v>Standard Claw</v>
          </cell>
          <cell r="E211">
            <v>5000005</v>
          </cell>
          <cell r="F211">
            <v>25.826771653543307</v>
          </cell>
          <cell r="G211">
            <v>65.196850393700785</v>
          </cell>
          <cell r="H211">
            <v>1.3779527559055118</v>
          </cell>
          <cell r="I211">
            <v>200010704</v>
          </cell>
          <cell r="J211">
            <v>200010804</v>
          </cell>
          <cell r="K211">
            <v>200013804</v>
          </cell>
          <cell r="L211">
            <v>200016304</v>
          </cell>
          <cell r="M211">
            <v>500012569</v>
          </cell>
          <cell r="N211">
            <v>500012669</v>
          </cell>
          <cell r="O211">
            <v>500012569</v>
          </cell>
          <cell r="P211">
            <v>500012669</v>
          </cell>
          <cell r="Q211">
            <v>18.646759082927325</v>
          </cell>
          <cell r="R211">
            <v>16.627087624346455</v>
          </cell>
          <cell r="S211">
            <v>7.7930967180026212</v>
          </cell>
          <cell r="T211">
            <v>7.7930967180026212</v>
          </cell>
          <cell r="U211">
            <v>18.646759082927325</v>
          </cell>
          <cell r="V211">
            <v>16.627087624346455</v>
          </cell>
          <cell r="W211">
            <v>30</v>
          </cell>
          <cell r="X211">
            <v>22.385826771653544</v>
          </cell>
          <cell r="Y211">
            <v>66.663582677165351</v>
          </cell>
          <cell r="Z211">
            <v>22.385826771653544</v>
          </cell>
          <cell r="AA211">
            <v>66.663582677165351</v>
          </cell>
          <cell r="AB211">
            <v>22.385826771653544</v>
          </cell>
          <cell r="AC211">
            <v>66.663582677165351</v>
          </cell>
          <cell r="AD211">
            <v>66.663582677165351</v>
          </cell>
          <cell r="AE211">
            <v>65.696850393700799</v>
          </cell>
          <cell r="AF211">
            <v>23.696850393700792</v>
          </cell>
          <cell r="AG211">
            <v>26.688976377952756</v>
          </cell>
          <cell r="AH211" t="str">
            <v>Y</v>
          </cell>
          <cell r="AI211">
            <v>36.603000000000002</v>
          </cell>
          <cell r="AJ211">
            <v>16.600000000000001</v>
          </cell>
          <cell r="AK211" t="str">
            <v>TBD</v>
          </cell>
          <cell r="AL211" t="str">
            <v>Y</v>
          </cell>
          <cell r="AM211">
            <v>200018403</v>
          </cell>
          <cell r="AN211">
            <v>200028403</v>
          </cell>
          <cell r="AO211">
            <v>200018303</v>
          </cell>
          <cell r="AP211">
            <v>200028303</v>
          </cell>
          <cell r="AQ211">
            <v>200018203</v>
          </cell>
          <cell r="AR211">
            <v>200028203</v>
          </cell>
          <cell r="AS211">
            <v>14.555555555555557</v>
          </cell>
          <cell r="AT211">
            <v>30.887233777756016</v>
          </cell>
          <cell r="AU211">
            <v>22.736128511518519</v>
          </cell>
          <cell r="AV211">
            <v>15.39820352823091</v>
          </cell>
          <cell r="AW211">
            <v>41193</v>
          </cell>
        </row>
        <row r="212">
          <cell r="C212" t="str">
            <v>Unicor - PVM 200-240 PS_L</v>
          </cell>
          <cell r="D212" t="str">
            <v>2nd Gen Long Claw (Unicor PVMPS)</v>
          </cell>
          <cell r="E212">
            <v>500014412</v>
          </cell>
          <cell r="F212">
            <v>38.65</v>
          </cell>
          <cell r="G212">
            <v>64.510000000000005</v>
          </cell>
          <cell r="H212">
            <v>1.3779527559055118</v>
          </cell>
          <cell r="I212">
            <v>200010704</v>
          </cell>
          <cell r="J212">
            <v>200010804</v>
          </cell>
          <cell r="K212">
            <v>200013804</v>
          </cell>
          <cell r="L212">
            <v>200016304</v>
          </cell>
          <cell r="M212">
            <v>500012568</v>
          </cell>
          <cell r="N212">
            <v>500012668</v>
          </cell>
          <cell r="O212">
            <v>500012568</v>
          </cell>
          <cell r="P212">
            <v>500012668</v>
          </cell>
          <cell r="Q212">
            <v>10.407789026340346</v>
          </cell>
          <cell r="R212">
            <v>9.3040381938719481</v>
          </cell>
          <cell r="S212">
            <v>4.3939360798390625</v>
          </cell>
          <cell r="T212">
            <v>4.3939360798390625</v>
          </cell>
          <cell r="U212">
            <v>10.407789026340346</v>
          </cell>
          <cell r="V212">
            <v>9.3040381938719481</v>
          </cell>
          <cell r="W212">
            <v>30</v>
          </cell>
          <cell r="X212">
            <v>39.620078740157481</v>
          </cell>
          <cell r="Y212">
            <v>65.264921259842524</v>
          </cell>
          <cell r="Z212">
            <v>39.620078740157481</v>
          </cell>
          <cell r="AA212">
            <v>65.264921259842524</v>
          </cell>
          <cell r="AB212">
            <v>39.620078740157481</v>
          </cell>
          <cell r="AC212">
            <v>65.264921259842524</v>
          </cell>
          <cell r="AD212">
            <v>65.264921259842524</v>
          </cell>
          <cell r="AE212">
            <v>65.010000000000005</v>
          </cell>
          <cell r="AF212">
            <v>23.010000000000009</v>
          </cell>
          <cell r="AG212">
            <v>40.307480314960628</v>
          </cell>
          <cell r="AH212" t="str">
            <v>N</v>
          </cell>
          <cell r="AI212">
            <v>50.0535</v>
          </cell>
          <cell r="AJ212">
            <v>22.7</v>
          </cell>
          <cell r="AK212" t="str">
            <v>TBD</v>
          </cell>
          <cell r="AL212" t="str">
            <v>Y</v>
          </cell>
          <cell r="AM212">
            <v>200018403</v>
          </cell>
          <cell r="AN212">
            <v>200028403</v>
          </cell>
          <cell r="AO212">
            <v>200018303</v>
          </cell>
          <cell r="AP212">
            <v>200028303</v>
          </cell>
          <cell r="AQ212">
            <v>200018203</v>
          </cell>
          <cell r="AR212">
            <v>200028203</v>
          </cell>
          <cell r="AS212">
            <v>14.555555555555557</v>
          </cell>
          <cell r="AT212">
            <v>19.871197062224532</v>
          </cell>
          <cell r="AU212">
            <v>14.82732736658515</v>
          </cell>
          <cell r="AV212">
            <v>10.126023881715716</v>
          </cell>
          <cell r="AW212">
            <v>41193</v>
          </cell>
        </row>
        <row r="213">
          <cell r="C213" t="str">
            <v>Upsolar - UP-M 200-215 P_S</v>
          </cell>
          <cell r="D213" t="str">
            <v>Standard Claw</v>
          </cell>
          <cell r="E213">
            <v>5000005</v>
          </cell>
          <cell r="F213">
            <v>39.055118110236222</v>
          </cell>
          <cell r="G213">
            <v>58.346456692913392</v>
          </cell>
          <cell r="H213">
            <v>1.9685039370078741</v>
          </cell>
          <cell r="I213">
            <v>200010703</v>
          </cell>
          <cell r="J213">
            <v>200010803</v>
          </cell>
          <cell r="K213">
            <v>200013803</v>
          </cell>
          <cell r="L213">
            <v>200016303</v>
          </cell>
          <cell r="M213">
            <v>500012562</v>
          </cell>
          <cell r="N213">
            <v>500012662</v>
          </cell>
          <cell r="O213">
            <v>500012563</v>
          </cell>
          <cell r="P213">
            <v>500012663</v>
          </cell>
          <cell r="Q213">
            <v>11.698754267040043</v>
          </cell>
          <cell r="R213">
            <v>10.455004839041191</v>
          </cell>
          <cell r="S213">
            <v>4.9330437584696041</v>
          </cell>
          <cell r="T213">
            <v>4.9330437584696041</v>
          </cell>
          <cell r="U213">
            <v>11.698754267040043</v>
          </cell>
          <cell r="V213">
            <v>10.455004839041191</v>
          </cell>
          <cell r="W213">
            <v>45</v>
          </cell>
          <cell r="X213">
            <v>35.2992125984252</v>
          </cell>
          <cell r="Y213">
            <v>59.817913385826778</v>
          </cell>
          <cell r="Z213">
            <v>35.2992125984252</v>
          </cell>
          <cell r="AA213">
            <v>59.817913385826778</v>
          </cell>
          <cell r="AB213">
            <v>35.2992125984252</v>
          </cell>
          <cell r="AC213">
            <v>59.817913385826778</v>
          </cell>
          <cell r="AD213">
            <v>59.817913385826778</v>
          </cell>
          <cell r="AE213">
            <v>58.846456692913392</v>
          </cell>
          <cell r="AF213">
            <v>16.846456692913389</v>
          </cell>
          <cell r="AG213">
            <v>39.925196850393704</v>
          </cell>
          <cell r="AH213" t="str">
            <v>Y</v>
          </cell>
          <cell r="AI213">
            <v>38.587499999999999</v>
          </cell>
          <cell r="AJ213">
            <v>17.5</v>
          </cell>
          <cell r="AK213" t="str">
            <v>TBD</v>
          </cell>
          <cell r="AL213" t="str">
            <v>Y</v>
          </cell>
          <cell r="AM213">
            <v>200018401</v>
          </cell>
          <cell r="AN213">
            <v>200028401</v>
          </cell>
          <cell r="AO213">
            <v>200018301</v>
          </cell>
          <cell r="AP213">
            <v>200028301</v>
          </cell>
          <cell r="AQ213">
            <v>200018201</v>
          </cell>
          <cell r="AR213">
            <v>200028201</v>
          </cell>
          <cell r="AS213">
            <v>13.22222222222222</v>
          </cell>
          <cell r="AT213">
            <v>20.069602586497279</v>
          </cell>
          <cell r="AU213">
            <v>14.97260437224279</v>
          </cell>
          <cell r="AV213">
            <v>10.224017732239455</v>
          </cell>
          <cell r="AW213">
            <v>40966</v>
          </cell>
        </row>
        <row r="214">
          <cell r="C214" t="str">
            <v>Upsolar - UP-M 215-235 P_S</v>
          </cell>
          <cell r="D214" t="str">
            <v>Standard Claw</v>
          </cell>
          <cell r="E214">
            <v>5000005</v>
          </cell>
          <cell r="F214">
            <v>39.055118110236222</v>
          </cell>
          <cell r="G214">
            <v>64.566929133858267</v>
          </cell>
          <cell r="H214">
            <v>1.9685039370078741</v>
          </cell>
          <cell r="I214">
            <v>200010704</v>
          </cell>
          <cell r="J214">
            <v>200010804</v>
          </cell>
          <cell r="K214">
            <v>200013804</v>
          </cell>
          <cell r="L214">
            <v>200016304</v>
          </cell>
          <cell r="M214">
            <v>500012568</v>
          </cell>
          <cell r="N214">
            <v>500012668</v>
          </cell>
          <cell r="O214">
            <v>500012569</v>
          </cell>
          <cell r="P214">
            <v>500012669</v>
          </cell>
          <cell r="Q214">
            <v>11.698754267040043</v>
          </cell>
          <cell r="R214">
            <v>10.455004839041191</v>
          </cell>
          <cell r="S214">
            <v>4.9330437584696041</v>
          </cell>
          <cell r="T214">
            <v>4.9330437584696041</v>
          </cell>
          <cell r="U214">
            <v>11.698754267040043</v>
          </cell>
          <cell r="V214">
            <v>10.455004839041191</v>
          </cell>
          <cell r="W214">
            <v>45</v>
          </cell>
          <cell r="X214">
            <v>35.2992125984252</v>
          </cell>
          <cell r="Y214">
            <v>66.038385826771659</v>
          </cell>
          <cell r="Z214">
            <v>35.2992125984252</v>
          </cell>
          <cell r="AA214">
            <v>66.038385826771659</v>
          </cell>
          <cell r="AB214">
            <v>35.2992125984252</v>
          </cell>
          <cell r="AC214">
            <v>66.038385826771659</v>
          </cell>
          <cell r="AD214">
            <v>66.038385826771659</v>
          </cell>
          <cell r="AE214">
            <v>65.066929133858267</v>
          </cell>
          <cell r="AF214">
            <v>23.066929133858274</v>
          </cell>
          <cell r="AG214">
            <v>39.925196850393704</v>
          </cell>
          <cell r="AH214" t="str">
            <v>Y</v>
          </cell>
          <cell r="AI214">
            <v>41.895000000000003</v>
          </cell>
          <cell r="AJ214">
            <v>19</v>
          </cell>
          <cell r="AK214" t="str">
            <v>TBD</v>
          </cell>
          <cell r="AL214" t="str">
            <v>Y</v>
          </cell>
          <cell r="AM214">
            <v>200018403</v>
          </cell>
          <cell r="AN214">
            <v>200028403</v>
          </cell>
          <cell r="AO214">
            <v>200018303</v>
          </cell>
          <cell r="AP214">
            <v>200028303</v>
          </cell>
          <cell r="AQ214">
            <v>200018203</v>
          </cell>
          <cell r="AR214">
            <v>200028203</v>
          </cell>
          <cell r="AS214">
            <v>14.555555555555557</v>
          </cell>
          <cell r="AT214">
            <v>20.069602586497279</v>
          </cell>
          <cell r="AU214">
            <v>14.97260437224279</v>
          </cell>
          <cell r="AV214">
            <v>10.224017732239455</v>
          </cell>
          <cell r="AW214">
            <v>40966</v>
          </cell>
        </row>
        <row r="215">
          <cell r="C215" t="str">
            <v>Upsolar - UP-M 250-290 P_S</v>
          </cell>
          <cell r="D215" t="str">
            <v>Standard Claw</v>
          </cell>
          <cell r="E215">
            <v>5000005</v>
          </cell>
          <cell r="F215">
            <v>39.055118110236222</v>
          </cell>
          <cell r="G215">
            <v>77.00787401574803</v>
          </cell>
          <cell r="H215">
            <v>1.9685039370078741</v>
          </cell>
          <cell r="I215">
            <v>200010707</v>
          </cell>
          <cell r="J215">
            <v>200010807</v>
          </cell>
          <cell r="K215">
            <v>200013807</v>
          </cell>
          <cell r="L215">
            <v>200016307</v>
          </cell>
          <cell r="M215">
            <v>500012581</v>
          </cell>
          <cell r="N215">
            <v>500012681</v>
          </cell>
          <cell r="O215">
            <v>500012581</v>
          </cell>
          <cell r="P215">
            <v>500012681</v>
          </cell>
          <cell r="Q215">
            <v>11.698754267040043</v>
          </cell>
          <cell r="R215">
            <v>10.455004839041191</v>
          </cell>
          <cell r="S215">
            <v>4.9330437584696041</v>
          </cell>
          <cell r="T215">
            <v>4.9330437584696041</v>
          </cell>
          <cell r="U215">
            <v>11.698754267040043</v>
          </cell>
          <cell r="V215">
            <v>10.455004839041191</v>
          </cell>
          <cell r="W215">
            <v>45</v>
          </cell>
          <cell r="X215">
            <v>35.2992125984252</v>
          </cell>
          <cell r="Y215">
            <v>78.479330708661422</v>
          </cell>
          <cell r="Z215">
            <v>35.2992125984252</v>
          </cell>
          <cell r="AA215">
            <v>78.479330708661422</v>
          </cell>
          <cell r="AB215">
            <v>35.2992125984252</v>
          </cell>
          <cell r="AC215">
            <v>78.479330708661422</v>
          </cell>
          <cell r="AD215">
            <v>78.479330708661422</v>
          </cell>
          <cell r="AE215">
            <v>77.507874015748044</v>
          </cell>
          <cell r="AF215">
            <v>35.507874015748037</v>
          </cell>
          <cell r="AG215">
            <v>39.925196850393704</v>
          </cell>
          <cell r="AH215" t="str">
            <v>N</v>
          </cell>
          <cell r="AI215">
            <v>59.535000000000004</v>
          </cell>
          <cell r="AJ215">
            <v>27</v>
          </cell>
          <cell r="AK215" t="str">
            <v>TBD</v>
          </cell>
          <cell r="AL215" t="str">
            <v>Y</v>
          </cell>
          <cell r="AM215">
            <v>200018407</v>
          </cell>
          <cell r="AN215">
            <v>200028407</v>
          </cell>
          <cell r="AO215">
            <v>200018307</v>
          </cell>
          <cell r="AP215">
            <v>200028307</v>
          </cell>
          <cell r="AQ215">
            <v>200018207</v>
          </cell>
          <cell r="AR215">
            <v>200028207</v>
          </cell>
          <cell r="AS215">
            <v>17.222222222222221</v>
          </cell>
          <cell r="AT215">
            <v>20.069602586497279</v>
          </cell>
          <cell r="AU215">
            <v>14.97260437224279</v>
          </cell>
          <cell r="AV215">
            <v>10.224017732239455</v>
          </cell>
          <cell r="AW215">
            <v>40617</v>
          </cell>
        </row>
        <row r="216">
          <cell r="C216" t="str">
            <v>Wanxiang - WXS 210-230 S_S</v>
          </cell>
          <cell r="D216" t="str">
            <v>Standard Claw</v>
          </cell>
          <cell r="E216">
            <v>5000005</v>
          </cell>
          <cell r="F216">
            <v>37.086614173228348</v>
          </cell>
          <cell r="G216">
            <v>67.086614173228355</v>
          </cell>
          <cell r="H216">
            <v>1.5748031496062993</v>
          </cell>
          <cell r="I216">
            <v>200010705</v>
          </cell>
          <cell r="J216">
            <v>200010805</v>
          </cell>
          <cell r="K216">
            <v>200013805</v>
          </cell>
          <cell r="L216">
            <v>200016305</v>
          </cell>
          <cell r="M216">
            <v>500012571</v>
          </cell>
          <cell r="N216">
            <v>500012671</v>
          </cell>
          <cell r="O216">
            <v>500012571</v>
          </cell>
          <cell r="P216">
            <v>500012671</v>
          </cell>
          <cell r="Q216">
            <v>12.400351460715436</v>
          </cell>
          <cell r="R216">
            <v>11.080062331247364</v>
          </cell>
          <cell r="S216">
            <v>5.2251757635522598</v>
          </cell>
          <cell r="T216">
            <v>5.2251757635522598</v>
          </cell>
          <cell r="U216">
            <v>12.400351460715436</v>
          </cell>
          <cell r="V216">
            <v>11.080062331247364</v>
          </cell>
          <cell r="W216">
            <v>30</v>
          </cell>
          <cell r="X216">
            <v>33.330708661417326</v>
          </cell>
          <cell r="Y216">
            <v>68.558070866141733</v>
          </cell>
          <cell r="Z216">
            <v>33.330708661417326</v>
          </cell>
          <cell r="AA216">
            <v>68.558070866141733</v>
          </cell>
          <cell r="AB216">
            <v>33.330708661417326</v>
          </cell>
          <cell r="AC216">
            <v>68.558070866141733</v>
          </cell>
          <cell r="AD216">
            <v>68.558070866141733</v>
          </cell>
          <cell r="AE216">
            <v>67.586614173228355</v>
          </cell>
          <cell r="AF216">
            <v>25.586614173228352</v>
          </cell>
          <cell r="AG216">
            <v>37.95669291338583</v>
          </cell>
          <cell r="AH216" t="str">
            <v>N</v>
          </cell>
          <cell r="AI216">
            <v>41.895000000000003</v>
          </cell>
          <cell r="AJ216">
            <v>19</v>
          </cell>
          <cell r="AK216" t="str">
            <v>TBD</v>
          </cell>
          <cell r="AL216" t="str">
            <v>Y</v>
          </cell>
          <cell r="AM216">
            <v>200018404</v>
          </cell>
          <cell r="AN216">
            <v>200028404</v>
          </cell>
          <cell r="AO216">
            <v>200018304</v>
          </cell>
          <cell r="AP216">
            <v>200028304</v>
          </cell>
          <cell r="AQ216">
            <v>200018204</v>
          </cell>
          <cell r="AR216">
            <v>200028204</v>
          </cell>
          <cell r="AS216">
            <v>15.222222222222221</v>
          </cell>
          <cell r="AT216">
            <v>21.159066732085972</v>
          </cell>
          <cell r="AU216">
            <v>15.768788331878591</v>
          </cell>
          <cell r="AV216">
            <v>10.760415311354333</v>
          </cell>
          <cell r="AW216">
            <v>40995</v>
          </cell>
        </row>
        <row r="217">
          <cell r="C217" t="str">
            <v>Wanxiang - WXS 240 S_S</v>
          </cell>
          <cell r="D217" t="str">
            <v>Standard Claw</v>
          </cell>
          <cell r="E217">
            <v>5000005</v>
          </cell>
          <cell r="F217">
            <v>37.086614173228348</v>
          </cell>
          <cell r="G217">
            <v>72.440944881889763</v>
          </cell>
          <cell r="H217">
            <v>1.5748031496062993</v>
          </cell>
          <cell r="I217">
            <v>200010706</v>
          </cell>
          <cell r="J217">
            <v>200010806</v>
          </cell>
          <cell r="K217">
            <v>200013806</v>
          </cell>
          <cell r="L217">
            <v>200016306</v>
          </cell>
          <cell r="M217">
            <v>500012576</v>
          </cell>
          <cell r="N217">
            <v>500012676</v>
          </cell>
          <cell r="O217">
            <v>500012576</v>
          </cell>
          <cell r="P217">
            <v>500012676</v>
          </cell>
          <cell r="Q217">
            <v>12.400351460715436</v>
          </cell>
          <cell r="R217">
            <v>11.080062331247364</v>
          </cell>
          <cell r="S217">
            <v>5.2251757635522598</v>
          </cell>
          <cell r="T217">
            <v>5.2251757635522598</v>
          </cell>
          <cell r="U217">
            <v>12.400351460715436</v>
          </cell>
          <cell r="V217">
            <v>11.080062331247364</v>
          </cell>
          <cell r="W217">
            <v>30</v>
          </cell>
          <cell r="X217">
            <v>33.330708661417326</v>
          </cell>
          <cell r="Y217">
            <v>73.912401574803155</v>
          </cell>
          <cell r="Z217">
            <v>33.330708661417326</v>
          </cell>
          <cell r="AA217">
            <v>73.912401574803155</v>
          </cell>
          <cell r="AB217">
            <v>33.330708661417326</v>
          </cell>
          <cell r="AC217">
            <v>73.912401574803155</v>
          </cell>
          <cell r="AD217">
            <v>73.912401574803155</v>
          </cell>
          <cell r="AE217">
            <v>72.940944881889763</v>
          </cell>
          <cell r="AF217">
            <v>30.94094488188977</v>
          </cell>
          <cell r="AG217">
            <v>37.95669291338583</v>
          </cell>
          <cell r="AH217" t="str">
            <v>N</v>
          </cell>
          <cell r="AI217">
            <v>41.895000000000003</v>
          </cell>
          <cell r="AJ217">
            <v>19</v>
          </cell>
          <cell r="AK217" t="str">
            <v>TBD</v>
          </cell>
          <cell r="AL217" t="str">
            <v>Y</v>
          </cell>
          <cell r="AM217">
            <v>200018405</v>
          </cell>
          <cell r="AN217">
            <v>200028405</v>
          </cell>
          <cell r="AO217">
            <v>200018305</v>
          </cell>
          <cell r="AP217">
            <v>200028305</v>
          </cell>
          <cell r="AQ217">
            <v>200018205</v>
          </cell>
          <cell r="AR217">
            <v>200028205</v>
          </cell>
          <cell r="AS217">
            <v>15.888888888888888</v>
          </cell>
          <cell r="AT217">
            <v>21.159066732085972</v>
          </cell>
          <cell r="AU217">
            <v>15.768788331878591</v>
          </cell>
          <cell r="AV217">
            <v>10.760415311354333</v>
          </cell>
          <cell r="AW217">
            <v>40995</v>
          </cell>
        </row>
        <row r="218">
          <cell r="C218" t="str">
            <v>Wanxiang - WXS 200-240 P_S</v>
          </cell>
          <cell r="D218" t="str">
            <v>Standard Claw</v>
          </cell>
          <cell r="E218">
            <v>5000005</v>
          </cell>
          <cell r="F218">
            <v>39.055118110236222</v>
          </cell>
          <cell r="G218">
            <v>64.566929133858267</v>
          </cell>
          <cell r="H218">
            <v>1.5748031496062993</v>
          </cell>
          <cell r="I218">
            <v>200010704</v>
          </cell>
          <cell r="J218">
            <v>200010804</v>
          </cell>
          <cell r="K218">
            <v>200013804</v>
          </cell>
          <cell r="L218">
            <v>200016304</v>
          </cell>
          <cell r="M218">
            <v>500012568</v>
          </cell>
          <cell r="N218">
            <v>500012668</v>
          </cell>
          <cell r="O218">
            <v>500012569</v>
          </cell>
          <cell r="P218">
            <v>500012669</v>
          </cell>
          <cell r="Q218">
            <v>11.698754267040043</v>
          </cell>
          <cell r="R218">
            <v>10.455004839041191</v>
          </cell>
          <cell r="S218">
            <v>4.9330437584696041</v>
          </cell>
          <cell r="T218">
            <v>4.9330437584696041</v>
          </cell>
          <cell r="U218">
            <v>11.698754267040043</v>
          </cell>
          <cell r="V218">
            <v>10.455004839041191</v>
          </cell>
          <cell r="W218">
            <v>30</v>
          </cell>
          <cell r="X218">
            <v>35.2992125984252</v>
          </cell>
          <cell r="Y218">
            <v>66.038385826771659</v>
          </cell>
          <cell r="Z218">
            <v>35.2992125984252</v>
          </cell>
          <cell r="AA218">
            <v>66.038385826771659</v>
          </cell>
          <cell r="AB218">
            <v>35.2992125984252</v>
          </cell>
          <cell r="AC218">
            <v>66.038385826771659</v>
          </cell>
          <cell r="AD218">
            <v>66.038385826771659</v>
          </cell>
          <cell r="AE218">
            <v>65.066929133858267</v>
          </cell>
          <cell r="AF218">
            <v>23.066929133858274</v>
          </cell>
          <cell r="AG218">
            <v>39.925196850393704</v>
          </cell>
          <cell r="AH218" t="str">
            <v>N</v>
          </cell>
          <cell r="AI218">
            <v>41.895000000000003</v>
          </cell>
          <cell r="AJ218">
            <v>19</v>
          </cell>
          <cell r="AK218" t="str">
            <v>TBD</v>
          </cell>
          <cell r="AL218" t="str">
            <v>Y</v>
          </cell>
          <cell r="AM218">
            <v>200018403</v>
          </cell>
          <cell r="AN218">
            <v>200028403</v>
          </cell>
          <cell r="AO218">
            <v>200018303</v>
          </cell>
          <cell r="AP218">
            <v>200028303</v>
          </cell>
          <cell r="AQ218">
            <v>200018203</v>
          </cell>
          <cell r="AR218">
            <v>200028203</v>
          </cell>
          <cell r="AS218">
            <v>14.555555555555557</v>
          </cell>
          <cell r="AT218">
            <v>20.069602586497279</v>
          </cell>
          <cell r="AU218">
            <v>14.97260437224279</v>
          </cell>
          <cell r="AV218">
            <v>10.224017732239455</v>
          </cell>
          <cell r="AW218">
            <v>40995</v>
          </cell>
        </row>
        <row r="219">
          <cell r="C219" t="str">
            <v>Wanxiang - WXS 245-290 P_S</v>
          </cell>
          <cell r="D219" t="str">
            <v>Standard Claw</v>
          </cell>
          <cell r="E219">
            <v>5000005</v>
          </cell>
          <cell r="F219">
            <v>39.055118110236222</v>
          </cell>
          <cell r="G219">
            <v>77.00787401574803</v>
          </cell>
          <cell r="H219">
            <v>1.9685039370078741</v>
          </cell>
          <cell r="I219">
            <v>200010707</v>
          </cell>
          <cell r="J219">
            <v>200010807</v>
          </cell>
          <cell r="K219">
            <v>200013807</v>
          </cell>
          <cell r="L219">
            <v>200016307</v>
          </cell>
          <cell r="M219">
            <v>500012581</v>
          </cell>
          <cell r="N219">
            <v>500012681</v>
          </cell>
          <cell r="O219">
            <v>500012581</v>
          </cell>
          <cell r="P219">
            <v>500012681</v>
          </cell>
          <cell r="Q219">
            <v>11.698754267040043</v>
          </cell>
          <cell r="R219">
            <v>10.455004839041191</v>
          </cell>
          <cell r="S219">
            <v>4.9330437584696041</v>
          </cell>
          <cell r="T219">
            <v>4.9330437584696041</v>
          </cell>
          <cell r="U219">
            <v>11.698754267040043</v>
          </cell>
          <cell r="V219">
            <v>10.455004839041191</v>
          </cell>
          <cell r="W219">
            <v>30</v>
          </cell>
          <cell r="X219">
            <v>35.2992125984252</v>
          </cell>
          <cell r="Y219">
            <v>78.479330708661422</v>
          </cell>
          <cell r="Z219">
            <v>35.2992125984252</v>
          </cell>
          <cell r="AA219">
            <v>78.479330708661422</v>
          </cell>
          <cell r="AB219">
            <v>35.2992125984252</v>
          </cell>
          <cell r="AC219">
            <v>78.479330708661422</v>
          </cell>
          <cell r="AD219">
            <v>78.479330708661422</v>
          </cell>
          <cell r="AE219">
            <v>77.507874015748044</v>
          </cell>
          <cell r="AF219">
            <v>35.507874015748037</v>
          </cell>
          <cell r="AG219">
            <v>39.925196850393704</v>
          </cell>
          <cell r="AH219" t="str">
            <v>N</v>
          </cell>
          <cell r="AI219">
            <v>50.715000000000003</v>
          </cell>
          <cell r="AJ219">
            <v>23</v>
          </cell>
          <cell r="AK219" t="str">
            <v>TBD</v>
          </cell>
          <cell r="AL219" t="str">
            <v>Y</v>
          </cell>
          <cell r="AM219">
            <v>200018407</v>
          </cell>
          <cell r="AN219">
            <v>200028407</v>
          </cell>
          <cell r="AO219">
            <v>200018307</v>
          </cell>
          <cell r="AP219">
            <v>200028307</v>
          </cell>
          <cell r="AQ219">
            <v>200018207</v>
          </cell>
          <cell r="AR219">
            <v>200028207</v>
          </cell>
          <cell r="AS219">
            <v>17.222222222222221</v>
          </cell>
          <cell r="AT219">
            <v>20.069602586497279</v>
          </cell>
          <cell r="AU219">
            <v>14.97260437224279</v>
          </cell>
          <cell r="AV219">
            <v>10.224017732239455</v>
          </cell>
          <cell r="AW219">
            <v>40995</v>
          </cell>
        </row>
        <row r="220">
          <cell r="C220" t="str">
            <v>Winaico - WSP 230-270 M-P 6_S</v>
          </cell>
          <cell r="D220" t="str">
            <v>Standard Claw</v>
          </cell>
          <cell r="E220">
            <v>5000005</v>
          </cell>
          <cell r="F220">
            <v>39.330708661417326</v>
          </cell>
          <cell r="G220">
            <v>65.551181102362207</v>
          </cell>
          <cell r="H220">
            <v>1.5748031496062993</v>
          </cell>
          <cell r="I220">
            <v>200010704</v>
          </cell>
          <cell r="J220">
            <v>200010804</v>
          </cell>
          <cell r="K220">
            <v>200013804</v>
          </cell>
          <cell r="L220">
            <v>200016304</v>
          </cell>
          <cell r="M220">
            <v>500012568</v>
          </cell>
          <cell r="N220">
            <v>500012668</v>
          </cell>
          <cell r="O220">
            <v>500012569</v>
          </cell>
          <cell r="P220">
            <v>500012669</v>
          </cell>
          <cell r="Q220">
            <v>12.011288073719886</v>
          </cell>
          <cell r="R220">
            <v>10.733484815459773</v>
          </cell>
          <cell r="S220">
            <v>5.0632548942141336</v>
          </cell>
          <cell r="T220">
            <v>5.0632548942141336</v>
          </cell>
          <cell r="U220">
            <v>12.011288073719886</v>
          </cell>
          <cell r="V220">
            <v>10.733484815459773</v>
          </cell>
          <cell r="W220">
            <v>30</v>
          </cell>
          <cell r="X220">
            <v>34.393700787401578</v>
          </cell>
          <cell r="Y220">
            <v>65.841535433070874</v>
          </cell>
          <cell r="Z220">
            <v>34.393700787401578</v>
          </cell>
          <cell r="AA220">
            <v>65.841535433070874</v>
          </cell>
          <cell r="AB220">
            <v>34.393700787401578</v>
          </cell>
          <cell r="AC220">
            <v>65.841535433070874</v>
          </cell>
          <cell r="AD220">
            <v>65.841535433070874</v>
          </cell>
          <cell r="AE220">
            <v>66.051181102362207</v>
          </cell>
          <cell r="AF220">
            <v>24.051181102362211</v>
          </cell>
          <cell r="AG220">
            <v>39.019685039370081</v>
          </cell>
          <cell r="AH220" t="str">
            <v>N</v>
          </cell>
          <cell r="AI220">
            <v>50.0535</v>
          </cell>
          <cell r="AJ220">
            <v>22.7</v>
          </cell>
          <cell r="AK220" t="str">
            <v>TBD</v>
          </cell>
          <cell r="AL220" t="str">
            <v>Y</v>
          </cell>
          <cell r="AM220">
            <v>200018403</v>
          </cell>
          <cell r="AN220">
            <v>200028403</v>
          </cell>
          <cell r="AO220">
            <v>200018303</v>
          </cell>
          <cell r="AP220">
            <v>200028303</v>
          </cell>
          <cell r="AQ220">
            <v>200018203</v>
          </cell>
          <cell r="AR220">
            <v>200028203</v>
          </cell>
          <cell r="AS220">
            <v>14.555555555555557</v>
          </cell>
          <cell r="AT220">
            <v>20.55614135357887</v>
          </cell>
          <cell r="AU220">
            <v>15.328496022567471</v>
          </cell>
          <cell r="AV220">
            <v>10.463923880108602</v>
          </cell>
          <cell r="AW220">
            <v>40977</v>
          </cell>
        </row>
        <row r="221">
          <cell r="C221" t="str">
            <v>Yingli - YL 190-210 P-26b_S</v>
          </cell>
          <cell r="D221" t="str">
            <v>Standard Claw</v>
          </cell>
          <cell r="E221">
            <v>5000005</v>
          </cell>
          <cell r="F221">
            <v>38.976377952755911</v>
          </cell>
          <cell r="G221">
            <v>58.858267716535437</v>
          </cell>
          <cell r="H221">
            <v>1.9685039370078741</v>
          </cell>
          <cell r="I221">
            <v>200010703</v>
          </cell>
          <cell r="J221">
            <v>200010803</v>
          </cell>
          <cell r="K221">
            <v>200013803</v>
          </cell>
          <cell r="L221">
            <v>200016303</v>
          </cell>
          <cell r="M221">
            <v>500012563</v>
          </cell>
          <cell r="N221">
            <v>500012663</v>
          </cell>
          <cell r="O221">
            <v>500012563</v>
          </cell>
          <cell r="P221">
            <v>500012663</v>
          </cell>
          <cell r="Q221">
            <v>11.646065132777842</v>
          </cell>
          <cell r="R221">
            <v>10.40805030701417</v>
          </cell>
          <cell r="S221">
            <v>4.911079789514722</v>
          </cell>
          <cell r="T221">
            <v>4.911079789514722</v>
          </cell>
          <cell r="U221">
            <v>11.646065132777842</v>
          </cell>
          <cell r="V221">
            <v>10.40805030701417</v>
          </cell>
          <cell r="W221">
            <v>50</v>
          </cell>
          <cell r="X221">
            <v>35.45669291338583</v>
          </cell>
          <cell r="Y221">
            <v>60.56594488188977</v>
          </cell>
          <cell r="Z221">
            <v>35.45669291338583</v>
          </cell>
          <cell r="AA221">
            <v>60.56594488188977</v>
          </cell>
          <cell r="AB221">
            <v>35.45669291338583</v>
          </cell>
          <cell r="AC221">
            <v>60.56594488188977</v>
          </cell>
          <cell r="AD221">
            <v>60.56594488188977</v>
          </cell>
          <cell r="AE221">
            <v>59.358267716535437</v>
          </cell>
          <cell r="AF221">
            <v>17.358267716535437</v>
          </cell>
          <cell r="AG221">
            <v>40.082677165354333</v>
          </cell>
          <cell r="AH221" t="str">
            <v>Y</v>
          </cell>
          <cell r="AI221">
            <v>39.69</v>
          </cell>
          <cell r="AJ221">
            <v>18</v>
          </cell>
          <cell r="AK221" t="str">
            <v>TBD</v>
          </cell>
          <cell r="AL221" t="str">
            <v>Y</v>
          </cell>
          <cell r="AM221">
            <v>200018401</v>
          </cell>
          <cell r="AN221">
            <v>200028401</v>
          </cell>
          <cell r="AO221">
            <v>200018301</v>
          </cell>
          <cell r="AP221">
            <v>200028301</v>
          </cell>
          <cell r="AQ221">
            <v>200018201</v>
          </cell>
          <cell r="AR221">
            <v>200028201</v>
          </cell>
          <cell r="AS221">
            <v>13.22222222222222</v>
          </cell>
          <cell r="AT221">
            <v>19.987381438876472</v>
          </cell>
          <cell r="AU221">
            <v>14.912410483320945</v>
          </cell>
          <cell r="AV221">
            <v>10.183419458492327</v>
          </cell>
          <cell r="AW221">
            <v>40617</v>
          </cell>
        </row>
        <row r="222">
          <cell r="C222" t="str">
            <v>Yingli - YL 215-235 P-29b_S</v>
          </cell>
          <cell r="D222" t="str">
            <v>Standard Claw</v>
          </cell>
          <cell r="E222">
            <v>5000005</v>
          </cell>
          <cell r="F222">
            <v>38.976377952755911</v>
          </cell>
          <cell r="G222">
            <v>64.960629921259851</v>
          </cell>
          <cell r="H222">
            <v>1.5748031496062993</v>
          </cell>
          <cell r="I222">
            <v>200010704</v>
          </cell>
          <cell r="J222">
            <v>200010804</v>
          </cell>
          <cell r="K222">
            <v>200013804</v>
          </cell>
          <cell r="L222">
            <v>200016304</v>
          </cell>
          <cell r="M222">
            <v>500012569</v>
          </cell>
          <cell r="N222">
            <v>500012669</v>
          </cell>
          <cell r="O222">
            <v>500012569</v>
          </cell>
          <cell r="P222">
            <v>500012669</v>
          </cell>
          <cell r="Q222">
            <v>11.646065132777842</v>
          </cell>
          <cell r="R222">
            <v>10.40805030701417</v>
          </cell>
          <cell r="S222">
            <v>4.911079789514722</v>
          </cell>
          <cell r="T222">
            <v>4.911079789514722</v>
          </cell>
          <cell r="U222">
            <v>11.646065132777842</v>
          </cell>
          <cell r="V222">
            <v>10.40805030701417</v>
          </cell>
          <cell r="W222">
            <v>50</v>
          </cell>
          <cell r="X222">
            <v>35.45669291338583</v>
          </cell>
          <cell r="Y222">
            <v>66.668307086614178</v>
          </cell>
          <cell r="Z222">
            <v>35.45669291338583</v>
          </cell>
          <cell r="AA222">
            <v>66.668307086614178</v>
          </cell>
          <cell r="AB222">
            <v>35.45669291338583</v>
          </cell>
          <cell r="AC222">
            <v>66.668307086614178</v>
          </cell>
          <cell r="AD222">
            <v>66.668307086614178</v>
          </cell>
          <cell r="AE222">
            <v>65.460629921259851</v>
          </cell>
          <cell r="AF222">
            <v>23.460629921259848</v>
          </cell>
          <cell r="AG222">
            <v>40.082677165354333</v>
          </cell>
          <cell r="AH222" t="str">
            <v>Y</v>
          </cell>
          <cell r="AI222">
            <v>42.1</v>
          </cell>
          <cell r="AJ222">
            <v>19.100000000000001</v>
          </cell>
          <cell r="AK222" t="str">
            <v>TBD</v>
          </cell>
          <cell r="AL222" t="str">
            <v>Y</v>
          </cell>
          <cell r="AM222">
            <v>200018403</v>
          </cell>
          <cell r="AN222">
            <v>200028403</v>
          </cell>
          <cell r="AO222">
            <v>200018303</v>
          </cell>
          <cell r="AP222">
            <v>200028303</v>
          </cell>
          <cell r="AQ222">
            <v>200018203</v>
          </cell>
          <cell r="AR222">
            <v>200028203</v>
          </cell>
          <cell r="AS222">
            <v>14.555555555555557</v>
          </cell>
          <cell r="AT222">
            <v>19.987381438876472</v>
          </cell>
          <cell r="AU222">
            <v>14.912410483320945</v>
          </cell>
          <cell r="AV222">
            <v>10.183419458492327</v>
          </cell>
          <cell r="AW222">
            <v>41317</v>
          </cell>
        </row>
        <row r="223">
          <cell r="C223" t="str">
            <v>Yingli - YL 215-235 P-29b_X</v>
          </cell>
          <cell r="D223" t="str">
            <v>Long Claw (Yingli 235/Panda)</v>
          </cell>
          <cell r="E223">
            <v>500003907</v>
          </cell>
          <cell r="F223">
            <v>38.976377952755911</v>
          </cell>
          <cell r="G223">
            <v>64.960629921259851</v>
          </cell>
          <cell r="H223">
            <v>1.5748031496062993</v>
          </cell>
          <cell r="I223">
            <v>200010704</v>
          </cell>
          <cell r="J223">
            <v>200010804</v>
          </cell>
          <cell r="K223">
            <v>200013804</v>
          </cell>
          <cell r="L223">
            <v>200016304</v>
          </cell>
          <cell r="M223">
            <v>500012568</v>
          </cell>
          <cell r="N223">
            <v>500012668</v>
          </cell>
          <cell r="O223">
            <v>500012568</v>
          </cell>
          <cell r="P223">
            <v>500012668</v>
          </cell>
          <cell r="Q223">
            <v>10.948638384786955</v>
          </cell>
          <cell r="R223">
            <v>9.7863612556795889</v>
          </cell>
          <cell r="S223">
            <v>4.620032713407368</v>
          </cell>
          <cell r="T223">
            <v>4.620032713407368</v>
          </cell>
          <cell r="U223">
            <v>10.948638384786955</v>
          </cell>
          <cell r="V223">
            <v>9.7863612556795889</v>
          </cell>
          <cell r="W223">
            <v>75</v>
          </cell>
          <cell r="X223">
            <v>37.685039370078741</v>
          </cell>
          <cell r="Y223">
            <v>65.71555118110237</v>
          </cell>
          <cell r="Z223">
            <v>37.685039370078741</v>
          </cell>
          <cell r="AA223">
            <v>65.71555118110237</v>
          </cell>
          <cell r="AB223">
            <v>37.685039370078741</v>
          </cell>
          <cell r="AC223">
            <v>65.71555118110237</v>
          </cell>
          <cell r="AD223">
            <v>65.71555118110237</v>
          </cell>
          <cell r="AE223">
            <v>65.460629921259851</v>
          </cell>
          <cell r="AF223">
            <v>23.460629921259848</v>
          </cell>
          <cell r="AG223">
            <v>40.082677165354333</v>
          </cell>
          <cell r="AH223" t="str">
            <v>Y</v>
          </cell>
          <cell r="AI223">
            <v>42.1</v>
          </cell>
          <cell r="AJ223">
            <v>19.100000000000001</v>
          </cell>
          <cell r="AK223" t="str">
            <v>TBD</v>
          </cell>
          <cell r="AL223" t="str">
            <v>Y</v>
          </cell>
          <cell r="AM223">
            <v>200018403</v>
          </cell>
          <cell r="AN223">
            <v>200028403</v>
          </cell>
          <cell r="AO223">
            <v>200018303</v>
          </cell>
          <cell r="AP223">
            <v>200028303</v>
          </cell>
          <cell r="AQ223">
            <v>200018203</v>
          </cell>
          <cell r="AR223">
            <v>200028203</v>
          </cell>
          <cell r="AS223">
            <v>14.555555555555557</v>
          </cell>
          <cell r="AT223">
            <v>19.987381438876472</v>
          </cell>
          <cell r="AU223">
            <v>14.912410483320945</v>
          </cell>
          <cell r="AV223">
            <v>10.183419458492327</v>
          </cell>
          <cell r="AW223">
            <v>41317</v>
          </cell>
        </row>
        <row r="224">
          <cell r="C224" t="str">
            <v>Yingli - YL 215-235 P-29b_L</v>
          </cell>
          <cell r="D224" t="str">
            <v>2nd Gen Long Claw (Yingli 235/Panda)</v>
          </cell>
          <cell r="E224">
            <v>500014407</v>
          </cell>
          <cell r="F224">
            <v>38.976377952755911</v>
          </cell>
          <cell r="G224">
            <v>64.960629921259851</v>
          </cell>
          <cell r="H224">
            <v>1.5748031496062993</v>
          </cell>
          <cell r="I224">
            <v>200010704</v>
          </cell>
          <cell r="J224">
            <v>200010804</v>
          </cell>
          <cell r="K224">
            <v>200013804</v>
          </cell>
          <cell r="L224">
            <v>200016304</v>
          </cell>
          <cell r="M224">
            <v>500012568</v>
          </cell>
          <cell r="N224">
            <v>500012668</v>
          </cell>
          <cell r="O224">
            <v>500012568</v>
          </cell>
          <cell r="P224">
            <v>500012668</v>
          </cell>
          <cell r="Q224">
            <v>10.468270436440157</v>
          </cell>
          <cell r="R224">
            <v>9.3579834665923265</v>
          </cell>
          <cell r="S224">
            <v>4.4192361087067082</v>
          </cell>
          <cell r="T224">
            <v>4.4192361087067082</v>
          </cell>
          <cell r="U224">
            <v>10.468270436440157</v>
          </cell>
          <cell r="V224">
            <v>9.3579834665923265</v>
          </cell>
          <cell r="W224">
            <v>75</v>
          </cell>
          <cell r="X224">
            <v>39.393700787401578</v>
          </cell>
          <cell r="Y224">
            <v>65.71555118110237</v>
          </cell>
          <cell r="Z224">
            <v>39.393700787401578</v>
          </cell>
          <cell r="AA224">
            <v>65.71555118110237</v>
          </cell>
          <cell r="AB224">
            <v>39.393700787401578</v>
          </cell>
          <cell r="AC224">
            <v>65.71555118110237</v>
          </cell>
          <cell r="AD224">
            <v>65.71555118110237</v>
          </cell>
          <cell r="AE224">
            <v>65.460629921259851</v>
          </cell>
          <cell r="AF224">
            <v>23.460629921259848</v>
          </cell>
          <cell r="AG224">
            <v>40.082677165354333</v>
          </cell>
          <cell r="AH224" t="str">
            <v>Y</v>
          </cell>
          <cell r="AI224">
            <v>42.1</v>
          </cell>
          <cell r="AJ224">
            <v>19.100000000000001</v>
          </cell>
          <cell r="AK224" t="str">
            <v>TBD</v>
          </cell>
          <cell r="AL224" t="str">
            <v>Y</v>
          </cell>
          <cell r="AM224">
            <v>200018403</v>
          </cell>
          <cell r="AN224">
            <v>200028403</v>
          </cell>
          <cell r="AO224">
            <v>200018303</v>
          </cell>
          <cell r="AP224">
            <v>200028303</v>
          </cell>
          <cell r="AQ224">
            <v>200018203</v>
          </cell>
          <cell r="AR224">
            <v>200028203</v>
          </cell>
          <cell r="AS224">
            <v>14.555555555555557</v>
          </cell>
          <cell r="AT224">
            <v>19.987381438876472</v>
          </cell>
          <cell r="AU224">
            <v>14.912410483320945</v>
          </cell>
          <cell r="AV224">
            <v>10.183419458492327</v>
          </cell>
          <cell r="AW224">
            <v>41317</v>
          </cell>
        </row>
        <row r="225">
          <cell r="C225" t="str">
            <v>Yingli - YL 235-255 P-32b_S</v>
          </cell>
          <cell r="D225" t="str">
            <v>Standard Claw</v>
          </cell>
          <cell r="E225">
            <v>5000005</v>
          </cell>
          <cell r="F225">
            <v>38.976377952755911</v>
          </cell>
          <cell r="G225">
            <v>71.259842519685037</v>
          </cell>
          <cell r="H225">
            <v>1.9685039370078741</v>
          </cell>
          <cell r="I225">
            <v>200010706</v>
          </cell>
          <cell r="J225">
            <v>200010806</v>
          </cell>
          <cell r="K225">
            <v>200013806</v>
          </cell>
          <cell r="L225">
            <v>200016306</v>
          </cell>
          <cell r="M225">
            <v>500012575</v>
          </cell>
          <cell r="N225">
            <v>500012675</v>
          </cell>
          <cell r="O225">
            <v>500012576</v>
          </cell>
          <cell r="P225">
            <v>500012676</v>
          </cell>
          <cell r="Q225">
            <v>11.646065132777842</v>
          </cell>
          <cell r="R225">
            <v>10.40805030701417</v>
          </cell>
          <cell r="S225">
            <v>4.911079789514722</v>
          </cell>
          <cell r="T225">
            <v>4.911079789514722</v>
          </cell>
          <cell r="U225">
            <v>11.646065132777842</v>
          </cell>
          <cell r="V225">
            <v>10.40805030701417</v>
          </cell>
          <cell r="W225">
            <v>50</v>
          </cell>
          <cell r="X225">
            <v>35.45669291338583</v>
          </cell>
          <cell r="Y225">
            <v>72.967519685039377</v>
          </cell>
          <cell r="Z225">
            <v>35.45669291338583</v>
          </cell>
          <cell r="AA225">
            <v>72.967519685039377</v>
          </cell>
          <cell r="AB225">
            <v>35.45669291338583</v>
          </cell>
          <cell r="AC225">
            <v>72.967519685039377</v>
          </cell>
          <cell r="AD225">
            <v>72.967519685039377</v>
          </cell>
          <cell r="AE225">
            <v>71.759842519685051</v>
          </cell>
          <cell r="AF225">
            <v>29.759842519685044</v>
          </cell>
          <cell r="AG225">
            <v>40.082677165354333</v>
          </cell>
          <cell r="AH225" t="str">
            <v>Y</v>
          </cell>
          <cell r="AI225">
            <v>49.612500000000004</v>
          </cell>
          <cell r="AJ225">
            <v>22.5</v>
          </cell>
          <cell r="AK225" t="str">
            <v>TBD</v>
          </cell>
          <cell r="AL225" t="str">
            <v>Y</v>
          </cell>
          <cell r="AM225">
            <v>200018405</v>
          </cell>
          <cell r="AN225">
            <v>200028405</v>
          </cell>
          <cell r="AO225">
            <v>200018305</v>
          </cell>
          <cell r="AP225">
            <v>200028305</v>
          </cell>
          <cell r="AQ225">
            <v>200018205</v>
          </cell>
          <cell r="AR225">
            <v>200028205</v>
          </cell>
          <cell r="AS225">
            <v>15.888888888888888</v>
          </cell>
          <cell r="AT225">
            <v>19.987381438876472</v>
          </cell>
          <cell r="AU225">
            <v>14.912410483320945</v>
          </cell>
          <cell r="AV225">
            <v>10.183419458492327</v>
          </cell>
          <cell r="AW225">
            <v>40617</v>
          </cell>
        </row>
        <row r="226">
          <cell r="C226" t="str">
            <v>Yingli - YL 260-280 P-35b _S</v>
          </cell>
          <cell r="D226" t="str">
            <v>Standard Claw</v>
          </cell>
          <cell r="E226">
            <v>5000005</v>
          </cell>
          <cell r="F226">
            <v>38.976377952755911</v>
          </cell>
          <cell r="G226">
            <v>77.559055118110237</v>
          </cell>
          <cell r="H226">
            <v>1.9685039370078741</v>
          </cell>
          <cell r="I226">
            <v>200010708</v>
          </cell>
          <cell r="J226">
            <v>200010808</v>
          </cell>
          <cell r="K226">
            <v>200013808</v>
          </cell>
          <cell r="L226">
            <v>200016308</v>
          </cell>
          <cell r="M226">
            <v>500012581</v>
          </cell>
          <cell r="N226">
            <v>500012681</v>
          </cell>
          <cell r="O226">
            <v>500012582</v>
          </cell>
          <cell r="P226">
            <v>500012682</v>
          </cell>
          <cell r="Q226">
            <v>11.646065132777842</v>
          </cell>
          <cell r="R226">
            <v>10.40805030701417</v>
          </cell>
          <cell r="S226">
            <v>4.911079789514722</v>
          </cell>
          <cell r="T226">
            <v>4.911079789514722</v>
          </cell>
          <cell r="U226">
            <v>11.646065132777842</v>
          </cell>
          <cell r="V226">
            <v>10.40805030701417</v>
          </cell>
          <cell r="W226">
            <v>50</v>
          </cell>
          <cell r="X226">
            <v>35.45669291338583</v>
          </cell>
          <cell r="Y226">
            <v>79.266732283464577</v>
          </cell>
          <cell r="Z226">
            <v>35.45669291338583</v>
          </cell>
          <cell r="AA226">
            <v>79.266732283464577</v>
          </cell>
          <cell r="AB226">
            <v>35.45669291338583</v>
          </cell>
          <cell r="AC226">
            <v>79.266732283464577</v>
          </cell>
          <cell r="AD226">
            <v>79.266732283464577</v>
          </cell>
          <cell r="AE226">
            <v>78.059055118110237</v>
          </cell>
          <cell r="AF226">
            <v>36.059055118110244</v>
          </cell>
          <cell r="AG226">
            <v>40.082677165354333</v>
          </cell>
          <cell r="AH226" t="str">
            <v>Y</v>
          </cell>
          <cell r="AI226">
            <v>59.094000000000001</v>
          </cell>
          <cell r="AJ226">
            <v>26.8</v>
          </cell>
          <cell r="AK226" t="str">
            <v>TBD</v>
          </cell>
          <cell r="AL226" t="str">
            <v>Y</v>
          </cell>
          <cell r="AM226">
            <v>200018407</v>
          </cell>
          <cell r="AN226">
            <v>200028407</v>
          </cell>
          <cell r="AO226">
            <v>200018307</v>
          </cell>
          <cell r="AP226">
            <v>200028307</v>
          </cell>
          <cell r="AQ226">
            <v>200018207</v>
          </cell>
          <cell r="AR226">
            <v>200028207</v>
          </cell>
          <cell r="AS226">
            <v>17.222222222222221</v>
          </cell>
          <cell r="AT226">
            <v>19.987381438876472</v>
          </cell>
          <cell r="AU226">
            <v>14.912410483320945</v>
          </cell>
          <cell r="AV226">
            <v>10.183419458492327</v>
          </cell>
          <cell r="AW226">
            <v>41277</v>
          </cell>
        </row>
        <row r="227">
          <cell r="C227" t="str">
            <v>Yingli - YL 165-185 P-23b_S</v>
          </cell>
          <cell r="D227" t="str">
            <v>Standard Claw</v>
          </cell>
          <cell r="E227">
            <v>5000005</v>
          </cell>
          <cell r="F227">
            <v>38.976377952755911</v>
          </cell>
          <cell r="G227">
            <v>51.574803149606304</v>
          </cell>
          <cell r="H227">
            <v>1.9685039370078741</v>
          </cell>
          <cell r="I227">
            <v>200010701</v>
          </cell>
          <cell r="J227">
            <v>200010801</v>
          </cell>
          <cell r="K227">
            <v>200013801</v>
          </cell>
          <cell r="L227">
            <v>200016301</v>
          </cell>
          <cell r="M227">
            <v>500012556</v>
          </cell>
          <cell r="N227">
            <v>500012656</v>
          </cell>
          <cell r="O227">
            <v>500012556</v>
          </cell>
          <cell r="P227">
            <v>500012656</v>
          </cell>
          <cell r="Q227">
            <v>11.646065132777842</v>
          </cell>
          <cell r="R227">
            <v>10.40805030701417</v>
          </cell>
          <cell r="S227">
            <v>4.911079789514722</v>
          </cell>
          <cell r="T227">
            <v>4.911079789514722</v>
          </cell>
          <cell r="U227">
            <v>11.646065132777842</v>
          </cell>
          <cell r="V227">
            <v>10.40805030701417</v>
          </cell>
          <cell r="W227">
            <v>50</v>
          </cell>
          <cell r="X227">
            <v>35.45669291338583</v>
          </cell>
          <cell r="Y227">
            <v>53.28248031496063</v>
          </cell>
          <cell r="Z227">
            <v>35.45669291338583</v>
          </cell>
          <cell r="AA227">
            <v>53.28248031496063</v>
          </cell>
          <cell r="AB227">
            <v>35.45669291338583</v>
          </cell>
          <cell r="AC227">
            <v>53.28248031496063</v>
          </cell>
          <cell r="AD227">
            <v>53.28248031496063</v>
          </cell>
          <cell r="AE227" t="str">
            <v>NA</v>
          </cell>
          <cell r="AF227" t="str">
            <v>NA</v>
          </cell>
          <cell r="AG227" t="str">
            <v>NA</v>
          </cell>
          <cell r="AH227" t="str">
            <v>Y</v>
          </cell>
          <cell r="AI227">
            <v>34.839000000000006</v>
          </cell>
          <cell r="AJ227">
            <v>15.8</v>
          </cell>
          <cell r="AK227" t="str">
            <v>TBD</v>
          </cell>
          <cell r="AL227" t="str">
            <v>Y</v>
          </cell>
          <cell r="AM227" t="str">
            <v>2000184TBD</v>
          </cell>
          <cell r="AN227" t="str">
            <v>2000284TBD</v>
          </cell>
          <cell r="AO227" t="str">
            <v>2000183TBD</v>
          </cell>
          <cell r="AP227" t="str">
            <v>2000283TBD</v>
          </cell>
          <cell r="AQ227" t="str">
            <v>2000182TBD</v>
          </cell>
          <cell r="AR227" t="str">
            <v>2000282TBD</v>
          </cell>
          <cell r="AS227" t="str">
            <v>TBD</v>
          </cell>
          <cell r="AT227" t="str">
            <v>NA</v>
          </cell>
          <cell r="AU227" t="str">
            <v>NA</v>
          </cell>
          <cell r="AV227" t="str">
            <v>NA</v>
          </cell>
          <cell r="AW227">
            <v>40617</v>
          </cell>
        </row>
        <row r="228">
          <cell r="C228" t="str">
            <v>Yingli - Panda Series - YL 265-250 C-30b_S</v>
          </cell>
          <cell r="D228" t="str">
            <v>Standard Claw</v>
          </cell>
          <cell r="E228">
            <v>5000005</v>
          </cell>
          <cell r="F228">
            <v>38.976377952755911</v>
          </cell>
          <cell r="G228">
            <v>64.960629921259851</v>
          </cell>
          <cell r="H228">
            <v>1.5748031496062993</v>
          </cell>
          <cell r="I228">
            <v>200010704</v>
          </cell>
          <cell r="J228">
            <v>200010804</v>
          </cell>
          <cell r="K228">
            <v>200013804</v>
          </cell>
          <cell r="L228">
            <v>200016304</v>
          </cell>
          <cell r="M228">
            <v>500012569</v>
          </cell>
          <cell r="N228">
            <v>500012669</v>
          </cell>
          <cell r="O228">
            <v>500012569</v>
          </cell>
          <cell r="P228">
            <v>500012669</v>
          </cell>
          <cell r="Q228">
            <v>11.646065132777842</v>
          </cell>
          <cell r="R228">
            <v>10.40805030701417</v>
          </cell>
          <cell r="S228">
            <v>4.911079789514722</v>
          </cell>
          <cell r="T228">
            <v>4.911079789514722</v>
          </cell>
          <cell r="U228">
            <v>11.646065132777842</v>
          </cell>
          <cell r="V228">
            <v>10.40805030701417</v>
          </cell>
          <cell r="W228">
            <v>50</v>
          </cell>
          <cell r="X228">
            <v>35.45669291338583</v>
          </cell>
          <cell r="Y228">
            <v>66.668307086614178</v>
          </cell>
          <cell r="Z228">
            <v>35.45669291338583</v>
          </cell>
          <cell r="AA228">
            <v>66.668307086614178</v>
          </cell>
          <cell r="AB228">
            <v>35.45669291338583</v>
          </cell>
          <cell r="AC228">
            <v>66.668307086614178</v>
          </cell>
          <cell r="AD228">
            <v>66.668307086614178</v>
          </cell>
          <cell r="AE228">
            <v>65.460629921259851</v>
          </cell>
          <cell r="AF228">
            <v>23.460629921259848</v>
          </cell>
          <cell r="AG228">
            <v>40.082677165354333</v>
          </cell>
          <cell r="AH228" t="str">
            <v>Y</v>
          </cell>
          <cell r="AI228">
            <v>43.659000000000006</v>
          </cell>
          <cell r="AJ228">
            <v>19.8</v>
          </cell>
          <cell r="AK228" t="str">
            <v>TBD</v>
          </cell>
          <cell r="AL228" t="str">
            <v>Y</v>
          </cell>
          <cell r="AM228">
            <v>200018403</v>
          </cell>
          <cell r="AN228">
            <v>200028403</v>
          </cell>
          <cell r="AO228">
            <v>200018303</v>
          </cell>
          <cell r="AP228">
            <v>200028303</v>
          </cell>
          <cell r="AQ228">
            <v>200018203</v>
          </cell>
          <cell r="AR228">
            <v>200028203</v>
          </cell>
          <cell r="AS228">
            <v>14.555555555555557</v>
          </cell>
          <cell r="AT228">
            <v>19.987381438876472</v>
          </cell>
          <cell r="AU228">
            <v>14.912410483320945</v>
          </cell>
          <cell r="AV228">
            <v>10.183419458492327</v>
          </cell>
          <cell r="AW228">
            <v>40800</v>
          </cell>
        </row>
        <row r="229">
          <cell r="C229" t="str">
            <v>Yingli - Panda Series - YL 265-250 C-30b_X</v>
          </cell>
          <cell r="D229" t="str">
            <v>Long Claw (Yingli 235/Panda)</v>
          </cell>
          <cell r="E229">
            <v>500003907</v>
          </cell>
          <cell r="F229">
            <v>38.976377952755911</v>
          </cell>
          <cell r="G229">
            <v>64.960629921259851</v>
          </cell>
          <cell r="H229">
            <v>1.5748031496062993</v>
          </cell>
          <cell r="I229">
            <v>200010704</v>
          </cell>
          <cell r="J229">
            <v>200010804</v>
          </cell>
          <cell r="K229">
            <v>200013804</v>
          </cell>
          <cell r="L229">
            <v>200016304</v>
          </cell>
          <cell r="M229">
            <v>500012568</v>
          </cell>
          <cell r="N229">
            <v>500012668</v>
          </cell>
          <cell r="O229">
            <v>500012568</v>
          </cell>
          <cell r="P229">
            <v>500012668</v>
          </cell>
          <cell r="Q229">
            <v>10.948638384786955</v>
          </cell>
          <cell r="R229">
            <v>9.7863612556795889</v>
          </cell>
          <cell r="S229">
            <v>4.620032713407368</v>
          </cell>
          <cell r="T229">
            <v>4.620032713407368</v>
          </cell>
          <cell r="U229">
            <v>10.948638384786955</v>
          </cell>
          <cell r="V229">
            <v>9.7863612556795889</v>
          </cell>
          <cell r="W229">
            <v>50</v>
          </cell>
          <cell r="X229">
            <v>37.685039370078741</v>
          </cell>
          <cell r="Y229">
            <v>65.71555118110237</v>
          </cell>
          <cell r="Z229">
            <v>37.685039370078741</v>
          </cell>
          <cell r="AA229">
            <v>65.71555118110237</v>
          </cell>
          <cell r="AB229">
            <v>37.685039370078741</v>
          </cell>
          <cell r="AC229">
            <v>65.71555118110237</v>
          </cell>
          <cell r="AD229">
            <v>65.71555118110237</v>
          </cell>
          <cell r="AE229">
            <v>65.460629921259851</v>
          </cell>
          <cell r="AF229">
            <v>23.460629921259848</v>
          </cell>
          <cell r="AG229">
            <v>40.082677165354333</v>
          </cell>
          <cell r="AH229" t="str">
            <v>Y</v>
          </cell>
          <cell r="AI229">
            <v>43.659000000000006</v>
          </cell>
          <cell r="AJ229">
            <v>19.8</v>
          </cell>
          <cell r="AK229" t="str">
            <v>TBD</v>
          </cell>
          <cell r="AL229" t="str">
            <v>Y</v>
          </cell>
          <cell r="AM229">
            <v>200018403</v>
          </cell>
          <cell r="AN229">
            <v>200028403</v>
          </cell>
          <cell r="AO229">
            <v>200018303</v>
          </cell>
          <cell r="AP229">
            <v>200028303</v>
          </cell>
          <cell r="AQ229">
            <v>200018203</v>
          </cell>
          <cell r="AR229">
            <v>200028203</v>
          </cell>
          <cell r="AS229">
            <v>14.555555555555557</v>
          </cell>
          <cell r="AT229">
            <v>19.987381438876472</v>
          </cell>
          <cell r="AU229">
            <v>14.912410483320945</v>
          </cell>
          <cell r="AV229">
            <v>10.183419458492327</v>
          </cell>
          <cell r="AW229">
            <v>40862</v>
          </cell>
        </row>
        <row r="230">
          <cell r="C230" t="str">
            <v>Yingli - Panda Series - YL 265-250 C-30b_L</v>
          </cell>
          <cell r="D230" t="str">
            <v>2nd Gen Long Claw (Yingli 235/Panda)</v>
          </cell>
          <cell r="E230">
            <v>500014407</v>
          </cell>
          <cell r="F230">
            <v>38.976377952755911</v>
          </cell>
          <cell r="G230">
            <v>64.960629921259851</v>
          </cell>
          <cell r="H230">
            <v>1.5748031496062993</v>
          </cell>
          <cell r="I230">
            <v>200010704</v>
          </cell>
          <cell r="J230">
            <v>200010804</v>
          </cell>
          <cell r="K230">
            <v>200013804</v>
          </cell>
          <cell r="L230">
            <v>200016304</v>
          </cell>
          <cell r="M230">
            <v>500012568</v>
          </cell>
          <cell r="N230">
            <v>500012668</v>
          </cell>
          <cell r="O230">
            <v>500012568</v>
          </cell>
          <cell r="P230">
            <v>500012668</v>
          </cell>
          <cell r="Q230">
            <v>10.468270436440157</v>
          </cell>
          <cell r="R230">
            <v>9.3579834665923265</v>
          </cell>
          <cell r="S230">
            <v>4.4192361087067082</v>
          </cell>
          <cell r="T230">
            <v>4.4192361087067082</v>
          </cell>
          <cell r="U230">
            <v>10.468270436440157</v>
          </cell>
          <cell r="V230">
            <v>9.3579834665923265</v>
          </cell>
          <cell r="W230">
            <v>50</v>
          </cell>
          <cell r="X230">
            <v>39.393700787401578</v>
          </cell>
          <cell r="Y230">
            <v>65.71555118110237</v>
          </cell>
          <cell r="Z230">
            <v>39.393700787401578</v>
          </cell>
          <cell r="AA230">
            <v>65.71555118110237</v>
          </cell>
          <cell r="AB230">
            <v>39.393700787401578</v>
          </cell>
          <cell r="AC230">
            <v>65.71555118110237</v>
          </cell>
          <cell r="AD230">
            <v>65.71555118110237</v>
          </cell>
          <cell r="AE230">
            <v>65.460629921259851</v>
          </cell>
          <cell r="AF230">
            <v>23.460629921259848</v>
          </cell>
          <cell r="AG230">
            <v>40.082677165354333</v>
          </cell>
          <cell r="AH230" t="str">
            <v>Y</v>
          </cell>
          <cell r="AI230">
            <v>43.659000000000006</v>
          </cell>
          <cell r="AJ230">
            <v>19.8</v>
          </cell>
          <cell r="AK230" t="str">
            <v>TBD</v>
          </cell>
          <cell r="AL230" t="str">
            <v>Y</v>
          </cell>
          <cell r="AM230">
            <v>200018403</v>
          </cell>
          <cell r="AN230">
            <v>200028403</v>
          </cell>
          <cell r="AO230">
            <v>200018303</v>
          </cell>
          <cell r="AP230">
            <v>200028303</v>
          </cell>
          <cell r="AQ230">
            <v>200018203</v>
          </cell>
          <cell r="AR230">
            <v>200028203</v>
          </cell>
          <cell r="AS230">
            <v>14.555555555555557</v>
          </cell>
          <cell r="AT230">
            <v>19.987381438876472</v>
          </cell>
          <cell r="AU230">
            <v>14.912410483320945</v>
          </cell>
          <cell r="AV230">
            <v>10.183419458492327</v>
          </cell>
          <cell r="AW230">
            <v>40862</v>
          </cell>
        </row>
        <row r="231">
          <cell r="C231" t="str">
            <v xml:space="preserve"> - _</v>
          </cell>
          <cell r="AI231">
            <v>0</v>
          </cell>
        </row>
        <row r="232">
          <cell r="C232" t="str">
            <v xml:space="preserve"> - _</v>
          </cell>
          <cell r="AI232">
            <v>0</v>
          </cell>
        </row>
        <row r="233">
          <cell r="C233" t="str">
            <v xml:space="preserve"> - _</v>
          </cell>
          <cell r="AI233">
            <v>0</v>
          </cell>
        </row>
        <row r="234">
          <cell r="C234" t="str">
            <v xml:space="preserve"> - _</v>
          </cell>
          <cell r="AI234">
            <v>0</v>
          </cell>
        </row>
        <row r="235">
          <cell r="C235" t="str">
            <v xml:space="preserve"> - _</v>
          </cell>
          <cell r="AI235">
            <v>0</v>
          </cell>
        </row>
        <row r="236">
          <cell r="C236" t="str">
            <v xml:space="preserve"> - _</v>
          </cell>
          <cell r="AI236">
            <v>0</v>
          </cell>
        </row>
        <row r="237">
          <cell r="C237" t="str">
            <v xml:space="preserve"> - _</v>
          </cell>
          <cell r="AI237">
            <v>0</v>
          </cell>
        </row>
        <row r="238">
          <cell r="C238" t="str">
            <v xml:space="preserve"> - _</v>
          </cell>
          <cell r="AI238">
            <v>0</v>
          </cell>
        </row>
        <row r="239">
          <cell r="C239" t="str">
            <v xml:space="preserve"> - _</v>
          </cell>
          <cell r="AI239">
            <v>0</v>
          </cell>
        </row>
        <row r="240">
          <cell r="C240" t="str">
            <v xml:space="preserve"> - _</v>
          </cell>
          <cell r="AI240">
            <v>0</v>
          </cell>
        </row>
        <row r="241">
          <cell r="C241" t="str">
            <v xml:space="preserve"> - _</v>
          </cell>
          <cell r="AI241">
            <v>0</v>
          </cell>
        </row>
        <row r="242">
          <cell r="C242" t="str">
            <v xml:space="preserve"> - _</v>
          </cell>
          <cell r="AI24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bäudedaten"/>
      <sheetName val="CSN EN 1991-1-4 (CZ)"/>
      <sheetName val="STN EN 1991-1-4 (SK)"/>
      <sheetName val="DS EN 1991-1-4 (DK)"/>
      <sheetName val="NP EN 1991-1-4 (PT)"/>
      <sheetName val="PN EN 1991-1-4 (PL)"/>
      <sheetName val="DIN EN 1991-1-4 (DE)"/>
      <sheetName val="NBN EN 1991-1-4 (B)"/>
      <sheetName val="NF EN 1991-1-4 (FR)"/>
      <sheetName val="BS EN 1991-1-4 (GB)"/>
      <sheetName val="UNI EN 1991-1-4 (IT)"/>
      <sheetName val="NEN EN 1991-1-4 (NL)"/>
      <sheetName val="ASCE 7-10 (USA)"/>
      <sheetName val="Ballastberechnung"/>
      <sheetName val="Interne Berechnungsvorgaben"/>
      <sheetName val="Interne Umrechnung Modulfläche"/>
    </sheetNames>
    <sheetDataSet>
      <sheetData sheetId="0">
        <row r="2">
          <cell r="B2" t="str">
            <v>Mounting Systems GmbH</v>
          </cell>
        </row>
      </sheetData>
      <sheetData sheetId="1"/>
      <sheetData sheetId="2"/>
      <sheetData sheetId="3"/>
      <sheetData sheetId="4">
        <row r="69">
          <cell r="F69" t="str">
            <v>Azoren</v>
          </cell>
        </row>
        <row r="70">
          <cell r="F70" t="str">
            <v>Madeira</v>
          </cell>
        </row>
        <row r="71">
          <cell r="F71" t="str">
            <v>Festland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9.emf"/><Relationship Id="rId4" Type="http://schemas.openxmlformats.org/officeDocument/2006/relationships/oleObject" Target="../embeddings/oleObject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hatismyelev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7.emf"/><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oleObject" Target="../embeddings/oleObject5.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5.emf"/><Relationship Id="rId14" Type="http://schemas.openxmlformats.org/officeDocument/2006/relationships/oleObject" Target="../embeddings/oleObject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4.emf"/><Relationship Id="rId12" Type="http://schemas.openxmlformats.org/officeDocument/2006/relationships/oleObject" Target="../embeddings/oleObject11.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8.bin"/><Relationship Id="rId11" Type="http://schemas.openxmlformats.org/officeDocument/2006/relationships/image" Target="../media/image5.emf"/><Relationship Id="rId5" Type="http://schemas.openxmlformats.org/officeDocument/2006/relationships/image" Target="../media/image3.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8.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12.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9.emf"/></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image" Target="../media/image9.emf"/><Relationship Id="rId4" Type="http://schemas.openxmlformats.org/officeDocument/2006/relationships/oleObject" Target="../embeddings/oleObject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pane ySplit="1" topLeftCell="A2" activePane="bottomLeft" state="frozen"/>
      <selection pane="bottomLeft" activeCell="C10" sqref="C10"/>
    </sheetView>
  </sheetViews>
  <sheetFormatPr defaultColWidth="8.875" defaultRowHeight="12.75" x14ac:dyDescent="0.25"/>
  <cols>
    <col min="1" max="1" width="11.625" style="1001" bestFit="1" customWidth="1"/>
    <col min="2" max="2" width="11.125" style="1001" bestFit="1" customWidth="1"/>
    <col min="3" max="3" width="107.75" style="958" bestFit="1" customWidth="1"/>
    <col min="4" max="16384" width="8.875" style="1001"/>
  </cols>
  <sheetData>
    <row r="1" spans="1:3" x14ac:dyDescent="0.25">
      <c r="A1" s="747" t="s">
        <v>184</v>
      </c>
      <c r="B1" s="748" t="s">
        <v>185</v>
      </c>
      <c r="C1" s="749" t="s">
        <v>186</v>
      </c>
    </row>
    <row r="2" spans="1:3" x14ac:dyDescent="0.25">
      <c r="A2" s="1002">
        <v>42557</v>
      </c>
      <c r="B2" s="1003" t="s">
        <v>187</v>
      </c>
      <c r="C2" s="750" t="s">
        <v>188</v>
      </c>
    </row>
    <row r="3" spans="1:3" ht="25.5" x14ac:dyDescent="0.25">
      <c r="A3" s="1002">
        <v>42573</v>
      </c>
      <c r="B3" s="1001" t="s">
        <v>189</v>
      </c>
      <c r="C3" s="958" t="s">
        <v>190</v>
      </c>
    </row>
    <row r="4" spans="1:3" ht="25.5" x14ac:dyDescent="0.25">
      <c r="A4" s="1002">
        <v>42584</v>
      </c>
      <c r="B4" s="1001" t="s">
        <v>302</v>
      </c>
      <c r="C4" s="958" t="s">
        <v>303</v>
      </c>
    </row>
    <row r="5" spans="1:3" ht="51" x14ac:dyDescent="0.25">
      <c r="A5" s="1002">
        <v>42586</v>
      </c>
      <c r="B5" s="1001" t="s">
        <v>309</v>
      </c>
      <c r="C5" s="958" t="s">
        <v>494</v>
      </c>
    </row>
    <row r="6" spans="1:3" x14ac:dyDescent="0.25">
      <c r="A6" s="1002">
        <v>42598</v>
      </c>
      <c r="B6" s="1001" t="s">
        <v>495</v>
      </c>
      <c r="C6" s="958" t="s">
        <v>496</v>
      </c>
    </row>
    <row r="7" spans="1:3" x14ac:dyDescent="0.25">
      <c r="A7" s="1002">
        <v>42607</v>
      </c>
      <c r="B7" s="1001" t="s">
        <v>516</v>
      </c>
      <c r="C7" s="958" t="s">
        <v>517</v>
      </c>
    </row>
    <row r="8" spans="1:3" ht="38.25" x14ac:dyDescent="0.25">
      <c r="A8" s="1002">
        <v>42621</v>
      </c>
      <c r="B8" s="1001" t="s">
        <v>526</v>
      </c>
      <c r="C8" s="958" t="s">
        <v>527</v>
      </c>
    </row>
    <row r="9" spans="1:3" x14ac:dyDescent="0.25">
      <c r="A9" s="1082">
        <v>42628</v>
      </c>
      <c r="B9" s="1001" t="s">
        <v>528</v>
      </c>
      <c r="C9" s="958" t="s">
        <v>529</v>
      </c>
    </row>
    <row r="10" spans="1:3" x14ac:dyDescent="0.25">
      <c r="A10" s="1002">
        <v>42649</v>
      </c>
      <c r="B10" s="1001" t="s">
        <v>530</v>
      </c>
      <c r="C10" s="958" t="s">
        <v>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45"/>
  <sheetViews>
    <sheetView zoomScale="70" zoomScaleNormal="70" workbookViewId="0">
      <selection activeCell="C16" sqref="C1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6.75" style="121" customWidth="1"/>
    <col min="20" max="20" width="35.125" style="121" bestFit="1" customWidth="1"/>
    <col min="21" max="21" width="14.125" style="121" bestFit="1" customWidth="1"/>
    <col min="22" max="30" width="13.25" style="121" customWidth="1"/>
    <col min="3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30" t="s">
        <v>458</v>
      </c>
      <c r="C5" s="1731"/>
      <c r="D5" s="1731"/>
      <c r="E5" s="1731"/>
      <c r="F5" s="1731"/>
      <c r="G5" s="1731"/>
      <c r="H5" s="1731"/>
      <c r="I5" s="1731"/>
      <c r="J5" s="1731"/>
      <c r="K5" s="1731"/>
      <c r="L5" s="1731"/>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32" t="str">
        <f>'building data'!C9</f>
        <v>807 E Main</v>
      </c>
      <c r="D9" s="1732"/>
      <c r="E9" s="134" t="s">
        <v>319</v>
      </c>
      <c r="F9" s="135" t="str">
        <f>'building data'!H9</f>
        <v>English</v>
      </c>
    </row>
    <row r="10" spans="1:17" ht="15" customHeight="1" x14ac:dyDescent="0.25">
      <c r="B10" s="136" t="s">
        <v>311</v>
      </c>
      <c r="C10" s="1733">
        <f>'building data'!C10</f>
        <v>27332</v>
      </c>
      <c r="D10" s="1733"/>
      <c r="E10" s="137" t="s">
        <v>320</v>
      </c>
      <c r="F10" s="138" t="str">
        <f>'building data'!H10</f>
        <v>807 E Main St</v>
      </c>
      <c r="G10" s="331"/>
      <c r="H10" s="331"/>
      <c r="I10" s="331"/>
      <c r="J10" s="331"/>
    </row>
    <row r="11" spans="1:17" ht="15" customHeight="1" x14ac:dyDescent="0.25">
      <c r="B11" s="136" t="s">
        <v>312</v>
      </c>
      <c r="C11" s="1733" t="str">
        <f>'building data'!C11</f>
        <v>Ted Bleecker</v>
      </c>
      <c r="D11" s="1733"/>
      <c r="E11" s="139" t="s">
        <v>321</v>
      </c>
      <c r="F11" s="138" t="str">
        <f>'building data'!H12</f>
        <v>ASCE/SEI 7-10</v>
      </c>
      <c r="G11" s="331"/>
      <c r="H11" s="331"/>
      <c r="I11" s="331"/>
      <c r="J11" s="331"/>
    </row>
    <row r="12" spans="1:17" ht="15" customHeight="1" thickBot="1" x14ac:dyDescent="0.3">
      <c r="B12" s="140" t="s">
        <v>313</v>
      </c>
      <c r="C12" s="1734">
        <f ca="1">'building data'!C12</f>
        <v>42655</v>
      </c>
      <c r="D12" s="1734"/>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tr">
        <f>'building data'!B20</f>
        <v>Building width:</v>
      </c>
      <c r="G14" s="424">
        <f>'building data'!C20</f>
        <v>91.44</v>
      </c>
      <c r="H14" s="212" t="s">
        <v>0</v>
      </c>
    </row>
    <row r="15" spans="1:17" ht="15" customHeight="1" x14ac:dyDescent="0.25">
      <c r="A15" s="456"/>
      <c r="B15" s="143" t="str">
        <f>'wind load calc_10d'!B38</f>
        <v>Load case 'Uplift'</v>
      </c>
      <c r="C15" s="357"/>
      <c r="D15" s="445" t="s">
        <v>59</v>
      </c>
      <c r="E15" s="357"/>
      <c r="F15" s="213" t="str">
        <f>'building data'!B21</f>
        <v>Building length:</v>
      </c>
      <c r="G15" s="424">
        <f>'building data'!C21</f>
        <v>91.44</v>
      </c>
      <c r="H15" s="212" t="s">
        <v>0</v>
      </c>
    </row>
    <row r="16" spans="1:17" ht="15" customHeight="1" x14ac:dyDescent="0.25">
      <c r="A16" s="341"/>
      <c r="B16" s="209" t="str">
        <f>'wind load calc_10d'!B40</f>
        <v>Applied number of modules which share loads:</v>
      </c>
      <c r="C16" s="358" t="str">
        <f>'wind load calc_10d'!C39</f>
        <v>9</v>
      </c>
      <c r="D16" s="446">
        <f>(G17*G18*C16)</f>
        <v>17.947299589199996</v>
      </c>
      <c r="E16" s="357"/>
      <c r="F16" s="213" t="str">
        <f>'building data'!B16</f>
        <v>Roof height:</v>
      </c>
      <c r="G16" s="424">
        <f>'building data'!C16</f>
        <v>7.3152000000000008</v>
      </c>
      <c r="H16" s="212" t="s">
        <v>0</v>
      </c>
    </row>
    <row r="17" spans="1:18" ht="15" customHeight="1" x14ac:dyDescent="0.25">
      <c r="A17" s="341"/>
      <c r="C17" s="215"/>
      <c r="D17" s="215"/>
      <c r="E17" s="215"/>
      <c r="F17" s="213" t="str">
        <f>'wind load calc_10d'!E20</f>
        <v>Module's length:</v>
      </c>
      <c r="G17" s="424">
        <f>'wind load calc_10d'!F20</f>
        <v>1.9926299999999999</v>
      </c>
      <c r="H17" s="212" t="s">
        <v>0</v>
      </c>
    </row>
    <row r="18" spans="1:18" ht="15" customHeight="1" x14ac:dyDescent="0.25">
      <c r="A18" s="341"/>
      <c r="B18" s="143" t="str">
        <f>'wind load calc_10d'!F38</f>
        <v>Load case 'Sliding'</v>
      </c>
      <c r="C18" s="215"/>
      <c r="D18" s="445" t="s">
        <v>59</v>
      </c>
      <c r="E18" s="357"/>
      <c r="F18" s="213" t="str">
        <f>'wind load calc_10d'!E19</f>
        <v>Module's width:</v>
      </c>
      <c r="G18" s="424">
        <f>'wind load calc_10d'!F19</f>
        <v>1.0007599999999999</v>
      </c>
      <c r="H18" s="212" t="s">
        <v>0</v>
      </c>
      <c r="K18" s="455"/>
    </row>
    <row r="19" spans="1:18" ht="15" customHeight="1" x14ac:dyDescent="0.25">
      <c r="A19" s="341"/>
      <c r="B19" s="209" t="str">
        <f>'wind load calc_10d'!F40</f>
        <v>Applied number of modules which share loads:</v>
      </c>
      <c r="C19" s="358" t="str">
        <f>'wind load calc_10d'!G40</f>
        <v>49</v>
      </c>
      <c r="D19" s="446">
        <f>(G17*G18*C19)</f>
        <v>97.713075541199984</v>
      </c>
      <c r="E19" s="357"/>
      <c r="F19" s="213" t="s">
        <v>45</v>
      </c>
      <c r="G19" s="424">
        <f>MIN('building data'!C18/'building data'!C16,0.2)</f>
        <v>1.7361111111111108E-2</v>
      </c>
      <c r="H19" s="212" t="s">
        <v>4</v>
      </c>
      <c r="K19" s="455"/>
    </row>
    <row r="20" spans="1:18" ht="15" customHeight="1" x14ac:dyDescent="0.25">
      <c r="A20" s="341"/>
      <c r="B20" s="209"/>
      <c r="C20" s="357"/>
      <c r="D20" s="357"/>
      <c r="E20" s="357"/>
      <c r="I20" s="357"/>
      <c r="K20" s="455"/>
    </row>
    <row r="21" spans="1:18" ht="15" customHeight="1" x14ac:dyDescent="0.25">
      <c r="A21" s="341"/>
      <c r="B21" s="209"/>
      <c r="C21" s="357"/>
      <c r="D21" s="357"/>
      <c r="E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22" t="s">
        <v>460</v>
      </c>
      <c r="C26" s="182" t="s">
        <v>461</v>
      </c>
      <c r="D26" s="460">
        <f ca="1">D41</f>
        <v>-0.1377157708584435</v>
      </c>
      <c r="E26" s="480">
        <f t="shared" ref="E26:M33" ca="1" si="0">E41</f>
        <v>-0.17716949484083538</v>
      </c>
      <c r="F26" s="463">
        <f t="shared" ca="1" si="0"/>
        <v>-0.11</v>
      </c>
      <c r="G26" s="542">
        <f t="shared" ca="1" si="0"/>
        <v>-0.11</v>
      </c>
      <c r="H26" s="468">
        <f t="shared" ca="1" si="0"/>
        <v>-0.1</v>
      </c>
      <c r="I26" s="460">
        <f t="shared" ca="1" si="0"/>
        <v>-0.22236038921019879</v>
      </c>
      <c r="J26" s="480">
        <f t="shared" ca="1" si="0"/>
        <v>-0.31579349424834757</v>
      </c>
      <c r="K26" s="463">
        <f t="shared" ca="1" si="0"/>
        <v>-0.23988719348748316</v>
      </c>
      <c r="L26" s="542">
        <f t="shared" ca="1" si="0"/>
        <v>-0.24952938498008947</v>
      </c>
      <c r="M26" s="469">
        <f t="shared" ca="1" si="0"/>
        <v>-0.25465532916342393</v>
      </c>
      <c r="R26"/>
    </row>
    <row r="27" spans="1:18" ht="15" customHeight="1" thickBot="1" x14ac:dyDescent="0.3">
      <c r="B27" s="1724"/>
      <c r="C27" s="275" t="s">
        <v>462</v>
      </c>
      <c r="D27" s="461">
        <f t="shared" ref="D27:H33" ca="1" si="1">D42</f>
        <v>-0.12774435199202108</v>
      </c>
      <c r="E27" s="482">
        <f t="shared" ca="1" si="1"/>
        <v>-0.18769402763933377</v>
      </c>
      <c r="F27" s="466">
        <f t="shared" ca="1" si="1"/>
        <v>-0.11</v>
      </c>
      <c r="G27" s="543">
        <f t="shared" ca="1" si="1"/>
        <v>-0.11</v>
      </c>
      <c r="H27" s="464">
        <f t="shared" ca="1" si="1"/>
        <v>-0.1</v>
      </c>
      <c r="I27" s="461">
        <f t="shared" ca="1" si="0"/>
        <v>-0.15907482980489168</v>
      </c>
      <c r="J27" s="482">
        <f t="shared" ca="1" si="0"/>
        <v>-0.3627289428568895</v>
      </c>
      <c r="K27" s="466">
        <f t="shared" ca="1" si="0"/>
        <v>-0.20007433446073281</v>
      </c>
      <c r="L27" s="543">
        <f t="shared" ca="1" si="0"/>
        <v>-0.2409334462673941</v>
      </c>
      <c r="M27" s="471">
        <f t="shared" ca="1" si="0"/>
        <v>-0.25949275025365187</v>
      </c>
      <c r="R27"/>
    </row>
    <row r="28" spans="1:18" ht="15" customHeight="1" x14ac:dyDescent="0.25">
      <c r="B28" s="1722" t="s">
        <v>463</v>
      </c>
      <c r="C28" s="241" t="s">
        <v>461</v>
      </c>
      <c r="D28" s="460">
        <f t="shared" ca="1" si="1"/>
        <v>-0.12708217960508425</v>
      </c>
      <c r="E28" s="480">
        <f t="shared" ca="1" si="1"/>
        <v>-0.15129850989003435</v>
      </c>
      <c r="F28" s="463">
        <f t="shared" ca="1" si="1"/>
        <v>-0.11</v>
      </c>
      <c r="G28" s="542">
        <f t="shared" ca="1" si="1"/>
        <v>-0.11</v>
      </c>
      <c r="H28" s="468">
        <f t="shared" ca="1" si="1"/>
        <v>-0.1</v>
      </c>
      <c r="I28" s="460">
        <f t="shared" ca="1" si="0"/>
        <v>-0.20441124636277669</v>
      </c>
      <c r="J28" s="480">
        <f t="shared" ca="1" si="0"/>
        <v>-0.18957906260507357</v>
      </c>
      <c r="K28" s="463">
        <f t="shared" ca="1" si="0"/>
        <v>-0.13785479137091869</v>
      </c>
      <c r="L28" s="542">
        <f t="shared" ca="1" si="0"/>
        <v>-0.11277121690471056</v>
      </c>
      <c r="M28" s="469">
        <f t="shared" ca="1" si="0"/>
        <v>-0.1</v>
      </c>
      <c r="R28"/>
    </row>
    <row r="29" spans="1:18" ht="15" customHeight="1" thickBot="1" x14ac:dyDescent="0.3">
      <c r="B29" s="1724"/>
      <c r="C29" s="276" t="s">
        <v>462</v>
      </c>
      <c r="D29" s="462">
        <f t="shared" ca="1" si="1"/>
        <v>-0.12690431978767897</v>
      </c>
      <c r="E29" s="483">
        <f t="shared" ca="1" si="1"/>
        <v>-0.14767380856535156</v>
      </c>
      <c r="F29" s="467">
        <f t="shared" ca="1" si="1"/>
        <v>-0.11</v>
      </c>
      <c r="G29" s="544">
        <f t="shared" ca="1" si="1"/>
        <v>-0.11</v>
      </c>
      <c r="H29" s="465">
        <f t="shared" ca="1" si="1"/>
        <v>-0.1</v>
      </c>
      <c r="I29" s="462">
        <f t="shared" ca="1" si="0"/>
        <v>-0.14000000000000001</v>
      </c>
      <c r="J29" s="483">
        <f t="shared" ca="1" si="0"/>
        <v>-0.18711388899824605</v>
      </c>
      <c r="K29" s="467">
        <f t="shared" ca="1" si="0"/>
        <v>-0.1</v>
      </c>
      <c r="L29" s="544">
        <f t="shared" ca="1" si="0"/>
        <v>-0.10638560845235528</v>
      </c>
      <c r="M29" s="470">
        <f t="shared" ca="1" si="0"/>
        <v>-0.1</v>
      </c>
      <c r="R29"/>
    </row>
    <row r="30" spans="1:18" ht="15" customHeight="1" x14ac:dyDescent="0.25">
      <c r="B30" s="1722" t="s">
        <v>464</v>
      </c>
      <c r="C30" s="241" t="s">
        <v>461</v>
      </c>
      <c r="D30" s="460">
        <f t="shared" ca="1" si="1"/>
        <v>-0.14416435921016851</v>
      </c>
      <c r="E30" s="480">
        <f t="shared" ca="1" si="1"/>
        <v>-0.14603311028822008</v>
      </c>
      <c r="F30" s="463">
        <f t="shared" ca="1" si="1"/>
        <v>-0.11</v>
      </c>
      <c r="G30" s="542">
        <f t="shared" ca="1" si="1"/>
        <v>-0.11</v>
      </c>
      <c r="H30" s="468">
        <f t="shared" ca="1" si="1"/>
        <v>-0.1</v>
      </c>
      <c r="I30" s="460">
        <f t="shared" ca="1" si="0"/>
        <v>-0.26617574490788731</v>
      </c>
      <c r="J30" s="480">
        <f t="shared" ca="1" si="0"/>
        <v>-0.18944839547619222</v>
      </c>
      <c r="K30" s="463">
        <f t="shared" ca="1" si="0"/>
        <v>-0.17854799196336854</v>
      </c>
      <c r="L30" s="542">
        <f t="shared" ca="1" si="0"/>
        <v>-0.13497601224888231</v>
      </c>
      <c r="M30" s="469">
        <f t="shared" ca="1" si="0"/>
        <v>-0.135115271312054</v>
      </c>
      <c r="R30"/>
    </row>
    <row r="31" spans="1:18" ht="15" customHeight="1" thickBot="1" x14ac:dyDescent="0.3">
      <c r="B31" s="1724"/>
      <c r="C31" s="276" t="s">
        <v>462</v>
      </c>
      <c r="D31" s="462">
        <f t="shared" ca="1" si="1"/>
        <v>-0.12591497990272718</v>
      </c>
      <c r="E31" s="483">
        <f t="shared" ca="1" si="1"/>
        <v>-0.15511143942240879</v>
      </c>
      <c r="F31" s="467">
        <f t="shared" ca="1" si="1"/>
        <v>-0.11</v>
      </c>
      <c r="G31" s="544">
        <f t="shared" ca="1" si="1"/>
        <v>-0.11</v>
      </c>
      <c r="H31" s="465">
        <f t="shared" ca="1" si="1"/>
        <v>-0.1</v>
      </c>
      <c r="I31" s="462">
        <f t="shared" ca="1" si="0"/>
        <v>-0.20681742549684556</v>
      </c>
      <c r="J31" s="483">
        <f t="shared" ca="1" si="0"/>
        <v>-0.24172554595781928</v>
      </c>
      <c r="K31" s="467">
        <f t="shared" ca="1" si="0"/>
        <v>-0.12695521954646274</v>
      </c>
      <c r="L31" s="544">
        <f t="shared" ca="1" si="0"/>
        <v>-0.13093720775901962</v>
      </c>
      <c r="M31" s="470">
        <f t="shared" ca="1" si="0"/>
        <v>-0.135115271312054</v>
      </c>
      <c r="R31"/>
    </row>
    <row r="32" spans="1:18" ht="15" customHeight="1" x14ac:dyDescent="0.25">
      <c r="B32" s="1722" t="s">
        <v>465</v>
      </c>
      <c r="C32" s="241" t="s">
        <v>461</v>
      </c>
      <c r="D32" s="460">
        <f t="shared" ca="1" si="1"/>
        <v>-0.12969309618623923</v>
      </c>
      <c r="E32" s="480">
        <f t="shared" ca="1" si="1"/>
        <v>-0.14926204870062129</v>
      </c>
      <c r="F32" s="463">
        <f t="shared" ca="1" si="1"/>
        <v>-0.11</v>
      </c>
      <c r="G32" s="542">
        <f t="shared" ca="1" si="1"/>
        <v>-0.11</v>
      </c>
      <c r="H32" s="468">
        <f t="shared" ca="1" si="1"/>
        <v>-0.1</v>
      </c>
      <c r="I32" s="460">
        <f t="shared" ca="1" si="0"/>
        <v>-0.19701333335831922</v>
      </c>
      <c r="J32" s="480">
        <f t="shared" ca="1" si="0"/>
        <v>-0.16</v>
      </c>
      <c r="K32" s="463">
        <f t="shared" ca="1" si="0"/>
        <v>-0.14324466117263876</v>
      </c>
      <c r="L32" s="542">
        <f t="shared" ca="1" si="0"/>
        <v>-0.1</v>
      </c>
      <c r="M32" s="469">
        <f t="shared" ca="1" si="0"/>
        <v>-0.1</v>
      </c>
      <c r="R32"/>
    </row>
    <row r="33" spans="2:18" ht="15" customHeight="1" thickBot="1" x14ac:dyDescent="0.3">
      <c r="B33" s="1724"/>
      <c r="C33" s="276" t="s">
        <v>462</v>
      </c>
      <c r="D33" s="462">
        <f t="shared" ca="1" si="1"/>
        <v>-0.13197981078174881</v>
      </c>
      <c r="E33" s="483">
        <f t="shared" ca="1" si="1"/>
        <v>-0.14926204870062129</v>
      </c>
      <c r="F33" s="467">
        <f t="shared" ca="1" si="1"/>
        <v>-0.11</v>
      </c>
      <c r="G33" s="544">
        <f t="shared" ca="1" si="1"/>
        <v>-0.11</v>
      </c>
      <c r="H33" s="465">
        <f t="shared" ca="1" si="1"/>
        <v>-0.1</v>
      </c>
      <c r="I33" s="462">
        <f t="shared" ca="1" si="0"/>
        <v>-0.19055187028661505</v>
      </c>
      <c r="J33" s="483">
        <f t="shared" ca="1" si="0"/>
        <v>-0.16907664185077925</v>
      </c>
      <c r="K33" s="467">
        <f t="shared" ca="1" si="0"/>
        <v>-0.1079169307689203</v>
      </c>
      <c r="L33" s="544">
        <f t="shared" ca="1" si="0"/>
        <v>-0.1</v>
      </c>
      <c r="M33" s="470">
        <f t="shared" ca="1" si="0"/>
        <v>-0.1</v>
      </c>
      <c r="R33"/>
    </row>
    <row r="34" spans="2:18" ht="15" customHeight="1" x14ac:dyDescent="0.25">
      <c r="B34" s="145"/>
      <c r="C34" s="146"/>
      <c r="D34" s="187"/>
      <c r="E34" s="187"/>
      <c r="F34" s="187"/>
      <c r="G34" s="187"/>
      <c r="H34" s="187"/>
      <c r="I34" s="187"/>
      <c r="J34" s="187"/>
      <c r="K34" s="187"/>
      <c r="L34" s="187"/>
      <c r="M34" s="187"/>
      <c r="N34" s="187"/>
      <c r="O34" s="187"/>
      <c r="P34" s="187"/>
      <c r="Q34" s="187"/>
      <c r="R34"/>
    </row>
    <row r="35" spans="2:18" s="149" customFormat="1" ht="15" customHeight="1" thickBot="1" x14ac:dyDescent="0.3">
      <c r="B35" s="147"/>
      <c r="C35" s="148"/>
      <c r="D35" s="188"/>
      <c r="E35" s="188"/>
      <c r="F35" s="188"/>
      <c r="G35" s="188"/>
      <c r="H35" s="380"/>
      <c r="I35" s="380"/>
      <c r="J35" s="380"/>
      <c r="K35" s="380"/>
      <c r="L35" s="380"/>
      <c r="M35" s="380"/>
      <c r="N35" s="380"/>
      <c r="O35" s="380"/>
      <c r="P35" s="380"/>
      <c r="Q35" s="188"/>
    </row>
    <row r="36" spans="2:18" ht="15" customHeight="1" x14ac:dyDescent="0.25">
      <c r="C36" s="231"/>
      <c r="D36" s="187"/>
      <c r="E36" s="187"/>
      <c r="F36" s="187"/>
      <c r="G36" s="187"/>
      <c r="H36" s="187"/>
      <c r="I36" s="187"/>
      <c r="J36" s="187"/>
      <c r="K36" s="187"/>
      <c r="L36" s="187"/>
      <c r="M36" s="187"/>
      <c r="N36" s="187"/>
      <c r="O36" s="187"/>
      <c r="P36" s="187"/>
      <c r="Q36" s="187"/>
      <c r="R36"/>
    </row>
    <row r="37" spans="2:18" ht="15" customHeight="1" thickBot="1" x14ac:dyDescent="0.3">
      <c r="B37" s="144" t="s">
        <v>466</v>
      </c>
      <c r="C37" s="231"/>
      <c r="D37" s="187"/>
      <c r="E37" s="187"/>
      <c r="F37" s="187"/>
      <c r="G37" s="187"/>
      <c r="H37" s="187"/>
      <c r="I37" s="187"/>
      <c r="J37" s="187"/>
      <c r="K37" s="187"/>
      <c r="L37" s="187"/>
      <c r="M37" s="187"/>
      <c r="N37" s="187"/>
      <c r="O37" s="187"/>
      <c r="P37" s="187"/>
      <c r="Q37" s="187"/>
      <c r="R37"/>
    </row>
    <row r="38" spans="2:18" ht="15" customHeight="1" thickBot="1" x14ac:dyDescent="0.3">
      <c r="C38" s="231"/>
      <c r="D38" s="591"/>
      <c r="E38" s="592"/>
      <c r="F38" s="592" t="str">
        <f>$F$23</f>
        <v>Sliding</v>
      </c>
      <c r="G38" s="592"/>
      <c r="H38" s="592"/>
      <c r="I38" s="591"/>
      <c r="J38" s="592"/>
      <c r="K38" s="592" t="str">
        <f>$K$23</f>
        <v>Uplift</v>
      </c>
      <c r="L38" s="592"/>
      <c r="M38" s="593"/>
      <c r="R38"/>
    </row>
    <row r="39" spans="2:18" ht="15" customHeight="1" thickBot="1" x14ac:dyDescent="0.3">
      <c r="C39" s="231"/>
      <c r="D39" s="437" t="str">
        <f>$D$24</f>
        <v>Roof position 1</v>
      </c>
      <c r="E39" s="438" t="str">
        <f>$E$24</f>
        <v>Roof position 2</v>
      </c>
      <c r="F39" s="438" t="str">
        <f>$F$24</f>
        <v>Roof position 3</v>
      </c>
      <c r="G39" s="438" t="str">
        <f>$G$24</f>
        <v>Roof position 4</v>
      </c>
      <c r="H39" s="526" t="str">
        <f>$H$24</f>
        <v>Roof position 5</v>
      </c>
      <c r="I39" s="437" t="str">
        <f>$I$24</f>
        <v>Roof position 1</v>
      </c>
      <c r="J39" s="438" t="str">
        <f>$J$24</f>
        <v>Roof position 2</v>
      </c>
      <c r="K39" s="438" t="str">
        <f>$K$24</f>
        <v>Roof position 3</v>
      </c>
      <c r="L39" s="438" t="str">
        <f>$L$24</f>
        <v>Roof position 4</v>
      </c>
      <c r="M39" s="439" t="str">
        <f>$H$24</f>
        <v>Roof position 5</v>
      </c>
      <c r="R39"/>
    </row>
    <row r="40" spans="2:18" ht="15" customHeight="1" thickBot="1" x14ac:dyDescent="0.3">
      <c r="B40" s="143"/>
      <c r="C40" s="231"/>
      <c r="D40" s="437" t="s">
        <v>68</v>
      </c>
      <c r="E40" s="438" t="s">
        <v>68</v>
      </c>
      <c r="F40" s="438" t="s">
        <v>68</v>
      </c>
      <c r="G40" s="438" t="s">
        <v>68</v>
      </c>
      <c r="H40" s="438" t="s">
        <v>68</v>
      </c>
      <c r="I40" s="437" t="s">
        <v>69</v>
      </c>
      <c r="J40" s="438" t="s">
        <v>69</v>
      </c>
      <c r="K40" s="438" t="s">
        <v>69</v>
      </c>
      <c r="L40" s="438" t="s">
        <v>69</v>
      </c>
      <c r="M40" s="439" t="s">
        <v>69</v>
      </c>
      <c r="R40"/>
    </row>
    <row r="41" spans="2:18" ht="15" customHeight="1" x14ac:dyDescent="0.25">
      <c r="B41" s="1722" t="str">
        <f>$B$26</f>
        <v>North row</v>
      </c>
      <c r="C41" s="183" t="str">
        <f>$C$26</f>
        <v>1st-4th module</v>
      </c>
      <c r="D41" s="189">
        <f ca="1">D69</f>
        <v>-0.1377157708584435</v>
      </c>
      <c r="E41" s="190">
        <f ca="1">E69</f>
        <v>-0.17716949484083538</v>
      </c>
      <c r="F41" s="190">
        <f t="shared" ref="F41:M41" ca="1" si="2">F69</f>
        <v>-0.11</v>
      </c>
      <c r="G41" s="573">
        <f t="shared" ca="1" si="2"/>
        <v>-0.11</v>
      </c>
      <c r="H41" s="573">
        <f t="shared" ca="1" si="2"/>
        <v>-0.1</v>
      </c>
      <c r="I41" s="189">
        <f t="shared" ca="1" si="2"/>
        <v>-0.22236038921019879</v>
      </c>
      <c r="J41" s="190">
        <f t="shared" ca="1" si="2"/>
        <v>-0.31579349424834757</v>
      </c>
      <c r="K41" s="190">
        <f t="shared" ca="1" si="2"/>
        <v>-0.23988719348748316</v>
      </c>
      <c r="L41" s="190">
        <f t="shared" ca="1" si="2"/>
        <v>-0.24952938498008947</v>
      </c>
      <c r="M41" s="191">
        <f t="shared" ca="1" si="2"/>
        <v>-0.25465532916342393</v>
      </c>
      <c r="R41"/>
    </row>
    <row r="42" spans="2:18" ht="15" customHeight="1" thickBot="1" x14ac:dyDescent="0.3">
      <c r="B42" s="1724"/>
      <c r="C42" s="277" t="str">
        <f>$C$27</f>
        <v>Interior modules</v>
      </c>
      <c r="D42" s="578">
        <f t="shared" ref="D42:M48" ca="1" si="3">D70</f>
        <v>-0.12774435199202108</v>
      </c>
      <c r="E42" s="579">
        <f t="shared" ca="1" si="3"/>
        <v>-0.18769402763933377</v>
      </c>
      <c r="F42" s="579">
        <f t="shared" ca="1" si="3"/>
        <v>-0.11</v>
      </c>
      <c r="G42" s="580">
        <f t="shared" ca="1" si="3"/>
        <v>-0.11</v>
      </c>
      <c r="H42" s="580">
        <f t="shared" ca="1" si="3"/>
        <v>-0.1</v>
      </c>
      <c r="I42" s="578">
        <f t="shared" ca="1" si="3"/>
        <v>-0.15907482980489168</v>
      </c>
      <c r="J42" s="579">
        <f t="shared" ca="1" si="3"/>
        <v>-0.3627289428568895</v>
      </c>
      <c r="K42" s="579">
        <f t="shared" ca="1" si="3"/>
        <v>-0.20007433446073281</v>
      </c>
      <c r="L42" s="579">
        <f t="shared" ca="1" si="3"/>
        <v>-0.2409334462673941</v>
      </c>
      <c r="M42" s="581">
        <f t="shared" ca="1" si="3"/>
        <v>-0.25949275025365187</v>
      </c>
      <c r="R42"/>
    </row>
    <row r="43" spans="2:18" ht="15" customHeight="1" x14ac:dyDescent="0.25">
      <c r="B43" s="1722" t="str">
        <f>$B$28</f>
        <v>Inner rows, 2nd to 6th row from north</v>
      </c>
      <c r="C43" s="183" t="str">
        <f>$C$26</f>
        <v>1st-4th module</v>
      </c>
      <c r="D43" s="189">
        <f t="shared" ca="1" si="3"/>
        <v>-0.12708217960508425</v>
      </c>
      <c r="E43" s="190">
        <f t="shared" ca="1" si="3"/>
        <v>-0.15129850989003435</v>
      </c>
      <c r="F43" s="190">
        <f t="shared" ca="1" si="3"/>
        <v>-0.11</v>
      </c>
      <c r="G43" s="573">
        <f t="shared" ca="1" si="3"/>
        <v>-0.11</v>
      </c>
      <c r="H43" s="573">
        <f t="shared" ca="1" si="3"/>
        <v>-0.1</v>
      </c>
      <c r="I43" s="189">
        <f t="shared" ca="1" si="3"/>
        <v>-0.20441124636277669</v>
      </c>
      <c r="J43" s="190">
        <f t="shared" ca="1" si="3"/>
        <v>-0.18957906260507357</v>
      </c>
      <c r="K43" s="190">
        <f t="shared" ca="1" si="3"/>
        <v>-0.13785479137091869</v>
      </c>
      <c r="L43" s="190">
        <f t="shared" ca="1" si="3"/>
        <v>-0.11277121690471056</v>
      </c>
      <c r="M43" s="191">
        <f t="shared" ca="1" si="3"/>
        <v>-0.1</v>
      </c>
      <c r="R43"/>
    </row>
    <row r="44" spans="2:18" ht="15" customHeight="1" thickBot="1" x14ac:dyDescent="0.3">
      <c r="B44" s="1724"/>
      <c r="C44" s="277" t="str">
        <f>$C$27</f>
        <v>Interior modules</v>
      </c>
      <c r="D44" s="578">
        <f t="shared" ca="1" si="3"/>
        <v>-0.12690431978767897</v>
      </c>
      <c r="E44" s="579">
        <f t="shared" ca="1" si="3"/>
        <v>-0.14767380856535156</v>
      </c>
      <c r="F44" s="579">
        <f t="shared" ca="1" si="3"/>
        <v>-0.11</v>
      </c>
      <c r="G44" s="580">
        <f t="shared" ca="1" si="3"/>
        <v>-0.11</v>
      </c>
      <c r="H44" s="580">
        <f t="shared" ca="1" si="3"/>
        <v>-0.1</v>
      </c>
      <c r="I44" s="578">
        <f t="shared" ca="1" si="3"/>
        <v>-0.14000000000000001</v>
      </c>
      <c r="J44" s="579">
        <f t="shared" ca="1" si="3"/>
        <v>-0.18711388899824605</v>
      </c>
      <c r="K44" s="579">
        <f t="shared" ca="1" si="3"/>
        <v>-0.1</v>
      </c>
      <c r="L44" s="579">
        <f t="shared" ca="1" si="3"/>
        <v>-0.10638560845235528</v>
      </c>
      <c r="M44" s="581">
        <f t="shared" ca="1" si="3"/>
        <v>-0.1</v>
      </c>
      <c r="R44"/>
    </row>
    <row r="45" spans="2:18" ht="15" customHeight="1" x14ac:dyDescent="0.25">
      <c r="B45" s="1722" t="str">
        <f>$B$30</f>
        <v>Inner rows, from 7th row from north</v>
      </c>
      <c r="C45" s="183" t="str">
        <f>$C$26</f>
        <v>1st-4th module</v>
      </c>
      <c r="D45" s="189">
        <f t="shared" ca="1" si="3"/>
        <v>-0.14416435921016851</v>
      </c>
      <c r="E45" s="190">
        <f t="shared" ca="1" si="3"/>
        <v>-0.14603311028822008</v>
      </c>
      <c r="F45" s="190">
        <f t="shared" ca="1" si="3"/>
        <v>-0.11</v>
      </c>
      <c r="G45" s="573">
        <f t="shared" ca="1" si="3"/>
        <v>-0.11</v>
      </c>
      <c r="H45" s="573">
        <f t="shared" ca="1" si="3"/>
        <v>-0.1</v>
      </c>
      <c r="I45" s="189">
        <f t="shared" ca="1" si="3"/>
        <v>-0.26617574490788731</v>
      </c>
      <c r="J45" s="190">
        <f t="shared" ca="1" si="3"/>
        <v>-0.18944839547619222</v>
      </c>
      <c r="K45" s="190">
        <f t="shared" ca="1" si="3"/>
        <v>-0.17854799196336854</v>
      </c>
      <c r="L45" s="190">
        <f t="shared" ca="1" si="3"/>
        <v>-0.13497601224888231</v>
      </c>
      <c r="M45" s="191">
        <f t="shared" ca="1" si="3"/>
        <v>-0.135115271312054</v>
      </c>
      <c r="R45"/>
    </row>
    <row r="46" spans="2:18" ht="15" customHeight="1" thickBot="1" x14ac:dyDescent="0.3">
      <c r="B46" s="1724"/>
      <c r="C46" s="277" t="str">
        <f>$C$27</f>
        <v>Interior modules</v>
      </c>
      <c r="D46" s="582">
        <f t="shared" ca="1" si="3"/>
        <v>-0.12591497990272718</v>
      </c>
      <c r="E46" s="583">
        <f t="shared" ca="1" si="3"/>
        <v>-0.15511143942240879</v>
      </c>
      <c r="F46" s="583">
        <f t="shared" ca="1" si="3"/>
        <v>-0.11</v>
      </c>
      <c r="G46" s="584">
        <f t="shared" ca="1" si="3"/>
        <v>-0.11</v>
      </c>
      <c r="H46" s="584">
        <f t="shared" ca="1" si="3"/>
        <v>-0.1</v>
      </c>
      <c r="I46" s="582">
        <f t="shared" ca="1" si="3"/>
        <v>-0.20681742549684556</v>
      </c>
      <c r="J46" s="583">
        <f t="shared" ca="1" si="3"/>
        <v>-0.24172554595781928</v>
      </c>
      <c r="K46" s="583">
        <f t="shared" ca="1" si="3"/>
        <v>-0.12695521954646274</v>
      </c>
      <c r="L46" s="583">
        <f t="shared" ca="1" si="3"/>
        <v>-0.13093720775901962</v>
      </c>
      <c r="M46" s="585">
        <f t="shared" ca="1" si="3"/>
        <v>-0.135115271312054</v>
      </c>
      <c r="R46"/>
    </row>
    <row r="47" spans="2:18" ht="15" customHeight="1" x14ac:dyDescent="0.25">
      <c r="B47" s="1722" t="str">
        <f>$B$32</f>
        <v>South row</v>
      </c>
      <c r="C47" s="183" t="str">
        <f>$C$26</f>
        <v>1st-4th module</v>
      </c>
      <c r="D47" s="189">
        <f t="shared" ca="1" si="3"/>
        <v>-0.12969309618623923</v>
      </c>
      <c r="E47" s="190">
        <f t="shared" ca="1" si="3"/>
        <v>-0.14926204870062129</v>
      </c>
      <c r="F47" s="190">
        <f t="shared" ca="1" si="3"/>
        <v>-0.11</v>
      </c>
      <c r="G47" s="573">
        <f t="shared" ca="1" si="3"/>
        <v>-0.11</v>
      </c>
      <c r="H47" s="573">
        <f t="shared" ca="1" si="3"/>
        <v>-0.1</v>
      </c>
      <c r="I47" s="189">
        <f t="shared" ca="1" si="3"/>
        <v>-0.19701333335831922</v>
      </c>
      <c r="J47" s="190">
        <f t="shared" ca="1" si="3"/>
        <v>-0.16</v>
      </c>
      <c r="K47" s="190">
        <f t="shared" ca="1" si="3"/>
        <v>-0.14324466117263876</v>
      </c>
      <c r="L47" s="190">
        <f t="shared" ca="1" si="3"/>
        <v>-0.1</v>
      </c>
      <c r="M47" s="191">
        <f t="shared" ca="1" si="3"/>
        <v>-0.1</v>
      </c>
      <c r="R47"/>
    </row>
    <row r="48" spans="2:18" ht="15" customHeight="1" thickBot="1" x14ac:dyDescent="0.3">
      <c r="B48" s="1724"/>
      <c r="C48" s="277" t="str">
        <f>$C$27</f>
        <v>Interior modules</v>
      </c>
      <c r="D48" s="578">
        <f t="shared" ca="1" si="3"/>
        <v>-0.13197981078174881</v>
      </c>
      <c r="E48" s="579">
        <f t="shared" ca="1" si="3"/>
        <v>-0.14926204870062129</v>
      </c>
      <c r="F48" s="579">
        <f t="shared" ca="1" si="3"/>
        <v>-0.11</v>
      </c>
      <c r="G48" s="580">
        <f t="shared" ca="1" si="3"/>
        <v>-0.11</v>
      </c>
      <c r="H48" s="580">
        <f t="shared" ca="1" si="3"/>
        <v>-0.1</v>
      </c>
      <c r="I48" s="578">
        <f t="shared" ca="1" si="3"/>
        <v>-0.19055187028661505</v>
      </c>
      <c r="J48" s="579">
        <f t="shared" ca="1" si="3"/>
        <v>-0.16907664185077925</v>
      </c>
      <c r="K48" s="579">
        <f t="shared" ca="1" si="3"/>
        <v>-0.1079169307689203</v>
      </c>
      <c r="L48" s="579">
        <f t="shared" ca="1" si="3"/>
        <v>-0.1</v>
      </c>
      <c r="M48" s="581">
        <f t="shared" ca="1" si="3"/>
        <v>-0.1</v>
      </c>
      <c r="R48"/>
    </row>
    <row r="49" spans="2:31" ht="15" customHeight="1" x14ac:dyDescent="0.25">
      <c r="C49" s="231"/>
      <c r="D49" s="187"/>
      <c r="E49" s="187"/>
      <c r="F49" s="187"/>
      <c r="G49" s="187"/>
      <c r="H49" s="187"/>
      <c r="I49" s="187"/>
      <c r="J49" s="187"/>
      <c r="K49" s="187"/>
      <c r="L49" s="187"/>
      <c r="M49" s="187"/>
      <c r="N49" s="187"/>
      <c r="O49" s="187"/>
      <c r="P49" s="187"/>
      <c r="Q49" s="187"/>
      <c r="R49"/>
    </row>
    <row r="50" spans="2:31" ht="15" customHeight="1" x14ac:dyDescent="0.25">
      <c r="C50" s="231"/>
      <c r="D50" s="187"/>
      <c r="E50" s="187"/>
      <c r="F50" s="187"/>
      <c r="G50" s="187"/>
      <c r="H50" s="187"/>
      <c r="I50" s="187"/>
      <c r="J50" s="187"/>
      <c r="K50" s="187"/>
      <c r="L50" s="187"/>
      <c r="M50" s="187"/>
      <c r="N50" s="187"/>
      <c r="O50" s="187"/>
      <c r="P50" s="187"/>
      <c r="Q50" s="187"/>
      <c r="R50"/>
    </row>
    <row r="51" spans="2:31" ht="15" customHeight="1" thickBot="1" x14ac:dyDescent="0.3">
      <c r="B51" s="144" t="s">
        <v>467</v>
      </c>
      <c r="M51" s="121"/>
    </row>
    <row r="52" spans="2:31" ht="15" customHeight="1" thickBot="1" x14ac:dyDescent="0.3">
      <c r="D52" s="591"/>
      <c r="E52" s="592"/>
      <c r="F52" s="592" t="str">
        <f>$F$23</f>
        <v>Sliding</v>
      </c>
      <c r="G52" s="592"/>
      <c r="H52" s="592"/>
      <c r="I52" s="591"/>
      <c r="J52" s="592"/>
      <c r="K52" s="592" t="str">
        <f>$K$23</f>
        <v>Uplift</v>
      </c>
      <c r="L52" s="592"/>
      <c r="M52" s="592"/>
      <c r="N52" s="952"/>
      <c r="O52" s="956"/>
      <c r="P52" s="956" t="s">
        <v>62</v>
      </c>
      <c r="Q52" s="956"/>
      <c r="R52" s="957"/>
    </row>
    <row r="53" spans="2:31" ht="15" customHeight="1" thickBot="1" x14ac:dyDescent="0.3">
      <c r="D53" s="437" t="str">
        <f>$D$24</f>
        <v>Roof position 1</v>
      </c>
      <c r="E53" s="438" t="str">
        <f>$E$24</f>
        <v>Roof position 2</v>
      </c>
      <c r="F53" s="438" t="str">
        <f>$F$24</f>
        <v>Roof position 3</v>
      </c>
      <c r="G53" s="438" t="str">
        <f>$G$24</f>
        <v>Roof position 4</v>
      </c>
      <c r="H53" s="526" t="str">
        <f>$H$24</f>
        <v>Roof position 5</v>
      </c>
      <c r="I53" s="437" t="str">
        <f>$I$24</f>
        <v>Roof position 1</v>
      </c>
      <c r="J53" s="438" t="str">
        <f>$J$24</f>
        <v>Roof position 2</v>
      </c>
      <c r="K53" s="438" t="str">
        <f>$K$24</f>
        <v>Roof position 3</v>
      </c>
      <c r="L53" s="438" t="str">
        <f>$L$24</f>
        <v>Roof position 4</v>
      </c>
      <c r="M53" s="526" t="str">
        <f>$H$24</f>
        <v>Roof position 5</v>
      </c>
      <c r="N53" s="437" t="str">
        <f>$I$24</f>
        <v>Roof position 1</v>
      </c>
      <c r="O53" s="438" t="str">
        <f>$J$24</f>
        <v>Roof position 2</v>
      </c>
      <c r="P53" s="438" t="str">
        <f>$K$24</f>
        <v>Roof position 3</v>
      </c>
      <c r="Q53" s="438" t="str">
        <f>$L$24</f>
        <v>Roof position 4</v>
      </c>
      <c r="R53" s="439" t="str">
        <f>$H$24</f>
        <v>Roof position 5</v>
      </c>
    </row>
    <row r="54" spans="2:31" ht="15" customHeight="1" thickBot="1" x14ac:dyDescent="0.3">
      <c r="B54" s="143"/>
      <c r="C54" s="231"/>
      <c r="D54" s="437" t="s">
        <v>58</v>
      </c>
      <c r="E54" s="438" t="s">
        <v>58</v>
      </c>
      <c r="F54" s="438" t="s">
        <v>58</v>
      </c>
      <c r="G54" s="438" t="s">
        <v>58</v>
      </c>
      <c r="H54" s="438" t="s">
        <v>58</v>
      </c>
      <c r="I54" s="437" t="s">
        <v>58</v>
      </c>
      <c r="J54" s="438" t="s">
        <v>58</v>
      </c>
      <c r="K54" s="438" t="s">
        <v>58</v>
      </c>
      <c r="L54" s="438" t="s">
        <v>58</v>
      </c>
      <c r="M54" s="438" t="s">
        <v>58</v>
      </c>
      <c r="N54" s="565" t="s">
        <v>63</v>
      </c>
      <c r="O54" s="438" t="s">
        <v>63</v>
      </c>
      <c r="P54" s="438" t="s">
        <v>63</v>
      </c>
      <c r="Q54" s="438" t="s">
        <v>63</v>
      </c>
      <c r="R54" s="439" t="s">
        <v>63</v>
      </c>
    </row>
    <row r="55" spans="2:31" ht="15" customHeight="1" x14ac:dyDescent="0.2">
      <c r="B55" s="1722" t="str">
        <f>$B$26</f>
        <v>North row</v>
      </c>
      <c r="C55" s="183" t="str">
        <f>$C$26</f>
        <v>1st-4th module</v>
      </c>
      <c r="D55" s="189">
        <f>IF(N55=-2,1000*($G$17*$G$18*$C$19)/625,1000*($G$17*$G$18*$C$19)/(MAX(150,MIN($G$16*MAX($G$14:$G$15),4*$G$16^2,4*(MIN($G$14:$G$15))^2))*(MAX(6.12,$G$16)/12.5)^N55))</f>
        <v>305.44106579167436</v>
      </c>
      <c r="E55" s="190">
        <f t="shared" ref="E55:H62" si="4">IF(O55=-2,1000*($G$17*$G$18*$C$19)/625,1000*($G$17*$G$18*$C$19)/(MAX(150,MIN($G$16*MAX($G$14:$G$15),4*$G$16^2,4*(MIN($G$14:$G$15))^2))*(MAX(6.12,$G$16)/12.5)^O55))</f>
        <v>233.66061861157138</v>
      </c>
      <c r="F55" s="190">
        <f t="shared" si="4"/>
        <v>178.74899875834058</v>
      </c>
      <c r="G55" s="190">
        <f t="shared" si="4"/>
        <v>178.74899875834058</v>
      </c>
      <c r="H55" s="573">
        <f t="shared" si="4"/>
        <v>178.74899875834058</v>
      </c>
      <c r="I55" s="189">
        <f>IF(N55=-2,1000*($G$17*$G$18*$C$16)/625,1000*($G$17*$G$18*$C$16)/(MAX(150,MIN($G$16*MAX($G$14:$G$15),4*$G$16^2,4*(MIN($G$14:$G$15))^2))*(MAX(6.12,$G$16)/12.5)^N55))</f>
        <v>56.101420247450392</v>
      </c>
      <c r="J55" s="190">
        <f t="shared" ref="J55:M62" si="5">IF(O55=-2,1000*($G$17*$G$18*$C$16)/625,1000*($G$17*$G$18*$C$16)/(MAX(150,MIN($G$16*MAX($G$14:$G$15),4*$G$16^2,4*(MIN($G$14:$G$15))^2))*(MAX(6.12,$G$16)/12.5)^O55))</f>
        <v>42.917256479676368</v>
      </c>
      <c r="K55" s="190">
        <f t="shared" si="5"/>
        <v>32.831448751531937</v>
      </c>
      <c r="L55" s="190">
        <f t="shared" si="5"/>
        <v>32.831448751531937</v>
      </c>
      <c r="M55" s="573">
        <f>IF(R55=-2,1000*($G$17*$G$18*$C$16)/625,1000*($G$17*$G$18*$C$16)/(MAX(150,MIN($G$16*MAX($G$14:$G$15),4*$G$16^2,4*(MIN($G$14:$G$15))^2))*(MAX(6.12,$G$16)/12.5)^R55))</f>
        <v>32.831448751531937</v>
      </c>
      <c r="N55" s="189">
        <v>-0.75</v>
      </c>
      <c r="O55" s="190">
        <v>-1.25</v>
      </c>
      <c r="P55" s="190">
        <v>-1.75</v>
      </c>
      <c r="Q55" s="190">
        <v>-1.75</v>
      </c>
      <c r="R55" s="191">
        <v>-1.75</v>
      </c>
    </row>
    <row r="56" spans="2:31" ht="15" customHeight="1" thickBot="1" x14ac:dyDescent="0.25">
      <c r="B56" s="1724"/>
      <c r="C56" s="277" t="str">
        <f>$C$27</f>
        <v>Interior modules</v>
      </c>
      <c r="D56" s="574">
        <f t="shared" ref="D56:D62" si="6">IF(N56=-2,1000*($G$17*$G$18*$C$19)/625,1000*($G$17*$G$18*$C$19)/(MAX(150,MIN($G$16*MAX($G$14:$G$15),4*$G$16^2,4*(MIN($G$14:$G$15))^2))*(MAX(6.12,$G$16)/12.5)^N56))</f>
        <v>305.44106579167436</v>
      </c>
      <c r="E56" s="575">
        <f t="shared" si="4"/>
        <v>233.66061861157138</v>
      </c>
      <c r="F56" s="575">
        <f t="shared" si="4"/>
        <v>178.74899875834058</v>
      </c>
      <c r="G56" s="575">
        <f t="shared" si="4"/>
        <v>178.74899875834058</v>
      </c>
      <c r="H56" s="576">
        <f t="shared" si="4"/>
        <v>178.74899875834058</v>
      </c>
      <c r="I56" s="574">
        <f t="shared" ref="I56:I62" si="7">IF(N56=-2,1000*($G$17*$G$18*$C$16)/625,1000*($G$17*$G$18*$C$16)/(MAX(150,MIN($G$16*MAX($G$14:$G$15),4*$G$16^2,4*(MIN($G$14:$G$15))^2))*(MAX(6.12,$G$16)/12.5)^N56))</f>
        <v>56.101420247450392</v>
      </c>
      <c r="J56" s="575">
        <f t="shared" si="5"/>
        <v>42.917256479676368</v>
      </c>
      <c r="K56" s="575">
        <f t="shared" si="5"/>
        <v>32.831448751531937</v>
      </c>
      <c r="L56" s="575">
        <f t="shared" si="5"/>
        <v>32.831448751531937</v>
      </c>
      <c r="M56" s="576">
        <f t="shared" si="5"/>
        <v>32.831448751531937</v>
      </c>
      <c r="N56" s="574">
        <v>-0.75</v>
      </c>
      <c r="O56" s="575">
        <v>-1.25</v>
      </c>
      <c r="P56" s="575">
        <v>-1.75</v>
      </c>
      <c r="Q56" s="575">
        <v>-1.75</v>
      </c>
      <c r="R56" s="577">
        <v>-1.75</v>
      </c>
    </row>
    <row r="57" spans="2:31" ht="15" customHeight="1" x14ac:dyDescent="0.2">
      <c r="B57" s="1722" t="str">
        <f>$B$28</f>
        <v>Inner rows, 2nd to 6th row from north</v>
      </c>
      <c r="C57" s="241" t="str">
        <f>$C$26</f>
        <v>1st-4th module</v>
      </c>
      <c r="D57" s="190">
        <f t="shared" si="6"/>
        <v>399.27243720535893</v>
      </c>
      <c r="E57" s="190">
        <f t="shared" si="4"/>
        <v>267.15079708333326</v>
      </c>
      <c r="F57" s="190">
        <f t="shared" si="4"/>
        <v>267.15079708333326</v>
      </c>
      <c r="G57" s="190">
        <f t="shared" si="4"/>
        <v>178.74899875834058</v>
      </c>
      <c r="H57" s="573">
        <f t="shared" si="4"/>
        <v>178.74899875834058</v>
      </c>
      <c r="I57" s="189">
        <f t="shared" si="7"/>
        <v>73.335753772412858</v>
      </c>
      <c r="J57" s="190">
        <f t="shared" si="5"/>
        <v>49.068513749999987</v>
      </c>
      <c r="K57" s="190">
        <f t="shared" si="5"/>
        <v>49.068513749999987</v>
      </c>
      <c r="L57" s="190">
        <f t="shared" si="5"/>
        <v>32.831448751531937</v>
      </c>
      <c r="M57" s="573">
        <f t="shared" si="5"/>
        <v>32.831448751531937</v>
      </c>
      <c r="N57" s="189">
        <v>-0.25</v>
      </c>
      <c r="O57" s="190">
        <v>-1</v>
      </c>
      <c r="P57" s="190">
        <v>-1</v>
      </c>
      <c r="Q57" s="190">
        <v>-1.75</v>
      </c>
      <c r="R57" s="191">
        <v>-1.75</v>
      </c>
    </row>
    <row r="58" spans="2:31" ht="15" customHeight="1" thickBot="1" x14ac:dyDescent="0.25">
      <c r="B58" s="1724"/>
      <c r="C58" s="524" t="str">
        <f>$C$27</f>
        <v>Interior modules</v>
      </c>
      <c r="D58" s="578">
        <f t="shared" si="6"/>
        <v>399.27243720535893</v>
      </c>
      <c r="E58" s="579">
        <f t="shared" si="4"/>
        <v>267.15079708333326</v>
      </c>
      <c r="F58" s="579">
        <f t="shared" si="4"/>
        <v>267.15079708333326</v>
      </c>
      <c r="G58" s="579">
        <f t="shared" si="4"/>
        <v>178.74899875834058</v>
      </c>
      <c r="H58" s="580">
        <f t="shared" si="4"/>
        <v>178.74899875834058</v>
      </c>
      <c r="I58" s="578">
        <f t="shared" si="7"/>
        <v>73.335753772412858</v>
      </c>
      <c r="J58" s="579">
        <f t="shared" si="5"/>
        <v>49.068513749999987</v>
      </c>
      <c r="K58" s="579">
        <f t="shared" si="5"/>
        <v>49.068513749999987</v>
      </c>
      <c r="L58" s="579">
        <f t="shared" si="5"/>
        <v>32.831448751531937</v>
      </c>
      <c r="M58" s="580">
        <f t="shared" si="5"/>
        <v>32.831448751531937</v>
      </c>
      <c r="N58" s="578">
        <v>-0.25</v>
      </c>
      <c r="O58" s="579">
        <v>-1</v>
      </c>
      <c r="P58" s="579">
        <v>-1</v>
      </c>
      <c r="Q58" s="579">
        <v>-1.75</v>
      </c>
      <c r="R58" s="581">
        <v>-1.75</v>
      </c>
    </row>
    <row r="59" spans="2:31" ht="15" customHeight="1" x14ac:dyDescent="0.2">
      <c r="B59" s="1722" t="str">
        <f>$B$30</f>
        <v>Inner rows, from 7th row from north</v>
      </c>
      <c r="C59" s="183" t="str">
        <f>$C$26</f>
        <v>1st-4th module</v>
      </c>
      <c r="D59" s="189">
        <f t="shared" si="6"/>
        <v>399.27243720535893</v>
      </c>
      <c r="E59" s="190">
        <f t="shared" si="4"/>
        <v>267.15079708333326</v>
      </c>
      <c r="F59" s="190">
        <f t="shared" si="4"/>
        <v>267.15079708333326</v>
      </c>
      <c r="G59" s="190">
        <f t="shared" si="4"/>
        <v>178.74899875834058</v>
      </c>
      <c r="H59" s="573">
        <f t="shared" si="4"/>
        <v>178.74899875834058</v>
      </c>
      <c r="I59" s="189">
        <f t="shared" si="7"/>
        <v>73.335753772412858</v>
      </c>
      <c r="J59" s="190">
        <f t="shared" si="5"/>
        <v>49.068513749999987</v>
      </c>
      <c r="K59" s="190">
        <f t="shared" si="5"/>
        <v>49.068513749999987</v>
      </c>
      <c r="L59" s="190">
        <f t="shared" si="5"/>
        <v>32.831448751531937</v>
      </c>
      <c r="M59" s="573">
        <f t="shared" si="5"/>
        <v>32.831448751531937</v>
      </c>
      <c r="N59" s="189">
        <v>-0.25</v>
      </c>
      <c r="O59" s="190">
        <v>-1</v>
      </c>
      <c r="P59" s="190">
        <v>-1</v>
      </c>
      <c r="Q59" s="190">
        <v>-1.75</v>
      </c>
      <c r="R59" s="191">
        <v>-1.75</v>
      </c>
    </row>
    <row r="60" spans="2:31" ht="15" customHeight="1" thickBot="1" x14ac:dyDescent="0.25">
      <c r="B60" s="1724"/>
      <c r="C60" s="277" t="str">
        <f>$C$27</f>
        <v>Interior modules</v>
      </c>
      <c r="D60" s="582">
        <f t="shared" si="6"/>
        <v>399.27243720535893</v>
      </c>
      <c r="E60" s="583">
        <f t="shared" si="4"/>
        <v>267.15079708333326</v>
      </c>
      <c r="F60" s="583">
        <f t="shared" si="4"/>
        <v>267.15079708333326</v>
      </c>
      <c r="G60" s="583">
        <f t="shared" si="4"/>
        <v>178.74899875834058</v>
      </c>
      <c r="H60" s="584">
        <f t="shared" si="4"/>
        <v>178.74899875834058</v>
      </c>
      <c r="I60" s="582">
        <f t="shared" si="7"/>
        <v>73.335753772412858</v>
      </c>
      <c r="J60" s="583">
        <f t="shared" si="5"/>
        <v>49.068513749999987</v>
      </c>
      <c r="K60" s="583">
        <f t="shared" si="5"/>
        <v>49.068513749999987</v>
      </c>
      <c r="L60" s="583">
        <f t="shared" si="5"/>
        <v>32.831448751531937</v>
      </c>
      <c r="M60" s="584">
        <f t="shared" si="5"/>
        <v>32.831448751531937</v>
      </c>
      <c r="N60" s="582">
        <v>-0.25</v>
      </c>
      <c r="O60" s="583">
        <v>-1</v>
      </c>
      <c r="P60" s="583">
        <v>-1</v>
      </c>
      <c r="Q60" s="583">
        <v>-1.75</v>
      </c>
      <c r="R60" s="585">
        <v>-1.75</v>
      </c>
    </row>
    <row r="61" spans="2:31" ht="15" customHeight="1" x14ac:dyDescent="0.2">
      <c r="B61" s="1722" t="str">
        <f>$B$32</f>
        <v>South row</v>
      </c>
      <c r="C61" s="183" t="str">
        <f>$C$26</f>
        <v>1st-4th module</v>
      </c>
      <c r="D61" s="189">
        <f t="shared" si="6"/>
        <v>399.27243720535893</v>
      </c>
      <c r="E61" s="190">
        <f t="shared" si="4"/>
        <v>267.15079708333326</v>
      </c>
      <c r="F61" s="190">
        <f t="shared" si="4"/>
        <v>267.15079708333326</v>
      </c>
      <c r="G61" s="190">
        <f t="shared" si="4"/>
        <v>178.74899875834058</v>
      </c>
      <c r="H61" s="573">
        <f t="shared" si="4"/>
        <v>178.74899875834058</v>
      </c>
      <c r="I61" s="189">
        <f t="shared" si="7"/>
        <v>73.335753772412858</v>
      </c>
      <c r="J61" s="190">
        <f t="shared" si="5"/>
        <v>49.068513749999987</v>
      </c>
      <c r="K61" s="190">
        <f t="shared" si="5"/>
        <v>49.068513749999987</v>
      </c>
      <c r="L61" s="190">
        <f t="shared" si="5"/>
        <v>32.831448751531937</v>
      </c>
      <c r="M61" s="573">
        <f t="shared" si="5"/>
        <v>32.831448751531937</v>
      </c>
      <c r="N61" s="189">
        <v>-0.25</v>
      </c>
      <c r="O61" s="190">
        <v>-1</v>
      </c>
      <c r="P61" s="190">
        <v>-1</v>
      </c>
      <c r="Q61" s="190">
        <v>-1.75</v>
      </c>
      <c r="R61" s="191">
        <v>-1.75</v>
      </c>
    </row>
    <row r="62" spans="2:31" ht="15" customHeight="1" thickBot="1" x14ac:dyDescent="0.25">
      <c r="B62" s="1724"/>
      <c r="C62" s="277" t="str">
        <f>$C$27</f>
        <v>Interior modules</v>
      </c>
      <c r="D62" s="578">
        <f t="shared" si="6"/>
        <v>399.27243720535893</v>
      </c>
      <c r="E62" s="579">
        <f t="shared" si="4"/>
        <v>267.15079708333326</v>
      </c>
      <c r="F62" s="579">
        <f t="shared" si="4"/>
        <v>267.15079708333326</v>
      </c>
      <c r="G62" s="579">
        <f t="shared" si="4"/>
        <v>178.74899875834058</v>
      </c>
      <c r="H62" s="580">
        <f>IF(R62=-2,1000*($G$17*$G$18*$C$19)/625,1000*($G$17*$G$18*$C$19)/(MAX(150,MIN($G$16*MAX($G$14:$G$15),4*$G$16^2,4*(MIN($G$14:$G$15))^2))*(MAX(6.12,$G$16)/12.5)^R62))</f>
        <v>178.74899875834058</v>
      </c>
      <c r="I62" s="578">
        <f t="shared" si="7"/>
        <v>73.335753772412858</v>
      </c>
      <c r="J62" s="579">
        <f t="shared" si="5"/>
        <v>49.068513749999987</v>
      </c>
      <c r="K62" s="579">
        <f t="shared" si="5"/>
        <v>49.068513749999987</v>
      </c>
      <c r="L62" s="579">
        <f t="shared" si="5"/>
        <v>32.831448751531937</v>
      </c>
      <c r="M62" s="580">
        <f>IF(R62=-2,1000*($G$17*$G$18*$C$16)/625,1000*($G$17*$G$18*$C$16)/(MAX(150,MIN($G$16*MAX($G$14:$G$15),4*$G$16^2,4*(MIN($G$14:$G$15))^2))*(MAX(6.12,$G$16)/12.5)^R62))</f>
        <v>32.831448751531937</v>
      </c>
      <c r="N62" s="578">
        <v>-0.25</v>
      </c>
      <c r="O62" s="579">
        <v>-1</v>
      </c>
      <c r="P62" s="579">
        <v>-1</v>
      </c>
      <c r="Q62" s="579">
        <v>-1.75</v>
      </c>
      <c r="R62" s="581">
        <v>-1.75</v>
      </c>
    </row>
    <row r="63" spans="2:31" ht="15" customHeight="1" x14ac:dyDescent="0.25">
      <c r="C63" s="231"/>
      <c r="D63" s="187"/>
      <c r="E63" s="187"/>
      <c r="F63" s="187"/>
      <c r="G63" s="187"/>
      <c r="H63" s="187"/>
      <c r="I63" s="187"/>
      <c r="J63" s="187"/>
      <c r="K63" s="187"/>
      <c r="L63" s="187"/>
      <c r="M63" s="187"/>
      <c r="N63" s="187"/>
      <c r="O63" s="187"/>
      <c r="P63" s="187"/>
      <c r="Q63" s="187"/>
      <c r="R63"/>
    </row>
    <row r="64" spans="2:31" ht="15" customHeight="1" x14ac:dyDescent="0.25">
      <c r="C64" s="231"/>
      <c r="D64" s="187"/>
      <c r="E64" s="187"/>
      <c r="F64" s="187"/>
      <c r="G64" s="187"/>
      <c r="H64" s="187"/>
      <c r="I64" s="187"/>
      <c r="J64" s="187"/>
      <c r="K64" s="187"/>
      <c r="L64" s="187"/>
      <c r="M64" s="187"/>
      <c r="N64" s="187"/>
      <c r="O64" s="187"/>
      <c r="P64" s="187"/>
      <c r="Q64" s="187"/>
      <c r="R64"/>
      <c r="V64" s="121">
        <v>0</v>
      </c>
      <c r="W64" s="121">
        <v>0</v>
      </c>
      <c r="X64" s="121">
        <v>0</v>
      </c>
      <c r="Y64" s="121">
        <v>0</v>
      </c>
      <c r="Z64" s="121">
        <v>0</v>
      </c>
      <c r="AA64" s="121">
        <v>58</v>
      </c>
      <c r="AB64" s="121">
        <v>58</v>
      </c>
      <c r="AC64" s="121">
        <v>58</v>
      </c>
      <c r="AD64" s="121">
        <v>58</v>
      </c>
      <c r="AE64" s="121">
        <v>58</v>
      </c>
    </row>
    <row r="65" spans="2:71" ht="15" customHeight="1" thickBot="1" x14ac:dyDescent="0.3">
      <c r="B65" s="144" t="s">
        <v>468</v>
      </c>
      <c r="M65" s="121"/>
      <c r="V65" s="121">
        <v>0</v>
      </c>
      <c r="W65" s="121">
        <v>3</v>
      </c>
      <c r="X65" s="121">
        <v>6</v>
      </c>
      <c r="Y65" s="121">
        <v>9</v>
      </c>
      <c r="Z65" s="121">
        <v>12</v>
      </c>
      <c r="AA65" s="121">
        <v>0</v>
      </c>
      <c r="AB65" s="121">
        <v>3</v>
      </c>
      <c r="AC65" s="121">
        <v>6</v>
      </c>
      <c r="AD65" s="121">
        <v>9</v>
      </c>
      <c r="AE65" s="121">
        <v>12</v>
      </c>
    </row>
    <row r="66" spans="2:71" ht="15" customHeight="1" thickBot="1" x14ac:dyDescent="0.3">
      <c r="D66" s="591"/>
      <c r="E66" s="592"/>
      <c r="F66" s="592" t="str">
        <f>$F$23</f>
        <v>Sliding</v>
      </c>
      <c r="G66" s="592"/>
      <c r="H66" s="592"/>
      <c r="I66" s="591"/>
      <c r="J66" s="592"/>
      <c r="K66" s="592" t="str">
        <f>$K$23</f>
        <v>Uplift</v>
      </c>
      <c r="L66" s="592"/>
      <c r="M66" s="593"/>
      <c r="V66" s="618" t="s">
        <v>473</v>
      </c>
      <c r="W66" s="619"/>
      <c r="X66" s="619"/>
      <c r="Y66" s="619"/>
      <c r="Z66" s="619"/>
      <c r="AA66" s="619"/>
      <c r="AB66" s="619"/>
      <c r="AC66" s="619"/>
      <c r="AD66" s="619"/>
      <c r="AE66" s="620"/>
      <c r="AF66" s="618" t="s">
        <v>83</v>
      </c>
      <c r="AG66" s="619"/>
      <c r="AH66" s="619"/>
      <c r="AI66" s="619"/>
      <c r="AJ66" s="619"/>
      <c r="AK66" s="619"/>
      <c r="AL66" s="619"/>
      <c r="AM66" s="619"/>
      <c r="AN66" s="619"/>
      <c r="AO66" s="620"/>
      <c r="AP66" s="618" t="s">
        <v>84</v>
      </c>
      <c r="AQ66" s="619"/>
      <c r="AR66" s="619"/>
      <c r="AS66" s="619"/>
      <c r="AT66" s="619"/>
      <c r="AU66" s="619"/>
      <c r="AV66" s="619"/>
      <c r="AW66" s="619"/>
      <c r="AX66" s="619"/>
      <c r="AY66" s="620"/>
      <c r="AZ66" s="618" t="s">
        <v>85</v>
      </c>
      <c r="BA66" s="619"/>
      <c r="BB66" s="619"/>
      <c r="BC66" s="619"/>
      <c r="BD66" s="619"/>
      <c r="BE66" s="619"/>
      <c r="BF66" s="619"/>
      <c r="BG66" s="619"/>
      <c r="BH66" s="619"/>
      <c r="BI66" s="620"/>
      <c r="BJ66" s="618" t="s">
        <v>86</v>
      </c>
      <c r="BK66" s="619"/>
      <c r="BL66" s="619"/>
      <c r="BM66" s="619"/>
      <c r="BN66" s="619"/>
      <c r="BO66" s="619"/>
      <c r="BP66" s="619"/>
      <c r="BQ66" s="619"/>
      <c r="BR66" s="619"/>
      <c r="BS66" s="620"/>
    </row>
    <row r="67" spans="2:71" ht="15" customHeight="1" thickBot="1" x14ac:dyDescent="0.3">
      <c r="D67" s="437" t="str">
        <f>$D$24</f>
        <v>Roof position 1</v>
      </c>
      <c r="E67" s="438" t="str">
        <f>$E$24</f>
        <v>Roof position 2</v>
      </c>
      <c r="F67" s="438" t="str">
        <f>$F$24</f>
        <v>Roof position 3</v>
      </c>
      <c r="G67" s="438" t="str">
        <f>$G$24</f>
        <v>Roof position 4</v>
      </c>
      <c r="H67" s="526" t="str">
        <f>$H$24</f>
        <v>Roof position 5</v>
      </c>
      <c r="I67" s="437" t="str">
        <f>$I$24</f>
        <v>Roof position 1</v>
      </c>
      <c r="J67" s="438" t="str">
        <f>$J$24</f>
        <v>Roof position 2</v>
      </c>
      <c r="K67" s="438" t="str">
        <f>$K$24</f>
        <v>Roof position 3</v>
      </c>
      <c r="L67" s="438" t="str">
        <f>$L$24</f>
        <v>Roof position 4</v>
      </c>
      <c r="M67" s="439" t="str">
        <f>$H$24</f>
        <v>Roof position 5</v>
      </c>
      <c r="S67"/>
      <c r="V67" s="591"/>
      <c r="W67" s="592"/>
      <c r="X67" s="592" t="str">
        <f>$F$23</f>
        <v>Sliding</v>
      </c>
      <c r="Y67" s="592"/>
      <c r="Z67" s="592"/>
      <c r="AA67" s="591"/>
      <c r="AB67" s="592"/>
      <c r="AC67" s="592" t="str">
        <f>$K$23</f>
        <v>Uplift</v>
      </c>
      <c r="AD67" s="592"/>
      <c r="AE67" s="593"/>
      <c r="AF67" s="591"/>
      <c r="AG67" s="592"/>
      <c r="AH67" s="592" t="str">
        <f>$F$23</f>
        <v>Sliding</v>
      </c>
      <c r="AI67" s="592"/>
      <c r="AJ67" s="592"/>
      <c r="AK67" s="591"/>
      <c r="AL67" s="592"/>
      <c r="AM67" s="592" t="str">
        <f>$K$23</f>
        <v>Uplift</v>
      </c>
      <c r="AN67" s="592"/>
      <c r="AO67" s="593"/>
      <c r="AP67" s="591"/>
      <c r="AQ67" s="592"/>
      <c r="AR67" s="592" t="str">
        <f>$F$23</f>
        <v>Sliding</v>
      </c>
      <c r="AS67" s="592"/>
      <c r="AT67" s="592"/>
      <c r="AU67" s="591"/>
      <c r="AV67" s="592"/>
      <c r="AW67" s="592" t="str">
        <f>$K$23</f>
        <v>Uplift</v>
      </c>
      <c r="AX67" s="592"/>
      <c r="AY67" s="593"/>
      <c r="AZ67" s="591"/>
      <c r="BA67" s="592"/>
      <c r="BB67" s="592" t="str">
        <f>$F$23</f>
        <v>Sliding</v>
      </c>
      <c r="BC67" s="592"/>
      <c r="BD67" s="592"/>
      <c r="BE67" s="591"/>
      <c r="BF67" s="592"/>
      <c r="BG67" s="592" t="str">
        <f>$K$23</f>
        <v>Uplift</v>
      </c>
      <c r="BH67" s="592"/>
      <c r="BI67" s="593"/>
      <c r="BJ67" s="591"/>
      <c r="BK67" s="592"/>
      <c r="BL67" s="592" t="str">
        <f>$F$23</f>
        <v>Sliding</v>
      </c>
      <c r="BM67" s="592"/>
      <c r="BN67" s="592"/>
      <c r="BO67" s="591"/>
      <c r="BP67" s="592"/>
      <c r="BQ67" s="592" t="str">
        <f>$K$23</f>
        <v>Uplift</v>
      </c>
      <c r="BR67" s="592"/>
      <c r="BS67" s="593"/>
    </row>
    <row r="68" spans="2:71" ht="15" customHeight="1" thickBot="1" x14ac:dyDescent="0.3">
      <c r="B68" s="143"/>
      <c r="C68" s="231"/>
      <c r="D68" s="437" t="s">
        <v>68</v>
      </c>
      <c r="E68" s="438" t="s">
        <v>68</v>
      </c>
      <c r="F68" s="438" t="s">
        <v>68</v>
      </c>
      <c r="G68" s="438" t="s">
        <v>68</v>
      </c>
      <c r="H68" s="438" t="s">
        <v>68</v>
      </c>
      <c r="I68" s="437" t="s">
        <v>69</v>
      </c>
      <c r="J68" s="438" t="s">
        <v>69</v>
      </c>
      <c r="K68" s="438" t="s">
        <v>69</v>
      </c>
      <c r="L68" s="438" t="s">
        <v>69</v>
      </c>
      <c r="M68" s="439" t="s">
        <v>69</v>
      </c>
      <c r="S68"/>
      <c r="T68" s="143"/>
      <c r="U68" s="231"/>
      <c r="V68" s="437" t="str">
        <f>$D$24</f>
        <v>Roof position 1</v>
      </c>
      <c r="W68" s="438" t="str">
        <f>$E$24</f>
        <v>Roof position 2</v>
      </c>
      <c r="X68" s="438" t="str">
        <f>$F$24</f>
        <v>Roof position 3</v>
      </c>
      <c r="Y68" s="438" t="str">
        <f>$G$24</f>
        <v>Roof position 4</v>
      </c>
      <c r="Z68" s="526" t="str">
        <f>$H$24</f>
        <v>Roof position 5</v>
      </c>
      <c r="AA68" s="437" t="str">
        <f>$I$24</f>
        <v>Roof position 1</v>
      </c>
      <c r="AB68" s="438" t="str">
        <f>$J$24</f>
        <v>Roof position 2</v>
      </c>
      <c r="AC68" s="438" t="str">
        <f>$K$24</f>
        <v>Roof position 3</v>
      </c>
      <c r="AD68" s="438" t="str">
        <f>$L$24</f>
        <v>Roof position 4</v>
      </c>
      <c r="AE68" s="439" t="str">
        <f>$H$24</f>
        <v>Roof position 5</v>
      </c>
      <c r="AF68" s="437" t="str">
        <f>$D$24</f>
        <v>Roof position 1</v>
      </c>
      <c r="AG68" s="438" t="str">
        <f>$E$24</f>
        <v>Roof position 2</v>
      </c>
      <c r="AH68" s="438" t="str">
        <f>$F$24</f>
        <v>Roof position 3</v>
      </c>
      <c r="AI68" s="438" t="str">
        <f>$G$24</f>
        <v>Roof position 4</v>
      </c>
      <c r="AJ68" s="526" t="str">
        <f>$H$24</f>
        <v>Roof position 5</v>
      </c>
      <c r="AK68" s="437" t="str">
        <f>$I$24</f>
        <v>Roof position 1</v>
      </c>
      <c r="AL68" s="438" t="str">
        <f>$J$24</f>
        <v>Roof position 2</v>
      </c>
      <c r="AM68" s="438" t="str">
        <f>$K$24</f>
        <v>Roof position 3</v>
      </c>
      <c r="AN68" s="438" t="str">
        <f>$L$24</f>
        <v>Roof position 4</v>
      </c>
      <c r="AO68" s="439" t="str">
        <f>$H$24</f>
        <v>Roof position 5</v>
      </c>
      <c r="AP68" s="437" t="str">
        <f>$D$24</f>
        <v>Roof position 1</v>
      </c>
      <c r="AQ68" s="438" t="str">
        <f>$E$24</f>
        <v>Roof position 2</v>
      </c>
      <c r="AR68" s="438" t="str">
        <f>$F$24</f>
        <v>Roof position 3</v>
      </c>
      <c r="AS68" s="438" t="str">
        <f>$G$24</f>
        <v>Roof position 4</v>
      </c>
      <c r="AT68" s="526" t="str">
        <f>$H$24</f>
        <v>Roof position 5</v>
      </c>
      <c r="AU68" s="437" t="str">
        <f>$I$24</f>
        <v>Roof position 1</v>
      </c>
      <c r="AV68" s="438" t="str">
        <f>$J$24</f>
        <v>Roof position 2</v>
      </c>
      <c r="AW68" s="438" t="str">
        <f>$K$24</f>
        <v>Roof position 3</v>
      </c>
      <c r="AX68" s="438" t="str">
        <f>$L$24</f>
        <v>Roof position 4</v>
      </c>
      <c r="AY68" s="439" t="str">
        <f>$H$24</f>
        <v>Roof position 5</v>
      </c>
      <c r="AZ68" s="437" t="str">
        <f>$D$24</f>
        <v>Roof position 1</v>
      </c>
      <c r="BA68" s="438" t="str">
        <f>$E$24</f>
        <v>Roof position 2</v>
      </c>
      <c r="BB68" s="438" t="str">
        <f>$F$24</f>
        <v>Roof position 3</v>
      </c>
      <c r="BC68" s="438" t="str">
        <f>$G$24</f>
        <v>Roof position 4</v>
      </c>
      <c r="BD68" s="526" t="str">
        <f>$H$24</f>
        <v>Roof position 5</v>
      </c>
      <c r="BE68" s="437" t="str">
        <f>$I$24</f>
        <v>Roof position 1</v>
      </c>
      <c r="BF68" s="438" t="str">
        <f>$J$24</f>
        <v>Roof position 2</v>
      </c>
      <c r="BG68" s="438" t="str">
        <f>$K$24</f>
        <v>Roof position 3</v>
      </c>
      <c r="BH68" s="438" t="str">
        <f>$L$24</f>
        <v>Roof position 4</v>
      </c>
      <c r="BI68" s="439" t="str">
        <f>$H$24</f>
        <v>Roof position 5</v>
      </c>
      <c r="BJ68" s="437" t="str">
        <f>$D$24</f>
        <v>Roof position 1</v>
      </c>
      <c r="BK68" s="438" t="str">
        <f>$E$24</f>
        <v>Roof position 2</v>
      </c>
      <c r="BL68" s="438" t="str">
        <f>$F$24</f>
        <v>Roof position 3</v>
      </c>
      <c r="BM68" s="438" t="str">
        <f>$G$24</f>
        <v>Roof position 4</v>
      </c>
      <c r="BN68" s="526" t="str">
        <f>$H$24</f>
        <v>Roof position 5</v>
      </c>
      <c r="BO68" s="437" t="str">
        <f>$I$24</f>
        <v>Roof position 1</v>
      </c>
      <c r="BP68" s="438" t="str">
        <f>$J$24</f>
        <v>Roof position 2</v>
      </c>
      <c r="BQ68" s="438" t="str">
        <f>$K$24</f>
        <v>Roof position 3</v>
      </c>
      <c r="BR68" s="438" t="str">
        <f>$L$24</f>
        <v>Roof position 4</v>
      </c>
      <c r="BS68" s="439" t="str">
        <f>$H$24</f>
        <v>Roof position 5</v>
      </c>
    </row>
    <row r="69" spans="2:71" ht="15" customHeight="1" x14ac:dyDescent="0.25">
      <c r="B69" s="1722" t="str">
        <f>$B$26</f>
        <v>North row</v>
      </c>
      <c r="C69" s="183" t="str">
        <f>$C$26</f>
        <v>1st-4th module</v>
      </c>
      <c r="D69" s="189">
        <f ca="1">AF69+(AP69-AF69)/(LOG(BJ69)-LOG(AZ69))*(LOG(D55)-LOG(AZ69))</f>
        <v>-0.1377157708584435</v>
      </c>
      <c r="E69" s="190">
        <f t="shared" ref="E69:M69" ca="1" si="8">AG69+(AQ69-AG69)/(LOG(BK69)-LOG(BA69))*(LOG(E55)-LOG(BA69))</f>
        <v>-0.17716949484083538</v>
      </c>
      <c r="F69" s="190">
        <f t="shared" ca="1" si="8"/>
        <v>-0.11</v>
      </c>
      <c r="G69" s="190">
        <f t="shared" ca="1" si="8"/>
        <v>-0.11</v>
      </c>
      <c r="H69" s="573">
        <f t="shared" ca="1" si="8"/>
        <v>-0.1</v>
      </c>
      <c r="I69" s="189">
        <f t="shared" ca="1" si="8"/>
        <v>-0.22236038921019879</v>
      </c>
      <c r="J69" s="190">
        <f t="shared" ca="1" si="8"/>
        <v>-0.31579349424834757</v>
      </c>
      <c r="K69" s="190">
        <f t="shared" ca="1" si="8"/>
        <v>-0.23988719348748316</v>
      </c>
      <c r="L69" s="190">
        <f t="shared" ca="1" si="8"/>
        <v>-0.24952938498008947</v>
      </c>
      <c r="M69" s="191">
        <f t="shared" ca="1" si="8"/>
        <v>-0.25465532916342393</v>
      </c>
      <c r="S69">
        <v>0</v>
      </c>
      <c r="T69" s="954" t="str">
        <f>$B$26</f>
        <v>North row</v>
      </c>
      <c r="U69" s="183" t="str">
        <f>$C$26</f>
        <v>1st-4th module</v>
      </c>
      <c r="V69" s="189" t="str">
        <f t="shared" ref="V69:AE76" si="9">CONCATENATE(ADDRESS(ROW($C$96)+V$78+$S69,COLUMN($C$96)+V$79,4),":",ADDRESS(ROW($C$96)+V$78+$S69+4,COLUMN($C$96)+V$79,4))</f>
        <v>C96:C100</v>
      </c>
      <c r="W69" s="190" t="str">
        <f t="shared" si="9"/>
        <v>F96:F100</v>
      </c>
      <c r="X69" s="190" t="str">
        <f t="shared" si="9"/>
        <v>I96:I100</v>
      </c>
      <c r="Y69" s="190" t="str">
        <f t="shared" si="9"/>
        <v>L96:L100</v>
      </c>
      <c r="Z69" s="573" t="str">
        <f t="shared" si="9"/>
        <v>O96:O100</v>
      </c>
      <c r="AA69" s="189" t="str">
        <f t="shared" si="9"/>
        <v>C154:C158</v>
      </c>
      <c r="AB69" s="190" t="str">
        <f t="shared" si="9"/>
        <v>F154:F158</v>
      </c>
      <c r="AC69" s="190" t="str">
        <f t="shared" si="9"/>
        <v>I154:I158</v>
      </c>
      <c r="AD69" s="190" t="str">
        <f t="shared" si="9"/>
        <v>L154:L158</v>
      </c>
      <c r="AE69" s="191" t="str">
        <f t="shared" si="9"/>
        <v>O154:O158</v>
      </c>
      <c r="AF69" s="189">
        <f ca="1">INDEX(OFFSET(INDIRECT(V69),0,1),MATCH(D55,INDIRECT(V69),1))</f>
        <v>-0.17</v>
      </c>
      <c r="AG69" s="190">
        <f t="shared" ref="AG69:AO69" ca="1" si="10">INDEX(OFFSET(INDIRECT(W69),0,1),MATCH(E55,INDIRECT(W69),1))</f>
        <v>-0.36</v>
      </c>
      <c r="AH69" s="190">
        <f t="shared" ca="1" si="10"/>
        <v>-0.11</v>
      </c>
      <c r="AI69" s="190">
        <f t="shared" ca="1" si="10"/>
        <v>-0.11</v>
      </c>
      <c r="AJ69" s="573">
        <f t="shared" ca="1" si="10"/>
        <v>-0.1</v>
      </c>
      <c r="AK69" s="189">
        <f t="shared" ca="1" si="10"/>
        <v>-0.47</v>
      </c>
      <c r="AL69" s="190">
        <f t="shared" ca="1" si="10"/>
        <v>-0.36</v>
      </c>
      <c r="AM69" s="190">
        <f t="shared" ca="1" si="10"/>
        <v>-0.33</v>
      </c>
      <c r="AN69" s="190">
        <f t="shared" ca="1" si="10"/>
        <v>-0.33</v>
      </c>
      <c r="AO69" s="191">
        <f t="shared" ca="1" si="10"/>
        <v>-0.35</v>
      </c>
      <c r="AP69" s="189">
        <f ca="1">INDEX(OFFSET(INDIRECT(V69),0,1),MATCH(D55,INDIRECT(V69),1)+1)</f>
        <v>-0.11</v>
      </c>
      <c r="AQ69" s="190">
        <f t="shared" ref="AQ69:AY69" ca="1" si="11">INDEX(OFFSET(INDIRECT(W69),0,1),MATCH(E55,INDIRECT(W69),1)+1)</f>
        <v>-0.12</v>
      </c>
      <c r="AR69" s="190">
        <f t="shared" ca="1" si="11"/>
        <v>-0.11</v>
      </c>
      <c r="AS69" s="190">
        <f t="shared" ca="1" si="11"/>
        <v>-0.11</v>
      </c>
      <c r="AT69" s="573">
        <f t="shared" ca="1" si="11"/>
        <v>-0.1</v>
      </c>
      <c r="AU69" s="189">
        <f t="shared" ca="1" si="11"/>
        <v>-0.17</v>
      </c>
      <c r="AV69" s="190">
        <f t="shared" ca="1" si="11"/>
        <v>-0.12</v>
      </c>
      <c r="AW69" s="190">
        <f t="shared" ca="1" si="11"/>
        <v>-0.1</v>
      </c>
      <c r="AX69" s="190">
        <f t="shared" ca="1" si="11"/>
        <v>-0.1</v>
      </c>
      <c r="AY69" s="191">
        <f t="shared" ca="1" si="11"/>
        <v>-0.1</v>
      </c>
      <c r="AZ69" s="641">
        <f ca="1">INDEX(OFFSET(INDIRECT(V69),0,0),MATCH(D55,INDIRECT(V69),1))</f>
        <v>90</v>
      </c>
      <c r="BA69" s="642">
        <f t="shared" ref="BA69:BI69" ca="1" si="12">INDEX(OFFSET(INDIRECT(W69),0,0),MATCH(E55,INDIRECT(W69),1))</f>
        <v>25</v>
      </c>
      <c r="BB69" s="642">
        <f t="shared" ca="1" si="12"/>
        <v>147</v>
      </c>
      <c r="BC69" s="642">
        <f t="shared" ca="1" si="12"/>
        <v>160</v>
      </c>
      <c r="BD69" s="643">
        <f t="shared" ca="1" si="12"/>
        <v>168</v>
      </c>
      <c r="BE69" s="641">
        <f t="shared" ca="1" si="12"/>
        <v>6</v>
      </c>
      <c r="BF69" s="642">
        <f t="shared" ca="1" si="12"/>
        <v>25</v>
      </c>
      <c r="BG69" s="642">
        <f t="shared" ca="1" si="12"/>
        <v>12.5</v>
      </c>
      <c r="BH69" s="642">
        <f t="shared" ca="1" si="12"/>
        <v>14</v>
      </c>
      <c r="BI69" s="644">
        <f t="shared" ca="1" si="12"/>
        <v>12</v>
      </c>
      <c r="BJ69" s="641">
        <f ca="1">INDEX(OFFSET(INDIRECT(V69),0,0),MATCH(D55,INDIRECT(V69),1)+1)</f>
        <v>872</v>
      </c>
      <c r="BK69" s="642">
        <f t="shared" ref="BK69:BS69" ca="1" si="13">INDEX(OFFSET(INDIRECT(W69),0,0),MATCH(E55,INDIRECT(W69),1)+1)</f>
        <v>470</v>
      </c>
      <c r="BL69" s="642">
        <f t="shared" ca="1" si="13"/>
        <v>10000</v>
      </c>
      <c r="BM69" s="642">
        <f t="shared" ca="1" si="13"/>
        <v>10000</v>
      </c>
      <c r="BN69" s="643">
        <f t="shared" ca="1" si="13"/>
        <v>10000</v>
      </c>
      <c r="BO69" s="641">
        <f t="shared" ca="1" si="13"/>
        <v>90</v>
      </c>
      <c r="BP69" s="642">
        <f t="shared" ca="1" si="13"/>
        <v>470</v>
      </c>
      <c r="BQ69" s="642">
        <f t="shared" ca="1" si="13"/>
        <v>147</v>
      </c>
      <c r="BR69" s="642">
        <f t="shared" ca="1" si="13"/>
        <v>160</v>
      </c>
      <c r="BS69" s="644">
        <f t="shared" ca="1" si="13"/>
        <v>168</v>
      </c>
    </row>
    <row r="70" spans="2:71" ht="15" customHeight="1" thickBot="1" x14ac:dyDescent="0.3">
      <c r="B70" s="1724"/>
      <c r="C70" s="277" t="str">
        <f>$C$27</f>
        <v>Interior modules</v>
      </c>
      <c r="D70" s="574">
        <f t="shared" ref="D70:M76" ca="1" si="14">AF70+(AP70-AF70)/(LOG(BJ70)-LOG(AZ70))*(LOG(D56)-LOG(AZ70))</f>
        <v>-0.12774435199202108</v>
      </c>
      <c r="E70" s="575">
        <f t="shared" ca="1" si="14"/>
        <v>-0.18769402763933377</v>
      </c>
      <c r="F70" s="575">
        <f t="shared" ca="1" si="14"/>
        <v>-0.11</v>
      </c>
      <c r="G70" s="575">
        <f t="shared" ca="1" si="14"/>
        <v>-0.11</v>
      </c>
      <c r="H70" s="576">
        <f t="shared" ca="1" si="14"/>
        <v>-0.1</v>
      </c>
      <c r="I70" s="574">
        <f t="shared" ca="1" si="14"/>
        <v>-0.15907482980489168</v>
      </c>
      <c r="J70" s="575">
        <f t="shared" ca="1" si="14"/>
        <v>-0.3627289428568895</v>
      </c>
      <c r="K70" s="575">
        <f t="shared" ca="1" si="14"/>
        <v>-0.20007433446073281</v>
      </c>
      <c r="L70" s="575">
        <f t="shared" ca="1" si="14"/>
        <v>-0.2409334462673941</v>
      </c>
      <c r="M70" s="577">
        <f t="shared" ca="1" si="14"/>
        <v>-0.25949275025365187</v>
      </c>
      <c r="S70">
        <v>7</v>
      </c>
      <c r="T70" s="955"/>
      <c r="U70" s="277" t="str">
        <f>$C$27</f>
        <v>Interior modules</v>
      </c>
      <c r="V70" s="574" t="str">
        <f t="shared" si="9"/>
        <v>C103:C107</v>
      </c>
      <c r="W70" s="575" t="str">
        <f t="shared" si="9"/>
        <v>F103:F107</v>
      </c>
      <c r="X70" s="575" t="str">
        <f t="shared" si="9"/>
        <v>I103:I107</v>
      </c>
      <c r="Y70" s="575" t="str">
        <f t="shared" si="9"/>
        <v>L103:L107</v>
      </c>
      <c r="Z70" s="576" t="str">
        <f t="shared" si="9"/>
        <v>O103:O107</v>
      </c>
      <c r="AA70" s="574" t="str">
        <f t="shared" si="9"/>
        <v>C161:C165</v>
      </c>
      <c r="AB70" s="575" t="str">
        <f t="shared" si="9"/>
        <v>F161:F165</v>
      </c>
      <c r="AC70" s="575" t="str">
        <f t="shared" si="9"/>
        <v>I161:I165</v>
      </c>
      <c r="AD70" s="575" t="str">
        <f t="shared" si="9"/>
        <v>L161:L165</v>
      </c>
      <c r="AE70" s="577" t="str">
        <f t="shared" si="9"/>
        <v>O161:O165</v>
      </c>
      <c r="AF70" s="574">
        <f t="shared" ref="AF70:AO76" ca="1" si="15">INDEX(OFFSET(INDIRECT(V70),0,1),MATCH(D56,INDIRECT(V70),1))</f>
        <v>-0.14000000000000001</v>
      </c>
      <c r="AG70" s="575">
        <f t="shared" ca="1" si="15"/>
        <v>-0.37</v>
      </c>
      <c r="AH70" s="575">
        <f t="shared" ca="1" si="15"/>
        <v>-0.11</v>
      </c>
      <c r="AI70" s="575">
        <f t="shared" ca="1" si="15"/>
        <v>-0.11</v>
      </c>
      <c r="AJ70" s="576">
        <f t="shared" ca="1" si="15"/>
        <v>-0.1</v>
      </c>
      <c r="AK70" s="574">
        <f t="shared" ca="1" si="15"/>
        <v>-0.2</v>
      </c>
      <c r="AL70" s="575">
        <f t="shared" ca="1" si="15"/>
        <v>-0.37</v>
      </c>
      <c r="AM70" s="575">
        <f t="shared" ca="1" si="15"/>
        <v>-0.28000000000000003</v>
      </c>
      <c r="AN70" s="575">
        <f t="shared" ca="1" si="15"/>
        <v>-0.32</v>
      </c>
      <c r="AO70" s="577">
        <f t="shared" ca="1" si="15"/>
        <v>-0.35</v>
      </c>
      <c r="AP70" s="574">
        <f t="shared" ref="AP70:AY76" ca="1" si="16">INDEX(OFFSET(INDIRECT(V70),0,1),MATCH(D56,INDIRECT(V70),1)+1)</f>
        <v>-0.11</v>
      </c>
      <c r="AQ70" s="575">
        <f t="shared" ca="1" si="16"/>
        <v>-0.12</v>
      </c>
      <c r="AR70" s="575">
        <f t="shared" ca="1" si="16"/>
        <v>-0.11</v>
      </c>
      <c r="AS70" s="575">
        <f t="shared" ca="1" si="16"/>
        <v>-0.11</v>
      </c>
      <c r="AT70" s="576">
        <f t="shared" ca="1" si="16"/>
        <v>-0.1</v>
      </c>
      <c r="AU70" s="574">
        <f t="shared" ca="1" si="16"/>
        <v>-0.14000000000000001</v>
      </c>
      <c r="AV70" s="575">
        <f t="shared" ca="1" si="16"/>
        <v>-0.12</v>
      </c>
      <c r="AW70" s="575">
        <f t="shared" ca="1" si="16"/>
        <v>-0.1</v>
      </c>
      <c r="AX70" s="575">
        <f t="shared" ca="1" si="16"/>
        <v>-0.1</v>
      </c>
      <c r="AY70" s="577">
        <f t="shared" ca="1" si="16"/>
        <v>-0.1</v>
      </c>
      <c r="AZ70" s="645">
        <f t="shared" ref="AZ70:BI76" ca="1" si="17">INDEX(OFFSET(INDIRECT(V70),0,0),MATCH(D56,INDIRECT(V70),1))</f>
        <v>148</v>
      </c>
      <c r="BA70" s="646">
        <f t="shared" ca="1" si="17"/>
        <v>40</v>
      </c>
      <c r="BB70" s="646">
        <f t="shared" ca="1" si="17"/>
        <v>110</v>
      </c>
      <c r="BC70" s="646">
        <f t="shared" ca="1" si="17"/>
        <v>150</v>
      </c>
      <c r="BD70" s="647">
        <f t="shared" ca="1" si="17"/>
        <v>168</v>
      </c>
      <c r="BE70" s="645">
        <f t="shared" ca="1" si="17"/>
        <v>7</v>
      </c>
      <c r="BF70" s="646">
        <f t="shared" ca="1" si="17"/>
        <v>40</v>
      </c>
      <c r="BG70" s="646">
        <f t="shared" ca="1" si="17"/>
        <v>12.5</v>
      </c>
      <c r="BH70" s="646">
        <f t="shared" ca="1" si="17"/>
        <v>14</v>
      </c>
      <c r="BI70" s="648">
        <f t="shared" ca="1" si="17"/>
        <v>13</v>
      </c>
      <c r="BJ70" s="645">
        <f t="shared" ref="BJ70:BS76" ca="1" si="18">INDEX(OFFSET(INDIRECT(V70),0,0),MATCH(D56,INDIRECT(V70),1)+1)</f>
        <v>872</v>
      </c>
      <c r="BK70" s="646">
        <f t="shared" ca="1" si="18"/>
        <v>450</v>
      </c>
      <c r="BL70" s="646">
        <f t="shared" ca="1" si="18"/>
        <v>10000</v>
      </c>
      <c r="BM70" s="646">
        <f t="shared" ca="1" si="18"/>
        <v>10000</v>
      </c>
      <c r="BN70" s="647">
        <f t="shared" ca="1" si="18"/>
        <v>10000</v>
      </c>
      <c r="BO70" s="645">
        <f t="shared" ca="1" si="18"/>
        <v>148</v>
      </c>
      <c r="BP70" s="646">
        <f t="shared" ca="1" si="18"/>
        <v>450</v>
      </c>
      <c r="BQ70" s="646">
        <f t="shared" ca="1" si="18"/>
        <v>110</v>
      </c>
      <c r="BR70" s="646">
        <f t="shared" ca="1" si="18"/>
        <v>150</v>
      </c>
      <c r="BS70" s="648">
        <f t="shared" ca="1" si="18"/>
        <v>168</v>
      </c>
    </row>
    <row r="71" spans="2:71" ht="15" customHeight="1" x14ac:dyDescent="0.25">
      <c r="B71" s="1722" t="str">
        <f>$B$28</f>
        <v>Inner rows, 2nd to 6th row from north</v>
      </c>
      <c r="C71" s="183" t="str">
        <f>$C$26</f>
        <v>1st-4th module</v>
      </c>
      <c r="D71" s="189">
        <f t="shared" ca="1" si="14"/>
        <v>-0.12708217960508425</v>
      </c>
      <c r="E71" s="190">
        <f t="shared" ca="1" si="14"/>
        <v>-0.15129850989003435</v>
      </c>
      <c r="F71" s="190">
        <f t="shared" ca="1" si="14"/>
        <v>-0.11</v>
      </c>
      <c r="G71" s="190">
        <f t="shared" ca="1" si="14"/>
        <v>-0.11</v>
      </c>
      <c r="H71" s="573">
        <f t="shared" ca="1" si="14"/>
        <v>-0.1</v>
      </c>
      <c r="I71" s="189">
        <f t="shared" ca="1" si="14"/>
        <v>-0.20441124636277669</v>
      </c>
      <c r="J71" s="190">
        <f t="shared" ca="1" si="14"/>
        <v>-0.18957906260507357</v>
      </c>
      <c r="K71" s="190">
        <f t="shared" ca="1" si="14"/>
        <v>-0.13785479137091869</v>
      </c>
      <c r="L71" s="190">
        <f t="shared" ca="1" si="14"/>
        <v>-0.11277121690471056</v>
      </c>
      <c r="M71" s="191">
        <f t="shared" ca="1" si="14"/>
        <v>-0.1</v>
      </c>
      <c r="S71">
        <v>14</v>
      </c>
      <c r="T71" s="954" t="str">
        <f>$B$28</f>
        <v>Inner rows, 2nd to 6th row from north</v>
      </c>
      <c r="U71" s="183" t="str">
        <f>$C$26</f>
        <v>1st-4th module</v>
      </c>
      <c r="V71" s="189" t="str">
        <f t="shared" si="9"/>
        <v>C110:C114</v>
      </c>
      <c r="W71" s="190" t="str">
        <f t="shared" si="9"/>
        <v>F110:F114</v>
      </c>
      <c r="X71" s="190" t="str">
        <f t="shared" si="9"/>
        <v>I110:I114</v>
      </c>
      <c r="Y71" s="190" t="str">
        <f t="shared" si="9"/>
        <v>L110:L114</v>
      </c>
      <c r="Z71" s="573" t="str">
        <f t="shared" si="9"/>
        <v>O110:O114</v>
      </c>
      <c r="AA71" s="189" t="str">
        <f t="shared" si="9"/>
        <v>C168:C172</v>
      </c>
      <c r="AB71" s="190" t="str">
        <f t="shared" si="9"/>
        <v>F168:F172</v>
      </c>
      <c r="AC71" s="190" t="str">
        <f t="shared" si="9"/>
        <v>I168:I172</v>
      </c>
      <c r="AD71" s="190" t="str">
        <f t="shared" si="9"/>
        <v>L168:L172</v>
      </c>
      <c r="AE71" s="191" t="str">
        <f t="shared" si="9"/>
        <v>O168:O172</v>
      </c>
      <c r="AF71" s="189">
        <f t="shared" ca="1" si="15"/>
        <v>-0.15</v>
      </c>
      <c r="AG71" s="190">
        <f t="shared" ca="1" si="15"/>
        <v>-0.24</v>
      </c>
      <c r="AH71" s="190">
        <f t="shared" ca="1" si="15"/>
        <v>-0.11</v>
      </c>
      <c r="AI71" s="190">
        <f t="shared" ca="1" si="15"/>
        <v>-0.11</v>
      </c>
      <c r="AJ71" s="573">
        <f t="shared" ca="1" si="15"/>
        <v>-0.1</v>
      </c>
      <c r="AK71" s="189">
        <f t="shared" ca="1" si="15"/>
        <v>-0.35</v>
      </c>
      <c r="AL71" s="190">
        <f t="shared" ca="1" si="15"/>
        <v>-0.22</v>
      </c>
      <c r="AM71" s="190">
        <f t="shared" ca="1" si="15"/>
        <v>-0.17</v>
      </c>
      <c r="AN71" s="190">
        <f t="shared" ca="1" si="15"/>
        <v>-0.12</v>
      </c>
      <c r="AO71" s="191">
        <f t="shared" ca="1" si="15"/>
        <v>-0.1</v>
      </c>
      <c r="AP71" s="189">
        <f t="shared" ca="1" si="16"/>
        <v>-0.11</v>
      </c>
      <c r="AQ71" s="190">
        <f t="shared" ca="1" si="16"/>
        <v>-0.12</v>
      </c>
      <c r="AR71" s="190">
        <f t="shared" ca="1" si="16"/>
        <v>-0.11</v>
      </c>
      <c r="AS71" s="190">
        <f t="shared" ca="1" si="16"/>
        <v>-0.11</v>
      </c>
      <c r="AT71" s="573">
        <f t="shared" ca="1" si="16"/>
        <v>-0.1</v>
      </c>
      <c r="AU71" s="189">
        <f t="shared" ca="1" si="16"/>
        <v>-0.15</v>
      </c>
      <c r="AV71" s="190">
        <f t="shared" ca="1" si="16"/>
        <v>-0.12</v>
      </c>
      <c r="AW71" s="190">
        <f t="shared" ca="1" si="16"/>
        <v>-0.1</v>
      </c>
      <c r="AX71" s="190">
        <f t="shared" ca="1" si="16"/>
        <v>-0.1</v>
      </c>
      <c r="AY71" s="191">
        <f t="shared" ca="1" si="16"/>
        <v>-0.1</v>
      </c>
      <c r="AZ71" s="641">
        <f t="shared" ca="1" si="17"/>
        <v>140</v>
      </c>
      <c r="BA71" s="642">
        <f t="shared" ca="1" si="17"/>
        <v>15</v>
      </c>
      <c r="BB71" s="642">
        <f t="shared" ca="1" si="17"/>
        <v>95</v>
      </c>
      <c r="BC71" s="642">
        <f t="shared" ca="1" si="17"/>
        <v>148</v>
      </c>
      <c r="BD71" s="643">
        <f t="shared" ca="1" si="17"/>
        <v>15</v>
      </c>
      <c r="BE71" s="641">
        <f t="shared" ca="1" si="17"/>
        <v>13</v>
      </c>
      <c r="BF71" s="642">
        <f t="shared" ca="1" si="17"/>
        <v>15</v>
      </c>
      <c r="BG71" s="642">
        <f t="shared" ca="1" si="17"/>
        <v>28</v>
      </c>
      <c r="BH71" s="642">
        <f t="shared" ca="1" si="17"/>
        <v>14</v>
      </c>
      <c r="BI71" s="644">
        <f t="shared" ca="1" si="17"/>
        <v>15</v>
      </c>
      <c r="BJ71" s="641">
        <f t="shared" ca="1" si="18"/>
        <v>872</v>
      </c>
      <c r="BK71" s="642">
        <f t="shared" ca="1" si="18"/>
        <v>738</v>
      </c>
      <c r="BL71" s="642">
        <f t="shared" ca="1" si="18"/>
        <v>10000</v>
      </c>
      <c r="BM71" s="642">
        <f t="shared" ca="1" si="18"/>
        <v>10000</v>
      </c>
      <c r="BN71" s="643">
        <f t="shared" ca="1" si="18"/>
        <v>10000</v>
      </c>
      <c r="BO71" s="641">
        <f t="shared" ca="1" si="18"/>
        <v>140</v>
      </c>
      <c r="BP71" s="642">
        <f t="shared" ca="1" si="18"/>
        <v>738</v>
      </c>
      <c r="BQ71" s="642">
        <f t="shared" ca="1" si="18"/>
        <v>95</v>
      </c>
      <c r="BR71" s="642">
        <f t="shared" ca="1" si="18"/>
        <v>148</v>
      </c>
      <c r="BS71" s="644">
        <f t="shared" ca="1" si="18"/>
        <v>10000</v>
      </c>
    </row>
    <row r="72" spans="2:71" ht="15" customHeight="1" thickBot="1" x14ac:dyDescent="0.3">
      <c r="B72" s="1724"/>
      <c r="C72" s="278" t="str">
        <f>$C$27</f>
        <v>Interior modules</v>
      </c>
      <c r="D72" s="578">
        <f t="shared" ca="1" si="14"/>
        <v>-0.12690431978767897</v>
      </c>
      <c r="E72" s="579">
        <f t="shared" ca="1" si="14"/>
        <v>-0.14767380856535156</v>
      </c>
      <c r="F72" s="579">
        <f t="shared" ca="1" si="14"/>
        <v>-0.11</v>
      </c>
      <c r="G72" s="579">
        <f t="shared" ca="1" si="14"/>
        <v>-0.11</v>
      </c>
      <c r="H72" s="580">
        <f t="shared" ca="1" si="14"/>
        <v>-0.1</v>
      </c>
      <c r="I72" s="578">
        <f t="shared" ca="1" si="14"/>
        <v>-0.14000000000000001</v>
      </c>
      <c r="J72" s="579">
        <f t="shared" ca="1" si="14"/>
        <v>-0.18711388899824605</v>
      </c>
      <c r="K72" s="579">
        <f t="shared" ca="1" si="14"/>
        <v>-0.1</v>
      </c>
      <c r="L72" s="579">
        <f t="shared" ca="1" si="14"/>
        <v>-0.10638560845235528</v>
      </c>
      <c r="M72" s="581">
        <f t="shared" ca="1" si="14"/>
        <v>-0.1</v>
      </c>
      <c r="S72">
        <v>21</v>
      </c>
      <c r="T72" s="955"/>
      <c r="U72" s="278" t="str">
        <f>$C$27</f>
        <v>Interior modules</v>
      </c>
      <c r="V72" s="578" t="str">
        <f t="shared" si="9"/>
        <v>C117:C121</v>
      </c>
      <c r="W72" s="579" t="str">
        <f t="shared" si="9"/>
        <v>F117:F121</v>
      </c>
      <c r="X72" s="579" t="str">
        <f t="shared" si="9"/>
        <v>I117:I121</v>
      </c>
      <c r="Y72" s="579" t="str">
        <f t="shared" si="9"/>
        <v>L117:L121</v>
      </c>
      <c r="Z72" s="580" t="str">
        <f t="shared" si="9"/>
        <v>O117:O121</v>
      </c>
      <c r="AA72" s="578" t="str">
        <f t="shared" si="9"/>
        <v>C175:C179</v>
      </c>
      <c r="AB72" s="579" t="str">
        <f t="shared" si="9"/>
        <v>F175:F179</v>
      </c>
      <c r="AC72" s="579" t="str">
        <f t="shared" si="9"/>
        <v>I175:I179</v>
      </c>
      <c r="AD72" s="579" t="str">
        <f t="shared" si="9"/>
        <v>L175:L179</v>
      </c>
      <c r="AE72" s="581" t="str">
        <f t="shared" si="9"/>
        <v>O175:O179</v>
      </c>
      <c r="AF72" s="578">
        <f t="shared" ca="1" si="15"/>
        <v>-0.14000000000000001</v>
      </c>
      <c r="AG72" s="579">
        <f t="shared" ca="1" si="15"/>
        <v>-0.23</v>
      </c>
      <c r="AH72" s="579">
        <f t="shared" ca="1" si="15"/>
        <v>-0.11</v>
      </c>
      <c r="AI72" s="579">
        <f t="shared" ca="1" si="15"/>
        <v>-0.11</v>
      </c>
      <c r="AJ72" s="580">
        <f t="shared" ca="1" si="15"/>
        <v>-0.1</v>
      </c>
      <c r="AK72" s="578">
        <f t="shared" ca="1" si="15"/>
        <v>-0.14000000000000001</v>
      </c>
      <c r="AL72" s="579">
        <f t="shared" ca="1" si="15"/>
        <v>-0.22</v>
      </c>
      <c r="AM72" s="579">
        <f t="shared" ca="1" si="15"/>
        <v>-0.1</v>
      </c>
      <c r="AN72" s="579">
        <f t="shared" ca="1" si="15"/>
        <v>-0.11</v>
      </c>
      <c r="AO72" s="581">
        <f t="shared" ca="1" si="15"/>
        <v>-0.1</v>
      </c>
      <c r="AP72" s="578">
        <f t="shared" ca="1" si="16"/>
        <v>-0.11</v>
      </c>
      <c r="AQ72" s="579">
        <f t="shared" ca="1" si="16"/>
        <v>-0.12</v>
      </c>
      <c r="AR72" s="579">
        <f t="shared" ca="1" si="16"/>
        <v>-0.11</v>
      </c>
      <c r="AS72" s="579">
        <f t="shared" ca="1" si="16"/>
        <v>-0.11</v>
      </c>
      <c r="AT72" s="580">
        <f t="shared" ca="1" si="16"/>
        <v>-0.1</v>
      </c>
      <c r="AU72" s="578">
        <f t="shared" ca="1" si="16"/>
        <v>-0.14000000000000001</v>
      </c>
      <c r="AV72" s="579">
        <f t="shared" ca="1" si="16"/>
        <v>-0.12</v>
      </c>
      <c r="AW72" s="579">
        <f t="shared" ca="1" si="16"/>
        <v>-0.1</v>
      </c>
      <c r="AX72" s="579">
        <f t="shared" ca="1" si="16"/>
        <v>-0.1</v>
      </c>
      <c r="AY72" s="581">
        <f t="shared" ca="1" si="16"/>
        <v>-0.1</v>
      </c>
      <c r="AZ72" s="649">
        <f t="shared" ca="1" si="17"/>
        <v>218</v>
      </c>
      <c r="BA72" s="650">
        <f t="shared" ca="1" si="17"/>
        <v>13</v>
      </c>
      <c r="BB72" s="650">
        <f t="shared" ca="1" si="17"/>
        <v>27</v>
      </c>
      <c r="BC72" s="650">
        <f t="shared" ca="1" si="17"/>
        <v>148</v>
      </c>
      <c r="BD72" s="651">
        <f t="shared" ca="1" si="17"/>
        <v>15</v>
      </c>
      <c r="BE72" s="649">
        <f t="shared" ca="1" si="17"/>
        <v>55</v>
      </c>
      <c r="BF72" s="650">
        <f t="shared" ca="1" si="17"/>
        <v>13</v>
      </c>
      <c r="BG72" s="650">
        <f t="shared" ca="1" si="17"/>
        <v>27</v>
      </c>
      <c r="BH72" s="650">
        <f t="shared" ca="1" si="17"/>
        <v>14</v>
      </c>
      <c r="BI72" s="652">
        <f t="shared" ca="1" si="17"/>
        <v>15</v>
      </c>
      <c r="BJ72" s="649">
        <f t="shared" ca="1" si="18"/>
        <v>872</v>
      </c>
      <c r="BK72" s="650">
        <f t="shared" ca="1" si="18"/>
        <v>738</v>
      </c>
      <c r="BL72" s="650">
        <f t="shared" ca="1" si="18"/>
        <v>10000</v>
      </c>
      <c r="BM72" s="650">
        <f t="shared" ca="1" si="18"/>
        <v>10000</v>
      </c>
      <c r="BN72" s="651">
        <f t="shared" ca="1" si="18"/>
        <v>10000</v>
      </c>
      <c r="BO72" s="649">
        <f t="shared" ca="1" si="18"/>
        <v>218</v>
      </c>
      <c r="BP72" s="650">
        <f t="shared" ca="1" si="18"/>
        <v>738</v>
      </c>
      <c r="BQ72" s="650">
        <f t="shared" ca="1" si="18"/>
        <v>10000</v>
      </c>
      <c r="BR72" s="650">
        <f t="shared" ca="1" si="18"/>
        <v>148</v>
      </c>
      <c r="BS72" s="652">
        <f t="shared" ca="1" si="18"/>
        <v>10000</v>
      </c>
    </row>
    <row r="73" spans="2:71" ht="15" customHeight="1" x14ac:dyDescent="0.25">
      <c r="B73" s="1722" t="str">
        <f>$B$30</f>
        <v>Inner rows, from 7th row from north</v>
      </c>
      <c r="C73" s="183" t="str">
        <f>$C$26</f>
        <v>1st-4th module</v>
      </c>
      <c r="D73" s="189">
        <f t="shared" ca="1" si="14"/>
        <v>-0.14416435921016851</v>
      </c>
      <c r="E73" s="190">
        <f t="shared" ca="1" si="14"/>
        <v>-0.14603311028822008</v>
      </c>
      <c r="F73" s="190">
        <f t="shared" ca="1" si="14"/>
        <v>-0.11</v>
      </c>
      <c r="G73" s="190">
        <f t="shared" ca="1" si="14"/>
        <v>-0.11</v>
      </c>
      <c r="H73" s="190">
        <f t="shared" ca="1" si="14"/>
        <v>-0.1</v>
      </c>
      <c r="I73" s="189">
        <f t="shared" ca="1" si="14"/>
        <v>-0.26617574490788731</v>
      </c>
      <c r="J73" s="190">
        <f t="shared" ca="1" si="14"/>
        <v>-0.18944839547619222</v>
      </c>
      <c r="K73" s="190">
        <f t="shared" ca="1" si="14"/>
        <v>-0.17854799196336854</v>
      </c>
      <c r="L73" s="190">
        <f t="shared" ca="1" si="14"/>
        <v>-0.13497601224888231</v>
      </c>
      <c r="M73" s="191">
        <f t="shared" ca="1" si="14"/>
        <v>-0.135115271312054</v>
      </c>
      <c r="S73">
        <v>28</v>
      </c>
      <c r="T73" s="954" t="str">
        <f>$B$30</f>
        <v>Inner rows, from 7th row from north</v>
      </c>
      <c r="U73" s="183" t="str">
        <f>$C$26</f>
        <v>1st-4th module</v>
      </c>
      <c r="V73" s="189" t="str">
        <f t="shared" si="9"/>
        <v>C124:C128</v>
      </c>
      <c r="W73" s="190" t="str">
        <f t="shared" si="9"/>
        <v>F124:F128</v>
      </c>
      <c r="X73" s="190" t="str">
        <f t="shared" si="9"/>
        <v>I124:I128</v>
      </c>
      <c r="Y73" s="190" t="str">
        <f t="shared" si="9"/>
        <v>L124:L128</v>
      </c>
      <c r="Z73" s="190" t="str">
        <f t="shared" si="9"/>
        <v>O124:O128</v>
      </c>
      <c r="AA73" s="189" t="str">
        <f t="shared" si="9"/>
        <v>C182:C186</v>
      </c>
      <c r="AB73" s="190" t="str">
        <f t="shared" si="9"/>
        <v>F182:F186</v>
      </c>
      <c r="AC73" s="190" t="str">
        <f t="shared" si="9"/>
        <v>I182:I186</v>
      </c>
      <c r="AD73" s="190" t="str">
        <f t="shared" si="9"/>
        <v>L182:L186</v>
      </c>
      <c r="AE73" s="191" t="str">
        <f t="shared" si="9"/>
        <v>O182:O186</v>
      </c>
      <c r="AF73" s="189">
        <f t="shared" ca="1" si="15"/>
        <v>-0.19</v>
      </c>
      <c r="AG73" s="190">
        <f t="shared" ca="1" si="15"/>
        <v>-0.21</v>
      </c>
      <c r="AH73" s="190">
        <f t="shared" ca="1" si="15"/>
        <v>-0.11</v>
      </c>
      <c r="AI73" s="190">
        <f t="shared" ca="1" si="15"/>
        <v>-0.11</v>
      </c>
      <c r="AJ73" s="190">
        <f t="shared" ca="1" si="15"/>
        <v>-0.1</v>
      </c>
      <c r="AK73" s="189">
        <f t="shared" ca="1" si="15"/>
        <v>-0.47</v>
      </c>
      <c r="AL73" s="190">
        <f t="shared" ca="1" si="15"/>
        <v>-0.21</v>
      </c>
      <c r="AM73" s="190">
        <f t="shared" ca="1" si="15"/>
        <v>-0.22</v>
      </c>
      <c r="AN73" s="190">
        <f t="shared" ca="1" si="15"/>
        <v>-0.19</v>
      </c>
      <c r="AO73" s="191">
        <f t="shared" ca="1" si="15"/>
        <v>-0.18</v>
      </c>
      <c r="AP73" s="189">
        <f t="shared" ca="1" si="16"/>
        <v>-0.11</v>
      </c>
      <c r="AQ73" s="190">
        <f t="shared" ca="1" si="16"/>
        <v>-0.12</v>
      </c>
      <c r="AR73" s="190">
        <f t="shared" ca="1" si="16"/>
        <v>-0.11</v>
      </c>
      <c r="AS73" s="190">
        <f t="shared" ca="1" si="16"/>
        <v>-0.11</v>
      </c>
      <c r="AT73" s="190">
        <f t="shared" ca="1" si="16"/>
        <v>-0.1</v>
      </c>
      <c r="AU73" s="189">
        <f t="shared" ca="1" si="16"/>
        <v>-0.19</v>
      </c>
      <c r="AV73" s="190">
        <f t="shared" ca="1" si="16"/>
        <v>-0.12</v>
      </c>
      <c r="AW73" s="190">
        <f t="shared" ca="1" si="16"/>
        <v>-0.1</v>
      </c>
      <c r="AX73" s="190">
        <f t="shared" ca="1" si="16"/>
        <v>-0.12</v>
      </c>
      <c r="AY73" s="191">
        <f t="shared" ca="1" si="16"/>
        <v>-0.1</v>
      </c>
      <c r="AZ73" s="641">
        <f t="shared" ca="1" si="17"/>
        <v>140</v>
      </c>
      <c r="BA73" s="642">
        <f t="shared" ca="1" si="17"/>
        <v>22</v>
      </c>
      <c r="BB73" s="642">
        <f t="shared" ca="1" si="17"/>
        <v>147</v>
      </c>
      <c r="BC73" s="642">
        <f t="shared" ca="1" si="17"/>
        <v>77</v>
      </c>
      <c r="BD73" s="642">
        <f t="shared" ca="1" si="17"/>
        <v>110</v>
      </c>
      <c r="BE73" s="641">
        <f t="shared" ca="1" si="17"/>
        <v>13</v>
      </c>
      <c r="BF73" s="642">
        <f t="shared" ca="1" si="17"/>
        <v>22</v>
      </c>
      <c r="BG73" s="642">
        <f t="shared" ca="1" si="17"/>
        <v>27.5</v>
      </c>
      <c r="BH73" s="642">
        <f t="shared" ca="1" si="17"/>
        <v>7</v>
      </c>
      <c r="BI73" s="644">
        <f t="shared" ca="1" si="17"/>
        <v>7</v>
      </c>
      <c r="BJ73" s="641">
        <f t="shared" ca="1" si="18"/>
        <v>872</v>
      </c>
      <c r="BK73" s="642">
        <f t="shared" ca="1" si="18"/>
        <v>738</v>
      </c>
      <c r="BL73" s="642">
        <f t="shared" ca="1" si="18"/>
        <v>10000</v>
      </c>
      <c r="BM73" s="642">
        <f t="shared" ca="1" si="18"/>
        <v>10000</v>
      </c>
      <c r="BN73" s="642">
        <f t="shared" ca="1" si="18"/>
        <v>10000</v>
      </c>
      <c r="BO73" s="641">
        <f t="shared" ca="1" si="18"/>
        <v>140</v>
      </c>
      <c r="BP73" s="642">
        <f t="shared" ca="1" si="18"/>
        <v>738</v>
      </c>
      <c r="BQ73" s="642">
        <f t="shared" ca="1" si="18"/>
        <v>147</v>
      </c>
      <c r="BR73" s="642">
        <f t="shared" ca="1" si="18"/>
        <v>50</v>
      </c>
      <c r="BS73" s="644">
        <f t="shared" ca="1" si="18"/>
        <v>110</v>
      </c>
    </row>
    <row r="74" spans="2:71" ht="15" customHeight="1" thickBot="1" x14ac:dyDescent="0.3">
      <c r="B74" s="1724"/>
      <c r="C74" s="277" t="str">
        <f>$C$27</f>
        <v>Interior modules</v>
      </c>
      <c r="D74" s="582">
        <f t="shared" ca="1" si="14"/>
        <v>-0.12591497990272718</v>
      </c>
      <c r="E74" s="583">
        <f t="shared" ca="1" si="14"/>
        <v>-0.15511143942240879</v>
      </c>
      <c r="F74" s="583">
        <f t="shared" ca="1" si="14"/>
        <v>-0.11</v>
      </c>
      <c r="G74" s="583">
        <f t="shared" ca="1" si="14"/>
        <v>-0.11</v>
      </c>
      <c r="H74" s="583">
        <f t="shared" ca="1" si="14"/>
        <v>-0.1</v>
      </c>
      <c r="I74" s="582">
        <f t="shared" ca="1" si="14"/>
        <v>-0.20681742549684556</v>
      </c>
      <c r="J74" s="583">
        <f t="shared" ca="1" si="14"/>
        <v>-0.24172554595781928</v>
      </c>
      <c r="K74" s="583">
        <f t="shared" ca="1" si="14"/>
        <v>-0.12695521954646274</v>
      </c>
      <c r="L74" s="583">
        <f t="shared" ca="1" si="14"/>
        <v>-0.13093720775901962</v>
      </c>
      <c r="M74" s="585">
        <f t="shared" ca="1" si="14"/>
        <v>-0.135115271312054</v>
      </c>
      <c r="S74">
        <v>35</v>
      </c>
      <c r="T74" s="955"/>
      <c r="U74" s="277" t="str">
        <f>$C$27</f>
        <v>Interior modules</v>
      </c>
      <c r="V74" s="582" t="str">
        <f t="shared" si="9"/>
        <v>C131:C135</v>
      </c>
      <c r="W74" s="583" t="str">
        <f t="shared" si="9"/>
        <v>F131:F135</v>
      </c>
      <c r="X74" s="583" t="str">
        <f t="shared" si="9"/>
        <v>I131:I135</v>
      </c>
      <c r="Y74" s="583" t="str">
        <f t="shared" si="9"/>
        <v>L131:L135</v>
      </c>
      <c r="Z74" s="583" t="str">
        <f t="shared" si="9"/>
        <v>O131:O135</v>
      </c>
      <c r="AA74" s="582" t="str">
        <f t="shared" si="9"/>
        <v>C189:C193</v>
      </c>
      <c r="AB74" s="583" t="str">
        <f t="shared" si="9"/>
        <v>F189:F193</v>
      </c>
      <c r="AC74" s="583" t="str">
        <f t="shared" si="9"/>
        <v>I189:I193</v>
      </c>
      <c r="AD74" s="583" t="str">
        <f t="shared" si="9"/>
        <v>L189:L193</v>
      </c>
      <c r="AE74" s="585" t="str">
        <f t="shared" si="9"/>
        <v>O189:O193</v>
      </c>
      <c r="AF74" s="582">
        <f t="shared" ca="1" si="15"/>
        <v>-0.14000000000000001</v>
      </c>
      <c r="AG74" s="583">
        <f t="shared" ca="1" si="15"/>
        <v>-0.18</v>
      </c>
      <c r="AH74" s="583">
        <f t="shared" ca="1" si="15"/>
        <v>-0.11</v>
      </c>
      <c r="AI74" s="583">
        <f t="shared" ca="1" si="15"/>
        <v>-0.11</v>
      </c>
      <c r="AJ74" s="583">
        <f t="shared" ca="1" si="15"/>
        <v>-0.1</v>
      </c>
      <c r="AK74" s="582">
        <f t="shared" ca="1" si="15"/>
        <v>-0.26</v>
      </c>
      <c r="AL74" s="583">
        <f t="shared" ca="1" si="15"/>
        <v>-0.38</v>
      </c>
      <c r="AM74" s="583">
        <f t="shared" ca="1" si="15"/>
        <v>-0.16</v>
      </c>
      <c r="AN74" s="583">
        <f t="shared" ca="1" si="15"/>
        <v>-0.18</v>
      </c>
      <c r="AO74" s="585">
        <f t="shared" ca="1" si="15"/>
        <v>-0.18</v>
      </c>
      <c r="AP74" s="582">
        <f t="shared" ca="1" si="16"/>
        <v>-0.11</v>
      </c>
      <c r="AQ74" s="583">
        <f t="shared" ca="1" si="16"/>
        <v>-0.12</v>
      </c>
      <c r="AR74" s="583">
        <f t="shared" ca="1" si="16"/>
        <v>-0.11</v>
      </c>
      <c r="AS74" s="583">
        <f t="shared" ca="1" si="16"/>
        <v>-0.11</v>
      </c>
      <c r="AT74" s="583">
        <f t="shared" ca="1" si="16"/>
        <v>-0.1</v>
      </c>
      <c r="AU74" s="582">
        <f t="shared" ca="1" si="16"/>
        <v>-0.14000000000000001</v>
      </c>
      <c r="AV74" s="583">
        <f t="shared" ca="1" si="16"/>
        <v>-0.17</v>
      </c>
      <c r="AW74" s="583">
        <f t="shared" ca="1" si="16"/>
        <v>-0.1</v>
      </c>
      <c r="AX74" s="583">
        <f t="shared" ca="1" si="16"/>
        <v>-0.1</v>
      </c>
      <c r="AY74" s="585">
        <f t="shared" ca="1" si="16"/>
        <v>-0.1</v>
      </c>
      <c r="AZ74" s="653">
        <f t="shared" ca="1" si="17"/>
        <v>200</v>
      </c>
      <c r="BA74" s="654">
        <f t="shared" ca="1" si="17"/>
        <v>130</v>
      </c>
      <c r="BB74" s="654">
        <f t="shared" ca="1" si="17"/>
        <v>100</v>
      </c>
      <c r="BC74" s="654">
        <f t="shared" ca="1" si="17"/>
        <v>87</v>
      </c>
      <c r="BD74" s="654">
        <f t="shared" ca="1" si="17"/>
        <v>110</v>
      </c>
      <c r="BE74" s="653">
        <f t="shared" ca="1" si="17"/>
        <v>33</v>
      </c>
      <c r="BF74" s="654">
        <f t="shared" ca="1" si="17"/>
        <v>7.5</v>
      </c>
      <c r="BG74" s="654">
        <f t="shared" ca="1" si="17"/>
        <v>20.5</v>
      </c>
      <c r="BH74" s="654">
        <f t="shared" ca="1" si="17"/>
        <v>7</v>
      </c>
      <c r="BI74" s="655">
        <f t="shared" ca="1" si="17"/>
        <v>7</v>
      </c>
      <c r="BJ74" s="653">
        <f t="shared" ca="1" si="18"/>
        <v>872</v>
      </c>
      <c r="BK74" s="654">
        <f t="shared" ca="1" si="18"/>
        <v>738</v>
      </c>
      <c r="BL74" s="654">
        <f t="shared" ca="1" si="18"/>
        <v>10000</v>
      </c>
      <c r="BM74" s="654">
        <f t="shared" ca="1" si="18"/>
        <v>10000</v>
      </c>
      <c r="BN74" s="654">
        <f t="shared" ca="1" si="18"/>
        <v>10000</v>
      </c>
      <c r="BO74" s="653">
        <f t="shared" ca="1" si="18"/>
        <v>200</v>
      </c>
      <c r="BP74" s="654">
        <f t="shared" ca="1" si="18"/>
        <v>130</v>
      </c>
      <c r="BQ74" s="654">
        <f t="shared" ca="1" si="18"/>
        <v>100</v>
      </c>
      <c r="BR74" s="654">
        <f t="shared" ca="1" si="18"/>
        <v>87</v>
      </c>
      <c r="BS74" s="655">
        <f t="shared" ca="1" si="18"/>
        <v>110</v>
      </c>
    </row>
    <row r="75" spans="2:71" ht="15" customHeight="1" x14ac:dyDescent="0.25">
      <c r="B75" s="1722" t="str">
        <f>$B$32</f>
        <v>South row</v>
      </c>
      <c r="C75" s="183" t="str">
        <f>$C$26</f>
        <v>1st-4th module</v>
      </c>
      <c r="D75" s="189">
        <f t="shared" ca="1" si="14"/>
        <v>-0.12969309618623923</v>
      </c>
      <c r="E75" s="190">
        <f t="shared" ca="1" si="14"/>
        <v>-0.14926204870062129</v>
      </c>
      <c r="F75" s="190">
        <f t="shared" ca="1" si="14"/>
        <v>-0.11</v>
      </c>
      <c r="G75" s="190">
        <f t="shared" ca="1" si="14"/>
        <v>-0.11</v>
      </c>
      <c r="H75" s="573">
        <f t="shared" ca="1" si="14"/>
        <v>-0.1</v>
      </c>
      <c r="I75" s="189">
        <f t="shared" ca="1" si="14"/>
        <v>-0.19701333335831922</v>
      </c>
      <c r="J75" s="190">
        <f t="shared" ca="1" si="14"/>
        <v>-0.16</v>
      </c>
      <c r="K75" s="190">
        <f t="shared" ca="1" si="14"/>
        <v>-0.14324466117263876</v>
      </c>
      <c r="L75" s="190">
        <f t="shared" ca="1" si="14"/>
        <v>-0.1</v>
      </c>
      <c r="M75" s="191">
        <f t="shared" ca="1" si="14"/>
        <v>-0.1</v>
      </c>
      <c r="S75">
        <v>42</v>
      </c>
      <c r="T75" s="954" t="str">
        <f>$B$32</f>
        <v>South row</v>
      </c>
      <c r="U75" s="183" t="str">
        <f>$C$26</f>
        <v>1st-4th module</v>
      </c>
      <c r="V75" s="189" t="str">
        <f t="shared" si="9"/>
        <v>C138:C142</v>
      </c>
      <c r="W75" s="190" t="str">
        <f t="shared" si="9"/>
        <v>F138:F142</v>
      </c>
      <c r="X75" s="190" t="str">
        <f t="shared" si="9"/>
        <v>I138:I142</v>
      </c>
      <c r="Y75" s="190" t="str">
        <f t="shared" si="9"/>
        <v>L138:L142</v>
      </c>
      <c r="Z75" s="573" t="str">
        <f t="shared" si="9"/>
        <v>O138:O142</v>
      </c>
      <c r="AA75" s="189" t="str">
        <f t="shared" si="9"/>
        <v>C196:C200</v>
      </c>
      <c r="AB75" s="190" t="str">
        <f t="shared" si="9"/>
        <v>F196:F200</v>
      </c>
      <c r="AC75" s="190" t="str">
        <f t="shared" si="9"/>
        <v>I196:I200</v>
      </c>
      <c r="AD75" s="190" t="str">
        <f t="shared" si="9"/>
        <v>L196:L200</v>
      </c>
      <c r="AE75" s="191" t="str">
        <f t="shared" si="9"/>
        <v>O196:O200</v>
      </c>
      <c r="AF75" s="189">
        <f t="shared" ca="1" si="15"/>
        <v>-0.16</v>
      </c>
      <c r="AG75" s="190">
        <f t="shared" ca="1" si="15"/>
        <v>-0.16</v>
      </c>
      <c r="AH75" s="190">
        <f t="shared" ca="1" si="15"/>
        <v>-0.11</v>
      </c>
      <c r="AI75" s="190">
        <f t="shared" ca="1" si="15"/>
        <v>-0.11</v>
      </c>
      <c r="AJ75" s="573">
        <f t="shared" ca="1" si="15"/>
        <v>-0.1</v>
      </c>
      <c r="AK75" s="189">
        <f t="shared" ca="1" si="15"/>
        <v>-0.33</v>
      </c>
      <c r="AL75" s="190">
        <f t="shared" ca="1" si="15"/>
        <v>-0.16</v>
      </c>
      <c r="AM75" s="190">
        <f t="shared" ca="1" si="15"/>
        <v>-0.19</v>
      </c>
      <c r="AN75" s="190">
        <f t="shared" ca="1" si="15"/>
        <v>-0.1</v>
      </c>
      <c r="AO75" s="191">
        <f t="shared" ca="1" si="15"/>
        <v>-0.1</v>
      </c>
      <c r="AP75" s="189">
        <f t="shared" ca="1" si="16"/>
        <v>-0.11</v>
      </c>
      <c r="AQ75" s="190">
        <f t="shared" ca="1" si="16"/>
        <v>-0.12</v>
      </c>
      <c r="AR75" s="190">
        <f t="shared" ca="1" si="16"/>
        <v>-0.11</v>
      </c>
      <c r="AS75" s="190">
        <f t="shared" ca="1" si="16"/>
        <v>-0.11</v>
      </c>
      <c r="AT75" s="573">
        <f t="shared" ca="1" si="16"/>
        <v>-0.1</v>
      </c>
      <c r="AU75" s="189">
        <f t="shared" ca="1" si="16"/>
        <v>-0.16</v>
      </c>
      <c r="AV75" s="190">
        <f t="shared" ca="1" si="16"/>
        <v>-0.16</v>
      </c>
      <c r="AW75" s="190">
        <f t="shared" ca="1" si="16"/>
        <v>-0.13</v>
      </c>
      <c r="AX75" s="190">
        <f t="shared" ca="1" si="16"/>
        <v>-0.1</v>
      </c>
      <c r="AY75" s="191">
        <f t="shared" ca="1" si="16"/>
        <v>-0.1</v>
      </c>
      <c r="AZ75" s="641">
        <f t="shared" ca="1" si="17"/>
        <v>120</v>
      </c>
      <c r="BA75" s="642">
        <f t="shared" ca="1" si="17"/>
        <v>184</v>
      </c>
      <c r="BB75" s="642">
        <f t="shared" ca="1" si="17"/>
        <v>96</v>
      </c>
      <c r="BC75" s="642">
        <f t="shared" ca="1" si="17"/>
        <v>30</v>
      </c>
      <c r="BD75" s="643">
        <f t="shared" ca="1" si="17"/>
        <v>30</v>
      </c>
      <c r="BE75" s="641">
        <f t="shared" ca="1" si="17"/>
        <v>12.5</v>
      </c>
      <c r="BF75" s="642">
        <f t="shared" ca="1" si="17"/>
        <v>12</v>
      </c>
      <c r="BG75" s="642">
        <f t="shared" ca="1" si="17"/>
        <v>10</v>
      </c>
      <c r="BH75" s="642">
        <f t="shared" ca="1" si="17"/>
        <v>30</v>
      </c>
      <c r="BI75" s="644">
        <f t="shared" ca="1" si="17"/>
        <v>30</v>
      </c>
      <c r="BJ75" s="641">
        <f t="shared" ca="1" si="18"/>
        <v>872</v>
      </c>
      <c r="BK75" s="642">
        <f t="shared" ca="1" si="18"/>
        <v>738</v>
      </c>
      <c r="BL75" s="642">
        <f t="shared" ca="1" si="18"/>
        <v>10000</v>
      </c>
      <c r="BM75" s="642">
        <f t="shared" ca="1" si="18"/>
        <v>10000</v>
      </c>
      <c r="BN75" s="643">
        <f t="shared" ca="1" si="18"/>
        <v>10000</v>
      </c>
      <c r="BO75" s="641">
        <f t="shared" ca="1" si="18"/>
        <v>120</v>
      </c>
      <c r="BP75" s="642">
        <f t="shared" ca="1" si="18"/>
        <v>184</v>
      </c>
      <c r="BQ75" s="642">
        <f t="shared" ca="1" si="18"/>
        <v>77</v>
      </c>
      <c r="BR75" s="642">
        <f t="shared" ca="1" si="18"/>
        <v>10000</v>
      </c>
      <c r="BS75" s="644">
        <f t="shared" ca="1" si="18"/>
        <v>10000</v>
      </c>
    </row>
    <row r="76" spans="2:71" ht="15" customHeight="1" thickBot="1" x14ac:dyDescent="0.3">
      <c r="B76" s="1724"/>
      <c r="C76" s="277" t="str">
        <f>$C$27</f>
        <v>Interior modules</v>
      </c>
      <c r="D76" s="578">
        <f t="shared" ca="1" si="14"/>
        <v>-0.13197981078174881</v>
      </c>
      <c r="E76" s="579">
        <f t="shared" ca="1" si="14"/>
        <v>-0.14926204870062129</v>
      </c>
      <c r="F76" s="579">
        <f t="shared" ca="1" si="14"/>
        <v>-0.11</v>
      </c>
      <c r="G76" s="579">
        <f t="shared" ca="1" si="14"/>
        <v>-0.11</v>
      </c>
      <c r="H76" s="580">
        <f t="shared" ca="1" si="14"/>
        <v>-0.1</v>
      </c>
      <c r="I76" s="578">
        <f t="shared" ca="1" si="14"/>
        <v>-0.19055187028661505</v>
      </c>
      <c r="J76" s="579">
        <f t="shared" ca="1" si="14"/>
        <v>-0.16907664185077925</v>
      </c>
      <c r="K76" s="579">
        <f t="shared" ca="1" si="14"/>
        <v>-0.1079169307689203</v>
      </c>
      <c r="L76" s="579">
        <f t="shared" ca="1" si="14"/>
        <v>-0.1</v>
      </c>
      <c r="M76" s="581">
        <f t="shared" ca="1" si="14"/>
        <v>-0.1</v>
      </c>
      <c r="S76">
        <v>49</v>
      </c>
      <c r="T76" s="955"/>
      <c r="U76" s="277" t="str">
        <f>$C$27</f>
        <v>Interior modules</v>
      </c>
      <c r="V76" s="578" t="str">
        <f t="shared" si="9"/>
        <v>C145:C149</v>
      </c>
      <c r="W76" s="579" t="str">
        <f t="shared" si="9"/>
        <v>F145:F149</v>
      </c>
      <c r="X76" s="579" t="str">
        <f t="shared" si="9"/>
        <v>I145:I149</v>
      </c>
      <c r="Y76" s="579" t="str">
        <f t="shared" si="9"/>
        <v>L145:L149</v>
      </c>
      <c r="Z76" s="580" t="str">
        <f t="shared" si="9"/>
        <v>O145:O149</v>
      </c>
      <c r="AA76" s="578" t="str">
        <f t="shared" si="9"/>
        <v>C203:C207</v>
      </c>
      <c r="AB76" s="579" t="str">
        <f t="shared" si="9"/>
        <v>F203:F207</v>
      </c>
      <c r="AC76" s="579" t="str">
        <f t="shared" si="9"/>
        <v>I203:I207</v>
      </c>
      <c r="AD76" s="579" t="str">
        <f t="shared" si="9"/>
        <v>L203:L207</v>
      </c>
      <c r="AE76" s="581" t="str">
        <f t="shared" si="9"/>
        <v>O203:O207</v>
      </c>
      <c r="AF76" s="578">
        <f t="shared" ca="1" si="15"/>
        <v>-0.16</v>
      </c>
      <c r="AG76" s="579">
        <f t="shared" ca="1" si="15"/>
        <v>-0.16</v>
      </c>
      <c r="AH76" s="579">
        <f t="shared" ca="1" si="15"/>
        <v>-0.11</v>
      </c>
      <c r="AI76" s="579">
        <f t="shared" ca="1" si="15"/>
        <v>-0.11</v>
      </c>
      <c r="AJ76" s="580">
        <f t="shared" ca="1" si="15"/>
        <v>-0.1</v>
      </c>
      <c r="AK76" s="578">
        <f t="shared" ca="1" si="15"/>
        <v>-0.3</v>
      </c>
      <c r="AL76" s="579">
        <f t="shared" ca="1" si="15"/>
        <v>-0.18</v>
      </c>
      <c r="AM76" s="579">
        <f t="shared" ca="1" si="15"/>
        <v>-0.13</v>
      </c>
      <c r="AN76" s="579">
        <f t="shared" ca="1" si="15"/>
        <v>-0.1</v>
      </c>
      <c r="AO76" s="581">
        <f t="shared" ca="1" si="15"/>
        <v>-0.1</v>
      </c>
      <c r="AP76" s="578">
        <f t="shared" ca="1" si="16"/>
        <v>-0.11</v>
      </c>
      <c r="AQ76" s="579">
        <f t="shared" ca="1" si="16"/>
        <v>-0.12</v>
      </c>
      <c r="AR76" s="579">
        <f t="shared" ca="1" si="16"/>
        <v>-0.11</v>
      </c>
      <c r="AS76" s="579">
        <f t="shared" ca="1" si="16"/>
        <v>-0.11</v>
      </c>
      <c r="AT76" s="580">
        <f t="shared" ca="1" si="16"/>
        <v>-0.1</v>
      </c>
      <c r="AU76" s="578">
        <f t="shared" ca="1" si="16"/>
        <v>-0.16</v>
      </c>
      <c r="AV76" s="579">
        <f t="shared" ca="1" si="16"/>
        <v>-0.16</v>
      </c>
      <c r="AW76" s="579">
        <f t="shared" ca="1" si="16"/>
        <v>-0.1</v>
      </c>
      <c r="AX76" s="579">
        <f t="shared" ca="1" si="16"/>
        <v>-0.1</v>
      </c>
      <c r="AY76" s="581">
        <f t="shared" ca="1" si="16"/>
        <v>-0.1</v>
      </c>
      <c r="AZ76" s="649">
        <f t="shared" ca="1" si="17"/>
        <v>147.5</v>
      </c>
      <c r="BA76" s="650">
        <f t="shared" ca="1" si="17"/>
        <v>184</v>
      </c>
      <c r="BB76" s="650">
        <f t="shared" ca="1" si="17"/>
        <v>60</v>
      </c>
      <c r="BC76" s="650">
        <f t="shared" ca="1" si="17"/>
        <v>9</v>
      </c>
      <c r="BD76" s="651">
        <f t="shared" ca="1" si="17"/>
        <v>30</v>
      </c>
      <c r="BE76" s="649">
        <f t="shared" ca="1" si="17"/>
        <v>6</v>
      </c>
      <c r="BF76" s="650">
        <f t="shared" ca="1" si="17"/>
        <v>10</v>
      </c>
      <c r="BG76" s="650">
        <f t="shared" ca="1" si="17"/>
        <v>28</v>
      </c>
      <c r="BH76" s="650">
        <f t="shared" ca="1" si="17"/>
        <v>9</v>
      </c>
      <c r="BI76" s="652">
        <f t="shared" ca="1" si="17"/>
        <v>30</v>
      </c>
      <c r="BJ76" s="649">
        <f t="shared" ca="1" si="18"/>
        <v>872</v>
      </c>
      <c r="BK76" s="650">
        <f t="shared" ca="1" si="18"/>
        <v>738</v>
      </c>
      <c r="BL76" s="650">
        <f t="shared" ca="1" si="18"/>
        <v>10000</v>
      </c>
      <c r="BM76" s="650">
        <f t="shared" ca="1" si="18"/>
        <v>10000</v>
      </c>
      <c r="BN76" s="651">
        <f t="shared" ca="1" si="18"/>
        <v>10000</v>
      </c>
      <c r="BO76" s="649">
        <f t="shared" ca="1" si="18"/>
        <v>147.5</v>
      </c>
      <c r="BP76" s="650">
        <f t="shared" ca="1" si="18"/>
        <v>184</v>
      </c>
      <c r="BQ76" s="650">
        <f t="shared" ca="1" si="18"/>
        <v>60</v>
      </c>
      <c r="BR76" s="650">
        <f t="shared" ca="1" si="18"/>
        <v>10000</v>
      </c>
      <c r="BS76" s="652">
        <f t="shared" ca="1" si="18"/>
        <v>10000</v>
      </c>
    </row>
    <row r="77" spans="2:71" ht="15" customHeight="1" x14ac:dyDescent="0.25">
      <c r="C77" s="231"/>
      <c r="D77" s="187"/>
      <c r="E77" s="187"/>
      <c r="F77" s="187"/>
      <c r="G77" s="187"/>
      <c r="H77" s="187"/>
      <c r="I77" s="187"/>
      <c r="J77" s="187"/>
      <c r="K77" s="187"/>
      <c r="L77" s="187"/>
      <c r="M77" s="187"/>
      <c r="N77" s="187"/>
      <c r="O77" s="187"/>
      <c r="P77" s="187"/>
      <c r="Q77" s="187"/>
      <c r="R77"/>
    </row>
    <row r="78" spans="2:71" ht="15" customHeight="1" x14ac:dyDescent="0.25">
      <c r="C78" s="231"/>
      <c r="D78" s="231"/>
      <c r="E78" s="231"/>
      <c r="F78" s="231"/>
      <c r="G78" s="187"/>
      <c r="H78" s="187"/>
      <c r="I78" s="187"/>
      <c r="J78" s="187"/>
      <c r="K78" s="187"/>
      <c r="L78" s="187"/>
      <c r="M78" s="187"/>
      <c r="N78" s="187"/>
      <c r="V78" s="121">
        <v>0</v>
      </c>
      <c r="W78" s="121">
        <v>0</v>
      </c>
      <c r="X78" s="121">
        <v>0</v>
      </c>
      <c r="Y78" s="121">
        <v>0</v>
      </c>
      <c r="Z78" s="121">
        <v>0</v>
      </c>
      <c r="AA78" s="121">
        <v>58</v>
      </c>
      <c r="AB78" s="121">
        <v>58</v>
      </c>
      <c r="AC78" s="121">
        <v>58</v>
      </c>
      <c r="AD78" s="121">
        <v>58</v>
      </c>
      <c r="AE78" s="121">
        <v>58</v>
      </c>
    </row>
    <row r="79" spans="2:71" ht="15" customHeight="1" thickBot="1" x14ac:dyDescent="0.3">
      <c r="B79" s="144" t="s">
        <v>469</v>
      </c>
      <c r="M79" s="121"/>
      <c r="N79" s="187"/>
      <c r="V79" s="121">
        <v>0</v>
      </c>
      <c r="W79" s="121">
        <v>3</v>
      </c>
      <c r="X79" s="121">
        <v>6</v>
      </c>
      <c r="Y79" s="121">
        <v>9</v>
      </c>
      <c r="Z79" s="121">
        <v>12</v>
      </c>
      <c r="AA79" s="121">
        <v>0</v>
      </c>
      <c r="AB79" s="121">
        <v>3</v>
      </c>
      <c r="AC79" s="121">
        <v>6</v>
      </c>
      <c r="AD79" s="121">
        <v>9</v>
      </c>
      <c r="AE79" s="121">
        <v>12</v>
      </c>
    </row>
    <row r="80" spans="2:71" ht="15" customHeight="1" thickBot="1" x14ac:dyDescent="0.3">
      <c r="D80" s="591"/>
      <c r="E80" s="592"/>
      <c r="F80" s="592" t="str">
        <f>$F$23</f>
        <v>Sliding</v>
      </c>
      <c r="G80" s="592"/>
      <c r="H80" s="592"/>
      <c r="I80" s="591"/>
      <c r="J80" s="592"/>
      <c r="K80" s="592" t="str">
        <f>$K$23</f>
        <v>Uplift</v>
      </c>
      <c r="L80" s="592"/>
      <c r="M80" s="593"/>
      <c r="N80" s="187"/>
      <c r="V80" s="618" t="s">
        <v>473</v>
      </c>
      <c r="W80" s="619"/>
      <c r="X80" s="619"/>
      <c r="Y80" s="619"/>
      <c r="Z80" s="619"/>
      <c r="AA80" s="619"/>
      <c r="AB80" s="619"/>
      <c r="AC80" s="619"/>
      <c r="AD80" s="619"/>
      <c r="AE80" s="620"/>
      <c r="AF80" s="618" t="s">
        <v>83</v>
      </c>
      <c r="AG80" s="619"/>
      <c r="AH80" s="619"/>
      <c r="AI80" s="619"/>
      <c r="AJ80" s="619"/>
      <c r="AK80" s="619"/>
      <c r="AL80" s="619"/>
      <c r="AM80" s="619"/>
      <c r="AN80" s="619"/>
      <c r="AO80" s="620"/>
      <c r="AP80" s="618" t="s">
        <v>84</v>
      </c>
      <c r="AQ80" s="619"/>
      <c r="AR80" s="619"/>
      <c r="AS80" s="619"/>
      <c r="AT80" s="619"/>
      <c r="AU80" s="619"/>
      <c r="AV80" s="619"/>
      <c r="AW80" s="619"/>
      <c r="AX80" s="619"/>
      <c r="AY80" s="620"/>
      <c r="AZ80" s="618" t="s">
        <v>85</v>
      </c>
      <c r="BA80" s="619"/>
      <c r="BB80" s="619"/>
      <c r="BC80" s="619"/>
      <c r="BD80" s="619"/>
      <c r="BE80" s="619"/>
      <c r="BF80" s="619"/>
      <c r="BG80" s="619"/>
      <c r="BH80" s="619"/>
      <c r="BI80" s="620"/>
      <c r="BJ80" s="618" t="s">
        <v>86</v>
      </c>
      <c r="BK80" s="619"/>
      <c r="BL80" s="619"/>
      <c r="BM80" s="619"/>
      <c r="BN80" s="619"/>
      <c r="BO80" s="619"/>
      <c r="BP80" s="619"/>
      <c r="BQ80" s="619"/>
      <c r="BR80" s="619"/>
      <c r="BS80" s="620"/>
    </row>
    <row r="81" spans="2:71" ht="15" customHeight="1" thickBot="1" x14ac:dyDescent="0.3">
      <c r="D81" s="437" t="str">
        <f>$D$24</f>
        <v>Roof position 1</v>
      </c>
      <c r="E81" s="438" t="str">
        <f>$E$24</f>
        <v>Roof position 2</v>
      </c>
      <c r="F81" s="438" t="str">
        <f>$F$24</f>
        <v>Roof position 3</v>
      </c>
      <c r="G81" s="438" t="str">
        <f>$G$24</f>
        <v>Roof position 4</v>
      </c>
      <c r="H81" s="526" t="str">
        <f>$H$24</f>
        <v>Roof position 5</v>
      </c>
      <c r="I81" s="437" t="str">
        <f>$I$24</f>
        <v>Roof position 1</v>
      </c>
      <c r="J81" s="438" t="str">
        <f>$J$24</f>
        <v>Roof position 2</v>
      </c>
      <c r="K81" s="438" t="str">
        <f>$K$24</f>
        <v>Roof position 3</v>
      </c>
      <c r="L81" s="438" t="str">
        <f>$L$24</f>
        <v>Roof position 4</v>
      </c>
      <c r="M81" s="439" t="str">
        <f>$H$24</f>
        <v>Roof position 5</v>
      </c>
      <c r="N81" s="187"/>
      <c r="O81" s="187"/>
      <c r="P81" s="187"/>
      <c r="Q81" s="187"/>
      <c r="S81"/>
      <c r="V81" s="591"/>
      <c r="W81" s="592"/>
      <c r="X81" s="592" t="str">
        <f>$F$23</f>
        <v>Sliding</v>
      </c>
      <c r="Y81" s="592"/>
      <c r="Z81" s="592"/>
      <c r="AA81" s="591"/>
      <c r="AB81" s="592"/>
      <c r="AC81" s="592" t="str">
        <f>$K$23</f>
        <v>Uplift</v>
      </c>
      <c r="AD81" s="592"/>
      <c r="AE81" s="593"/>
      <c r="AF81" s="591"/>
      <c r="AG81" s="592"/>
      <c r="AH81" s="592" t="str">
        <f>$F$23</f>
        <v>Sliding</v>
      </c>
      <c r="AI81" s="592"/>
      <c r="AJ81" s="592"/>
      <c r="AK81" s="591"/>
      <c r="AL81" s="592"/>
      <c r="AM81" s="592" t="str">
        <f>$K$23</f>
        <v>Uplift</v>
      </c>
      <c r="AN81" s="592"/>
      <c r="AO81" s="593"/>
      <c r="AP81" s="591"/>
      <c r="AQ81" s="592"/>
      <c r="AR81" s="592" t="str">
        <f>$F$23</f>
        <v>Sliding</v>
      </c>
      <c r="AS81" s="592"/>
      <c r="AT81" s="592"/>
      <c r="AU81" s="591"/>
      <c r="AV81" s="592"/>
      <c r="AW81" s="592" t="str">
        <f>$K$23</f>
        <v>Uplift</v>
      </c>
      <c r="AX81" s="592"/>
      <c r="AY81" s="593"/>
      <c r="AZ81" s="591"/>
      <c r="BA81" s="592"/>
      <c r="BB81" s="592" t="str">
        <f>$F$23</f>
        <v>Sliding</v>
      </c>
      <c r="BC81" s="592"/>
      <c r="BD81" s="592"/>
      <c r="BE81" s="591"/>
      <c r="BF81" s="592"/>
      <c r="BG81" s="592" t="str">
        <f>$K$23</f>
        <v>Uplift</v>
      </c>
      <c r="BH81" s="592"/>
      <c r="BI81" s="593"/>
      <c r="BJ81" s="591"/>
      <c r="BK81" s="592"/>
      <c r="BL81" s="592" t="str">
        <f>$F$23</f>
        <v>Sliding</v>
      </c>
      <c r="BM81" s="592"/>
      <c r="BN81" s="592"/>
      <c r="BO81" s="591"/>
      <c r="BP81" s="592"/>
      <c r="BQ81" s="592" t="str">
        <f>$K$23</f>
        <v>Uplift</v>
      </c>
      <c r="BR81" s="592"/>
      <c r="BS81" s="593"/>
    </row>
    <row r="82" spans="2:71" ht="15" customHeight="1" thickBot="1" x14ac:dyDescent="0.3">
      <c r="B82" s="143"/>
      <c r="C82" s="231"/>
      <c r="D82" s="437" t="s">
        <v>66</v>
      </c>
      <c r="E82" s="438" t="s">
        <v>66</v>
      </c>
      <c r="F82" s="438" t="s">
        <v>66</v>
      </c>
      <c r="G82" s="438" t="s">
        <v>66</v>
      </c>
      <c r="H82" s="438" t="s">
        <v>66</v>
      </c>
      <c r="I82" s="437" t="s">
        <v>67</v>
      </c>
      <c r="J82" s="438" t="s">
        <v>67</v>
      </c>
      <c r="K82" s="438" t="s">
        <v>67</v>
      </c>
      <c r="L82" s="438" t="s">
        <v>67</v>
      </c>
      <c r="M82" s="439" t="s">
        <v>67</v>
      </c>
      <c r="N82" s="187"/>
      <c r="O82" s="187"/>
      <c r="P82" s="187"/>
      <c r="Q82" s="187"/>
      <c r="S82"/>
      <c r="T82" s="143"/>
      <c r="U82" s="231"/>
      <c r="V82" s="437" t="str">
        <f>$D$24</f>
        <v>Roof position 1</v>
      </c>
      <c r="W82" s="438" t="str">
        <f>$E$24</f>
        <v>Roof position 2</v>
      </c>
      <c r="X82" s="438" t="str">
        <f>$F$24</f>
        <v>Roof position 3</v>
      </c>
      <c r="Y82" s="438" t="str">
        <f>$G$24</f>
        <v>Roof position 4</v>
      </c>
      <c r="Z82" s="526" t="str">
        <f>$H$24</f>
        <v>Roof position 5</v>
      </c>
      <c r="AA82" s="437" t="str">
        <f>$I$24</f>
        <v>Roof position 1</v>
      </c>
      <c r="AB82" s="438" t="str">
        <f>$J$24</f>
        <v>Roof position 2</v>
      </c>
      <c r="AC82" s="438" t="str">
        <f>$K$24</f>
        <v>Roof position 3</v>
      </c>
      <c r="AD82" s="438" t="str">
        <f>$L$24</f>
        <v>Roof position 4</v>
      </c>
      <c r="AE82" s="439" t="str">
        <f>$H$24</f>
        <v>Roof position 5</v>
      </c>
      <c r="AF82" s="437" t="str">
        <f>$D$24</f>
        <v>Roof position 1</v>
      </c>
      <c r="AG82" s="438" t="str">
        <f>$E$24</f>
        <v>Roof position 2</v>
      </c>
      <c r="AH82" s="438" t="str">
        <f>$F$24</f>
        <v>Roof position 3</v>
      </c>
      <c r="AI82" s="438" t="str">
        <f>$G$24</f>
        <v>Roof position 4</v>
      </c>
      <c r="AJ82" s="526" t="str">
        <f>$H$24</f>
        <v>Roof position 5</v>
      </c>
      <c r="AK82" s="437" t="str">
        <f>$I$24</f>
        <v>Roof position 1</v>
      </c>
      <c r="AL82" s="438" t="str">
        <f>$J$24</f>
        <v>Roof position 2</v>
      </c>
      <c r="AM82" s="438" t="str">
        <f>$K$24</f>
        <v>Roof position 3</v>
      </c>
      <c r="AN82" s="438" t="str">
        <f>$L$24</f>
        <v>Roof position 4</v>
      </c>
      <c r="AO82" s="439" t="str">
        <f>$H$24</f>
        <v>Roof position 5</v>
      </c>
      <c r="AP82" s="437" t="str">
        <f>$D$24</f>
        <v>Roof position 1</v>
      </c>
      <c r="AQ82" s="438" t="str">
        <f>$E$24</f>
        <v>Roof position 2</v>
      </c>
      <c r="AR82" s="438" t="str">
        <f>$F$24</f>
        <v>Roof position 3</v>
      </c>
      <c r="AS82" s="438" t="str">
        <f>$G$24</f>
        <v>Roof position 4</v>
      </c>
      <c r="AT82" s="526" t="str">
        <f>$H$24</f>
        <v>Roof position 5</v>
      </c>
      <c r="AU82" s="437" t="str">
        <f>$I$24</f>
        <v>Roof position 1</v>
      </c>
      <c r="AV82" s="438" t="str">
        <f>$J$24</f>
        <v>Roof position 2</v>
      </c>
      <c r="AW82" s="438" t="str">
        <f>$K$24</f>
        <v>Roof position 3</v>
      </c>
      <c r="AX82" s="438" t="str">
        <f>$L$24</f>
        <v>Roof position 4</v>
      </c>
      <c r="AY82" s="439" t="str">
        <f>$H$24</f>
        <v>Roof position 5</v>
      </c>
      <c r="AZ82" s="437" t="str">
        <f>$D$24</f>
        <v>Roof position 1</v>
      </c>
      <c r="BA82" s="438" t="str">
        <f>$E$24</f>
        <v>Roof position 2</v>
      </c>
      <c r="BB82" s="438" t="str">
        <f>$F$24</f>
        <v>Roof position 3</v>
      </c>
      <c r="BC82" s="438" t="str">
        <f>$G$24</f>
        <v>Roof position 4</v>
      </c>
      <c r="BD82" s="526" t="str">
        <f>$H$24</f>
        <v>Roof position 5</v>
      </c>
      <c r="BE82" s="437" t="str">
        <f>$I$24</f>
        <v>Roof position 1</v>
      </c>
      <c r="BF82" s="438" t="str">
        <f>$J$24</f>
        <v>Roof position 2</v>
      </c>
      <c r="BG82" s="438" t="str">
        <f>$K$24</f>
        <v>Roof position 3</v>
      </c>
      <c r="BH82" s="438" t="str">
        <f>$L$24</f>
        <v>Roof position 4</v>
      </c>
      <c r="BI82" s="439" t="str">
        <f>$H$24</f>
        <v>Roof position 5</v>
      </c>
      <c r="BJ82" s="437" t="str">
        <f>$D$24</f>
        <v>Roof position 1</v>
      </c>
      <c r="BK82" s="438" t="str">
        <f>$E$24</f>
        <v>Roof position 2</v>
      </c>
      <c r="BL82" s="438" t="str">
        <f>$F$24</f>
        <v>Roof position 3</v>
      </c>
      <c r="BM82" s="438" t="str">
        <f>$G$24</f>
        <v>Roof position 4</v>
      </c>
      <c r="BN82" s="526" t="str">
        <f>$H$24</f>
        <v>Roof position 5</v>
      </c>
      <c r="BO82" s="437" t="str">
        <f>$I$24</f>
        <v>Roof position 1</v>
      </c>
      <c r="BP82" s="438" t="str">
        <f>$J$24</f>
        <v>Roof position 2</v>
      </c>
      <c r="BQ82" s="438" t="str">
        <f>$K$24</f>
        <v>Roof position 3</v>
      </c>
      <c r="BR82" s="438" t="str">
        <f>$L$24</f>
        <v>Roof position 4</v>
      </c>
      <c r="BS82" s="439" t="str">
        <f>$H$24</f>
        <v>Roof position 5</v>
      </c>
    </row>
    <row r="83" spans="2:71" ht="15" customHeight="1" x14ac:dyDescent="0.25">
      <c r="B83" s="1722" t="str">
        <f>$B$26</f>
        <v>North row</v>
      </c>
      <c r="C83" s="183" t="str">
        <f>$C$26</f>
        <v>1st-4th module</v>
      </c>
      <c r="D83" s="626">
        <f t="shared" ref="D83:M90" ca="1" si="19">AF83+(AP83-AF83)/(LOG(BJ83)-LOG(AZ83))*(LOG(D55)-LOG(AZ83))</f>
        <v>34.624378829070011</v>
      </c>
      <c r="E83" s="627">
        <f t="shared" ca="1" si="19"/>
        <v>50.153179250823712</v>
      </c>
      <c r="F83" s="627">
        <f t="shared" ca="1" si="19"/>
        <v>24</v>
      </c>
      <c r="G83" s="627">
        <f t="shared" ca="1" si="19"/>
        <v>24</v>
      </c>
      <c r="H83" s="628">
        <f t="shared" ca="1" si="19"/>
        <v>21</v>
      </c>
      <c r="I83" s="626">
        <f t="shared" ca="1" si="19"/>
        <v>44.184512870957633</v>
      </c>
      <c r="J83" s="627">
        <f t="shared" ca="1" si="19"/>
        <v>71.290629596399924</v>
      </c>
      <c r="K83" s="627">
        <f t="shared" ca="1" si="19"/>
        <v>49.141542479016906</v>
      </c>
      <c r="L83" s="627">
        <f t="shared" ca="1" si="19"/>
        <v>51.908432211677848</v>
      </c>
      <c r="M83" s="629">
        <f t="shared" ca="1" si="19"/>
        <v>53.540734799066101</v>
      </c>
      <c r="N83" s="187"/>
      <c r="O83" s="187"/>
      <c r="P83" s="187"/>
      <c r="Q83" s="187"/>
      <c r="S83">
        <v>0</v>
      </c>
      <c r="T83" s="954" t="str">
        <f>$B$26</f>
        <v>North row</v>
      </c>
      <c r="U83" s="183" t="str">
        <f>$C$26</f>
        <v>1st-4th module</v>
      </c>
      <c r="V83" s="189" t="str">
        <f>CONCATENATE(ADDRESS(ROW($C$96)+V$78+$S83,COLUMN($C$96)+V$79,4),":",ADDRESS(ROW($C$96)+V$78+$S83+4,COLUMN($C$96)+V$79,4))</f>
        <v>C96:C100</v>
      </c>
      <c r="W83" s="190" t="str">
        <f t="shared" ref="V83:AE90" si="20">CONCATENATE(ADDRESS(ROW($C$96)+W$78+$S83,COLUMN($C$96)+W$79,4),":",ADDRESS(ROW($C$96)+W$78+$S83+4,COLUMN($C$96)+W$79,4))</f>
        <v>F96:F100</v>
      </c>
      <c r="X83" s="190" t="str">
        <f t="shared" si="20"/>
        <v>I96:I100</v>
      </c>
      <c r="Y83" s="190" t="str">
        <f t="shared" si="20"/>
        <v>L96:L100</v>
      </c>
      <c r="Z83" s="573" t="str">
        <f t="shared" si="20"/>
        <v>O96:O100</v>
      </c>
      <c r="AA83" s="189" t="str">
        <f t="shared" si="20"/>
        <v>C154:C158</v>
      </c>
      <c r="AB83" s="190" t="str">
        <f t="shared" si="20"/>
        <v>F154:F158</v>
      </c>
      <c r="AC83" s="190" t="str">
        <f t="shared" si="20"/>
        <v>I154:I158</v>
      </c>
      <c r="AD83" s="190" t="str">
        <f t="shared" si="20"/>
        <v>L154:L158</v>
      </c>
      <c r="AE83" s="191" t="str">
        <f t="shared" si="20"/>
        <v>O154:O158</v>
      </c>
      <c r="AF83" s="641">
        <f t="shared" ref="AF83:AO90" ca="1" si="21">INDEX(OFFSET(INDIRECT(V83),0,2),MATCH(D55,INDIRECT(V83),1))</f>
        <v>47</v>
      </c>
      <c r="AG83" s="642">
        <f t="shared" ca="1" si="21"/>
        <v>121</v>
      </c>
      <c r="AH83" s="642">
        <f t="shared" ca="1" si="21"/>
        <v>24</v>
      </c>
      <c r="AI83" s="642">
        <f t="shared" ca="1" si="21"/>
        <v>24</v>
      </c>
      <c r="AJ83" s="643">
        <f t="shared" ca="1" si="21"/>
        <v>21</v>
      </c>
      <c r="AK83" s="641">
        <f t="shared" ca="1" si="21"/>
        <v>116</v>
      </c>
      <c r="AL83" s="642">
        <f t="shared" ca="1" si="21"/>
        <v>84</v>
      </c>
      <c r="AM83" s="642">
        <f t="shared" ca="1" si="21"/>
        <v>75</v>
      </c>
      <c r="AN83" s="642">
        <f t="shared" ca="1" si="21"/>
        <v>75</v>
      </c>
      <c r="AO83" s="644">
        <f t="shared" ca="1" si="21"/>
        <v>81</v>
      </c>
      <c r="AP83" s="641">
        <f t="shared" ref="AP83:AY90" ca="1" si="22">INDEX(OFFSET(INDIRECT(V83),0,2),MATCH(D55,INDIRECT(V83),1)+1)</f>
        <v>24</v>
      </c>
      <c r="AQ83" s="642">
        <f t="shared" ca="1" si="22"/>
        <v>28</v>
      </c>
      <c r="AR83" s="642">
        <f t="shared" ca="1" si="22"/>
        <v>24</v>
      </c>
      <c r="AS83" s="642">
        <f t="shared" ca="1" si="22"/>
        <v>24</v>
      </c>
      <c r="AT83" s="643">
        <f t="shared" ca="1" si="22"/>
        <v>21</v>
      </c>
      <c r="AU83" s="641">
        <f t="shared" ca="1" si="22"/>
        <v>29</v>
      </c>
      <c r="AV83" s="642">
        <f t="shared" ca="1" si="22"/>
        <v>15</v>
      </c>
      <c r="AW83" s="642">
        <f t="shared" ca="1" si="22"/>
        <v>9</v>
      </c>
      <c r="AX83" s="642">
        <f t="shared" ca="1" si="22"/>
        <v>9</v>
      </c>
      <c r="AY83" s="644">
        <f t="shared" ca="1" si="22"/>
        <v>9</v>
      </c>
      <c r="AZ83" s="641">
        <f t="shared" ref="AZ83:BI90" ca="1" si="23">INDEX(OFFSET(INDIRECT(V83),0,0),MATCH(D55,INDIRECT(V83),1))</f>
        <v>90</v>
      </c>
      <c r="BA83" s="642">
        <f t="shared" ca="1" si="23"/>
        <v>25</v>
      </c>
      <c r="BB83" s="642">
        <f t="shared" ca="1" si="23"/>
        <v>147</v>
      </c>
      <c r="BC83" s="642">
        <f t="shared" ca="1" si="23"/>
        <v>160</v>
      </c>
      <c r="BD83" s="643">
        <f t="shared" ca="1" si="23"/>
        <v>168</v>
      </c>
      <c r="BE83" s="641">
        <f t="shared" ca="1" si="23"/>
        <v>6</v>
      </c>
      <c r="BF83" s="642">
        <f t="shared" ca="1" si="23"/>
        <v>25</v>
      </c>
      <c r="BG83" s="642">
        <f t="shared" ca="1" si="23"/>
        <v>12.5</v>
      </c>
      <c r="BH83" s="642">
        <f t="shared" ca="1" si="23"/>
        <v>14</v>
      </c>
      <c r="BI83" s="644">
        <f t="shared" ca="1" si="23"/>
        <v>12</v>
      </c>
      <c r="BJ83" s="641">
        <f t="shared" ref="BJ83:BS90" ca="1" si="24">INDEX(OFFSET(INDIRECT(V83),0,0),MATCH(D55,INDIRECT(V83),1)+1)</f>
        <v>872</v>
      </c>
      <c r="BK83" s="642">
        <f t="shared" ca="1" si="24"/>
        <v>470</v>
      </c>
      <c r="BL83" s="642">
        <f t="shared" ca="1" si="24"/>
        <v>10000</v>
      </c>
      <c r="BM83" s="642">
        <f t="shared" ca="1" si="24"/>
        <v>10000</v>
      </c>
      <c r="BN83" s="643">
        <f t="shared" ca="1" si="24"/>
        <v>10000</v>
      </c>
      <c r="BO83" s="641">
        <f t="shared" ca="1" si="24"/>
        <v>90</v>
      </c>
      <c r="BP83" s="642">
        <f t="shared" ca="1" si="24"/>
        <v>470</v>
      </c>
      <c r="BQ83" s="642">
        <f t="shared" ca="1" si="24"/>
        <v>147</v>
      </c>
      <c r="BR83" s="642">
        <f t="shared" ca="1" si="24"/>
        <v>160</v>
      </c>
      <c r="BS83" s="644">
        <f t="shared" ca="1" si="24"/>
        <v>168</v>
      </c>
    </row>
    <row r="84" spans="2:71" ht="15" customHeight="1" thickBot="1" x14ac:dyDescent="0.3">
      <c r="B84" s="1724"/>
      <c r="C84" s="277" t="str">
        <f>$C$27</f>
        <v>Interior modules</v>
      </c>
      <c r="D84" s="630">
        <f t="shared" ca="1" si="19"/>
        <v>31.097740796808427</v>
      </c>
      <c r="E84" s="631">
        <f t="shared" ca="1" si="19"/>
        <v>54.265282724061493</v>
      </c>
      <c r="F84" s="631">
        <f t="shared" ca="1" si="19"/>
        <v>24</v>
      </c>
      <c r="G84" s="631">
        <f t="shared" ca="1" si="19"/>
        <v>24</v>
      </c>
      <c r="H84" s="632">
        <f t="shared" ca="1" si="19"/>
        <v>21</v>
      </c>
      <c r="I84" s="630">
        <f t="shared" ca="1" si="19"/>
        <v>25.722448941467498</v>
      </c>
      <c r="J84" s="631">
        <f t="shared" ca="1" si="19"/>
        <v>84.905935542784178</v>
      </c>
      <c r="K84" s="631">
        <f t="shared" ca="1" si="19"/>
        <v>37.910363288656143</v>
      </c>
      <c r="L84" s="631">
        <f t="shared" ca="1" si="19"/>
        <v>49.998820732332831</v>
      </c>
      <c r="M84" s="633">
        <f t="shared" ca="1" si="19"/>
        <v>54.933912073051737</v>
      </c>
      <c r="N84" s="187"/>
      <c r="O84" s="187"/>
      <c r="P84" s="187"/>
      <c r="Q84" s="187"/>
      <c r="S84">
        <v>7</v>
      </c>
      <c r="T84" s="955"/>
      <c r="U84" s="277" t="str">
        <f>$C$27</f>
        <v>Interior modules</v>
      </c>
      <c r="V84" s="574" t="str">
        <f t="shared" si="20"/>
        <v>C103:C107</v>
      </c>
      <c r="W84" s="575" t="str">
        <f t="shared" si="20"/>
        <v>F103:F107</v>
      </c>
      <c r="X84" s="575" t="str">
        <f t="shared" si="20"/>
        <v>I103:I107</v>
      </c>
      <c r="Y84" s="575" t="str">
        <f t="shared" si="20"/>
        <v>L103:L107</v>
      </c>
      <c r="Z84" s="576" t="str">
        <f t="shared" si="20"/>
        <v>O103:O107</v>
      </c>
      <c r="AA84" s="574" t="str">
        <f t="shared" si="20"/>
        <v>C161:C165</v>
      </c>
      <c r="AB84" s="575" t="str">
        <f t="shared" si="20"/>
        <v>F161:F165</v>
      </c>
      <c r="AC84" s="575" t="str">
        <f t="shared" si="20"/>
        <v>I161:I165</v>
      </c>
      <c r="AD84" s="575" t="str">
        <f t="shared" si="20"/>
        <v>L161:L165</v>
      </c>
      <c r="AE84" s="577" t="str">
        <f t="shared" si="20"/>
        <v>O161:O165</v>
      </c>
      <c r="AF84" s="645">
        <f t="shared" ca="1" si="21"/>
        <v>36</v>
      </c>
      <c r="AG84" s="646">
        <f t="shared" ca="1" si="21"/>
        <v>125</v>
      </c>
      <c r="AH84" s="646">
        <f t="shared" ca="1" si="21"/>
        <v>24</v>
      </c>
      <c r="AI84" s="646">
        <f t="shared" ca="1" si="21"/>
        <v>24</v>
      </c>
      <c r="AJ84" s="647">
        <f t="shared" ca="1" si="21"/>
        <v>21</v>
      </c>
      <c r="AK84" s="645">
        <f t="shared" ca="1" si="21"/>
        <v>38</v>
      </c>
      <c r="AL84" s="646">
        <f t="shared" ca="1" si="21"/>
        <v>87</v>
      </c>
      <c r="AM84" s="646">
        <f t="shared" ca="1" si="21"/>
        <v>61</v>
      </c>
      <c r="AN84" s="646">
        <f t="shared" ca="1" si="21"/>
        <v>73</v>
      </c>
      <c r="AO84" s="648">
        <f t="shared" ca="1" si="21"/>
        <v>81</v>
      </c>
      <c r="AP84" s="645">
        <f t="shared" ca="1" si="22"/>
        <v>24</v>
      </c>
      <c r="AQ84" s="646">
        <f t="shared" ca="1" si="22"/>
        <v>28</v>
      </c>
      <c r="AR84" s="646">
        <f t="shared" ca="1" si="22"/>
        <v>24</v>
      </c>
      <c r="AS84" s="646">
        <f t="shared" ca="1" si="22"/>
        <v>24</v>
      </c>
      <c r="AT84" s="647">
        <f t="shared" ca="1" si="22"/>
        <v>21</v>
      </c>
      <c r="AU84" s="645">
        <f t="shared" ca="1" si="22"/>
        <v>20</v>
      </c>
      <c r="AV84" s="646">
        <f t="shared" ca="1" si="22"/>
        <v>15</v>
      </c>
      <c r="AW84" s="646">
        <f t="shared" ca="1" si="22"/>
        <v>9</v>
      </c>
      <c r="AX84" s="646">
        <f t="shared" ca="1" si="22"/>
        <v>9</v>
      </c>
      <c r="AY84" s="648">
        <f t="shared" ca="1" si="22"/>
        <v>9</v>
      </c>
      <c r="AZ84" s="645">
        <f t="shared" ca="1" si="23"/>
        <v>148</v>
      </c>
      <c r="BA84" s="646">
        <f t="shared" ca="1" si="23"/>
        <v>40</v>
      </c>
      <c r="BB84" s="646">
        <f t="shared" ca="1" si="23"/>
        <v>110</v>
      </c>
      <c r="BC84" s="646">
        <f t="shared" ca="1" si="23"/>
        <v>150</v>
      </c>
      <c r="BD84" s="647">
        <f t="shared" ca="1" si="23"/>
        <v>168</v>
      </c>
      <c r="BE84" s="645">
        <f t="shared" ca="1" si="23"/>
        <v>7</v>
      </c>
      <c r="BF84" s="646">
        <f t="shared" ca="1" si="23"/>
        <v>40</v>
      </c>
      <c r="BG84" s="646">
        <f t="shared" ca="1" si="23"/>
        <v>12.5</v>
      </c>
      <c r="BH84" s="646">
        <f t="shared" ca="1" si="23"/>
        <v>14</v>
      </c>
      <c r="BI84" s="648">
        <f t="shared" ca="1" si="23"/>
        <v>13</v>
      </c>
      <c r="BJ84" s="645">
        <f t="shared" ca="1" si="24"/>
        <v>872</v>
      </c>
      <c r="BK84" s="646">
        <f t="shared" ca="1" si="24"/>
        <v>450</v>
      </c>
      <c r="BL84" s="646">
        <f t="shared" ca="1" si="24"/>
        <v>10000</v>
      </c>
      <c r="BM84" s="646">
        <f t="shared" ca="1" si="24"/>
        <v>10000</v>
      </c>
      <c r="BN84" s="647">
        <f t="shared" ca="1" si="24"/>
        <v>10000</v>
      </c>
      <c r="BO84" s="645">
        <f t="shared" ca="1" si="24"/>
        <v>148</v>
      </c>
      <c r="BP84" s="646">
        <f t="shared" ca="1" si="24"/>
        <v>450</v>
      </c>
      <c r="BQ84" s="646">
        <f t="shared" ca="1" si="24"/>
        <v>110</v>
      </c>
      <c r="BR84" s="646">
        <f t="shared" ca="1" si="24"/>
        <v>150</v>
      </c>
      <c r="BS84" s="648">
        <f t="shared" ca="1" si="24"/>
        <v>168</v>
      </c>
    </row>
    <row r="85" spans="2:71" ht="15" customHeight="1" x14ac:dyDescent="0.25">
      <c r="B85" s="1722" t="str">
        <f>$B$28</f>
        <v>Inner rows, 2nd to 6th row from north</v>
      </c>
      <c r="C85" s="183" t="str">
        <f>$C$26</f>
        <v>1st-4th module</v>
      </c>
      <c r="D85" s="626">
        <f t="shared" ca="1" si="19"/>
        <v>30.832871842033704</v>
      </c>
      <c r="E85" s="627">
        <f t="shared" ca="1" si="19"/>
        <v>40.25858304026346</v>
      </c>
      <c r="F85" s="627">
        <f t="shared" ca="1" si="19"/>
        <v>24</v>
      </c>
      <c r="G85" s="627">
        <f t="shared" ca="1" si="19"/>
        <v>24</v>
      </c>
      <c r="H85" s="628">
        <f t="shared" ca="1" si="19"/>
        <v>21</v>
      </c>
      <c r="I85" s="626">
        <f t="shared" ca="1" si="19"/>
        <v>38.779261445205236</v>
      </c>
      <c r="J85" s="627">
        <f t="shared" ca="1" si="19"/>
        <v>35.177928155471335</v>
      </c>
      <c r="K85" s="627">
        <f t="shared" ca="1" si="19"/>
        <v>19.815654677405341</v>
      </c>
      <c r="L85" s="627">
        <f t="shared" ca="1" si="19"/>
        <v>12.83136507141317</v>
      </c>
      <c r="M85" s="629">
        <f t="shared" ca="1" si="19"/>
        <v>9</v>
      </c>
      <c r="N85" s="187"/>
      <c r="O85" s="187"/>
      <c r="P85" s="187"/>
      <c r="Q85" s="187"/>
      <c r="S85">
        <v>14</v>
      </c>
      <c r="T85" s="954" t="str">
        <f>$B$28</f>
        <v>Inner rows, 2nd to 6th row from north</v>
      </c>
      <c r="U85" s="183" t="str">
        <f>$C$26</f>
        <v>1st-4th module</v>
      </c>
      <c r="V85" s="189" t="str">
        <f t="shared" si="20"/>
        <v>C110:C114</v>
      </c>
      <c r="W85" s="190" t="str">
        <f t="shared" si="20"/>
        <v>F110:F114</v>
      </c>
      <c r="X85" s="190" t="str">
        <f t="shared" si="20"/>
        <v>I110:I114</v>
      </c>
      <c r="Y85" s="190" t="str">
        <f t="shared" si="20"/>
        <v>L110:L114</v>
      </c>
      <c r="Z85" s="573" t="str">
        <f t="shared" si="20"/>
        <v>O110:O114</v>
      </c>
      <c r="AA85" s="189" t="str">
        <f t="shared" si="20"/>
        <v>C168:C172</v>
      </c>
      <c r="AB85" s="190" t="str">
        <f t="shared" si="20"/>
        <v>F168:F172</v>
      </c>
      <c r="AC85" s="190" t="str">
        <f t="shared" si="20"/>
        <v>I168:I172</v>
      </c>
      <c r="AD85" s="190" t="str">
        <f t="shared" si="20"/>
        <v>L168:L172</v>
      </c>
      <c r="AE85" s="191" t="str">
        <f t="shared" si="20"/>
        <v>O168:O172</v>
      </c>
      <c r="AF85" s="641">
        <f t="shared" ca="1" si="21"/>
        <v>40</v>
      </c>
      <c r="AG85" s="642">
        <f t="shared" ca="1" si="21"/>
        <v>75</v>
      </c>
      <c r="AH85" s="642">
        <f t="shared" ca="1" si="21"/>
        <v>24</v>
      </c>
      <c r="AI85" s="642">
        <f t="shared" ca="1" si="21"/>
        <v>24</v>
      </c>
      <c r="AJ85" s="643">
        <f t="shared" ca="1" si="21"/>
        <v>21</v>
      </c>
      <c r="AK85" s="641">
        <f t="shared" ca="1" si="21"/>
        <v>81</v>
      </c>
      <c r="AL85" s="642">
        <f t="shared" ca="1" si="21"/>
        <v>44</v>
      </c>
      <c r="AM85" s="642">
        <f t="shared" ca="1" si="21"/>
        <v>29</v>
      </c>
      <c r="AN85" s="642">
        <f t="shared" ca="1" si="21"/>
        <v>15</v>
      </c>
      <c r="AO85" s="644">
        <f t="shared" ca="1" si="21"/>
        <v>9</v>
      </c>
      <c r="AP85" s="641">
        <f t="shared" ca="1" si="22"/>
        <v>24</v>
      </c>
      <c r="AQ85" s="642">
        <f t="shared" ca="1" si="22"/>
        <v>28</v>
      </c>
      <c r="AR85" s="642">
        <f t="shared" ca="1" si="22"/>
        <v>24</v>
      </c>
      <c r="AS85" s="642">
        <f t="shared" ca="1" si="22"/>
        <v>24</v>
      </c>
      <c r="AT85" s="643">
        <f t="shared" ca="1" si="22"/>
        <v>21</v>
      </c>
      <c r="AU85" s="641">
        <f t="shared" ca="1" si="22"/>
        <v>23</v>
      </c>
      <c r="AV85" s="642">
        <f t="shared" ca="1" si="22"/>
        <v>15</v>
      </c>
      <c r="AW85" s="642">
        <f t="shared" ca="1" si="22"/>
        <v>9</v>
      </c>
      <c r="AX85" s="642">
        <f t="shared" ca="1" si="22"/>
        <v>9</v>
      </c>
      <c r="AY85" s="644">
        <f t="shared" ca="1" si="22"/>
        <v>9</v>
      </c>
      <c r="AZ85" s="641">
        <f t="shared" ca="1" si="23"/>
        <v>140</v>
      </c>
      <c r="BA85" s="642">
        <f t="shared" ca="1" si="23"/>
        <v>15</v>
      </c>
      <c r="BB85" s="642">
        <f t="shared" ca="1" si="23"/>
        <v>95</v>
      </c>
      <c r="BC85" s="642">
        <f t="shared" ca="1" si="23"/>
        <v>148</v>
      </c>
      <c r="BD85" s="643">
        <f t="shared" ca="1" si="23"/>
        <v>15</v>
      </c>
      <c r="BE85" s="641">
        <f t="shared" ca="1" si="23"/>
        <v>13</v>
      </c>
      <c r="BF85" s="642">
        <f t="shared" ca="1" si="23"/>
        <v>15</v>
      </c>
      <c r="BG85" s="642">
        <f t="shared" ca="1" si="23"/>
        <v>28</v>
      </c>
      <c r="BH85" s="642">
        <f t="shared" ca="1" si="23"/>
        <v>14</v>
      </c>
      <c r="BI85" s="644">
        <f t="shared" ca="1" si="23"/>
        <v>15</v>
      </c>
      <c r="BJ85" s="641">
        <f t="shared" ca="1" si="24"/>
        <v>872</v>
      </c>
      <c r="BK85" s="642">
        <f t="shared" ca="1" si="24"/>
        <v>738</v>
      </c>
      <c r="BL85" s="642">
        <f t="shared" ca="1" si="24"/>
        <v>10000</v>
      </c>
      <c r="BM85" s="642">
        <f t="shared" ca="1" si="24"/>
        <v>10000</v>
      </c>
      <c r="BN85" s="643">
        <f t="shared" ca="1" si="24"/>
        <v>10000</v>
      </c>
      <c r="BO85" s="641">
        <f t="shared" ca="1" si="24"/>
        <v>140</v>
      </c>
      <c r="BP85" s="642">
        <f t="shared" ca="1" si="24"/>
        <v>738</v>
      </c>
      <c r="BQ85" s="642">
        <f t="shared" ca="1" si="24"/>
        <v>95</v>
      </c>
      <c r="BR85" s="642">
        <f t="shared" ca="1" si="24"/>
        <v>148</v>
      </c>
      <c r="BS85" s="644">
        <f t="shared" ca="1" si="24"/>
        <v>10000</v>
      </c>
    </row>
    <row r="86" spans="2:71" ht="15" customHeight="1" thickBot="1" x14ac:dyDescent="0.3">
      <c r="B86" s="1724"/>
      <c r="C86" s="278" t="str">
        <f>$C$27</f>
        <v>Interior modules</v>
      </c>
      <c r="D86" s="634">
        <f t="shared" ca="1" si="19"/>
        <v>30.761727915071589</v>
      </c>
      <c r="E86" s="635">
        <f t="shared" ca="1" si="19"/>
        <v>38.817943348273779</v>
      </c>
      <c r="F86" s="635">
        <f t="shared" ca="1" si="19"/>
        <v>24</v>
      </c>
      <c r="G86" s="635">
        <f t="shared" ca="1" si="19"/>
        <v>24</v>
      </c>
      <c r="H86" s="636">
        <f t="shared" ca="1" si="19"/>
        <v>21</v>
      </c>
      <c r="I86" s="634">
        <f t="shared" ca="1" si="19"/>
        <v>20</v>
      </c>
      <c r="J86" s="635">
        <f t="shared" ca="1" si="19"/>
        <v>34.463027809491351</v>
      </c>
      <c r="K86" s="635">
        <f t="shared" ca="1" si="19"/>
        <v>9</v>
      </c>
      <c r="L86" s="635">
        <f t="shared" ca="1" si="19"/>
        <v>10.915682535706585</v>
      </c>
      <c r="M86" s="637">
        <f t="shared" ca="1" si="19"/>
        <v>9</v>
      </c>
      <c r="N86" s="187"/>
      <c r="O86" s="187"/>
      <c r="P86" s="187"/>
      <c r="Q86" s="187"/>
      <c r="S86">
        <v>21</v>
      </c>
      <c r="T86" s="955"/>
      <c r="U86" s="278" t="str">
        <f>$C$27</f>
        <v>Interior modules</v>
      </c>
      <c r="V86" s="578" t="str">
        <f t="shared" si="20"/>
        <v>C117:C121</v>
      </c>
      <c r="W86" s="579" t="str">
        <f t="shared" si="20"/>
        <v>F117:F121</v>
      </c>
      <c r="X86" s="579" t="str">
        <f t="shared" si="20"/>
        <v>I117:I121</v>
      </c>
      <c r="Y86" s="579" t="str">
        <f t="shared" si="20"/>
        <v>L117:L121</v>
      </c>
      <c r="Z86" s="580" t="str">
        <f t="shared" si="20"/>
        <v>O117:O121</v>
      </c>
      <c r="AA86" s="578" t="str">
        <f t="shared" si="20"/>
        <v>C175:C179</v>
      </c>
      <c r="AB86" s="579" t="str">
        <f t="shared" si="20"/>
        <v>F175:F179</v>
      </c>
      <c r="AC86" s="579" t="str">
        <f t="shared" si="20"/>
        <v>I175:I179</v>
      </c>
      <c r="AD86" s="579" t="str">
        <f t="shared" si="20"/>
        <v>L175:L179</v>
      </c>
      <c r="AE86" s="581" t="str">
        <f t="shared" si="20"/>
        <v>O175:O179</v>
      </c>
      <c r="AF86" s="649">
        <f t="shared" ca="1" si="21"/>
        <v>36</v>
      </c>
      <c r="AG86" s="650">
        <f t="shared" ca="1" si="21"/>
        <v>71</v>
      </c>
      <c r="AH86" s="650">
        <f t="shared" ca="1" si="21"/>
        <v>24</v>
      </c>
      <c r="AI86" s="650">
        <f t="shared" ca="1" si="21"/>
        <v>24</v>
      </c>
      <c r="AJ86" s="651">
        <f t="shared" ca="1" si="21"/>
        <v>21</v>
      </c>
      <c r="AK86" s="649">
        <f t="shared" ca="1" si="21"/>
        <v>20</v>
      </c>
      <c r="AL86" s="650">
        <f t="shared" ca="1" si="21"/>
        <v>44</v>
      </c>
      <c r="AM86" s="650">
        <f t="shared" ca="1" si="21"/>
        <v>9</v>
      </c>
      <c r="AN86" s="650">
        <f t="shared" ca="1" si="21"/>
        <v>12</v>
      </c>
      <c r="AO86" s="652">
        <f t="shared" ca="1" si="21"/>
        <v>9</v>
      </c>
      <c r="AP86" s="649">
        <f t="shared" ca="1" si="22"/>
        <v>24</v>
      </c>
      <c r="AQ86" s="650">
        <f t="shared" ca="1" si="22"/>
        <v>28</v>
      </c>
      <c r="AR86" s="650">
        <f t="shared" ca="1" si="22"/>
        <v>24</v>
      </c>
      <c r="AS86" s="650">
        <f t="shared" ca="1" si="22"/>
        <v>24</v>
      </c>
      <c r="AT86" s="651">
        <f t="shared" ca="1" si="22"/>
        <v>21</v>
      </c>
      <c r="AU86" s="649">
        <f t="shared" ca="1" si="22"/>
        <v>20</v>
      </c>
      <c r="AV86" s="650">
        <f t="shared" ca="1" si="22"/>
        <v>15</v>
      </c>
      <c r="AW86" s="650">
        <f t="shared" ca="1" si="22"/>
        <v>9</v>
      </c>
      <c r="AX86" s="650">
        <f t="shared" ca="1" si="22"/>
        <v>9</v>
      </c>
      <c r="AY86" s="652">
        <f t="shared" ca="1" si="22"/>
        <v>9</v>
      </c>
      <c r="AZ86" s="649">
        <f t="shared" ca="1" si="23"/>
        <v>218</v>
      </c>
      <c r="BA86" s="650">
        <f t="shared" ca="1" si="23"/>
        <v>13</v>
      </c>
      <c r="BB86" s="650">
        <f t="shared" ca="1" si="23"/>
        <v>27</v>
      </c>
      <c r="BC86" s="650">
        <f t="shared" ca="1" si="23"/>
        <v>148</v>
      </c>
      <c r="BD86" s="651">
        <f t="shared" ca="1" si="23"/>
        <v>15</v>
      </c>
      <c r="BE86" s="649">
        <f t="shared" ca="1" si="23"/>
        <v>55</v>
      </c>
      <c r="BF86" s="650">
        <f t="shared" ca="1" si="23"/>
        <v>13</v>
      </c>
      <c r="BG86" s="650">
        <f t="shared" ca="1" si="23"/>
        <v>27</v>
      </c>
      <c r="BH86" s="650">
        <f t="shared" ca="1" si="23"/>
        <v>14</v>
      </c>
      <c r="BI86" s="652">
        <f t="shared" ca="1" si="23"/>
        <v>15</v>
      </c>
      <c r="BJ86" s="649">
        <f t="shared" ca="1" si="24"/>
        <v>872</v>
      </c>
      <c r="BK86" s="650">
        <f t="shared" ca="1" si="24"/>
        <v>738</v>
      </c>
      <c r="BL86" s="650">
        <f t="shared" ca="1" si="24"/>
        <v>10000</v>
      </c>
      <c r="BM86" s="650">
        <f t="shared" ca="1" si="24"/>
        <v>10000</v>
      </c>
      <c r="BN86" s="651">
        <f t="shared" ca="1" si="24"/>
        <v>10000</v>
      </c>
      <c r="BO86" s="649">
        <f t="shared" ca="1" si="24"/>
        <v>218</v>
      </c>
      <c r="BP86" s="650">
        <f t="shared" ca="1" si="24"/>
        <v>738</v>
      </c>
      <c r="BQ86" s="650">
        <f t="shared" ca="1" si="24"/>
        <v>10000</v>
      </c>
      <c r="BR86" s="650">
        <f t="shared" ca="1" si="24"/>
        <v>148</v>
      </c>
      <c r="BS86" s="652">
        <f t="shared" ca="1" si="24"/>
        <v>10000</v>
      </c>
    </row>
    <row r="87" spans="2:71" ht="15" customHeight="1" x14ac:dyDescent="0.25">
      <c r="B87" s="1722" t="str">
        <f>$B$30</f>
        <v>Inner rows, from 7th row from north</v>
      </c>
      <c r="C87" s="183" t="str">
        <f>$C$26</f>
        <v>1st-4th module</v>
      </c>
      <c r="D87" s="626">
        <f t="shared" ca="1" si="19"/>
        <v>37.238689193940296</v>
      </c>
      <c r="E87" s="627">
        <f t="shared" ca="1" si="19"/>
        <v>38.123987334307806</v>
      </c>
      <c r="F87" s="627">
        <f t="shared" ca="1" si="19"/>
        <v>24</v>
      </c>
      <c r="G87" s="627">
        <f t="shared" ca="1" si="19"/>
        <v>24</v>
      </c>
      <c r="H87" s="627">
        <f t="shared" ca="1" si="19"/>
        <v>21</v>
      </c>
      <c r="I87" s="626">
        <f t="shared" ca="1" si="19"/>
        <v>57.036554776924554</v>
      </c>
      <c r="J87" s="627">
        <f t="shared" ca="1" si="19"/>
        <v>35.062869804233308</v>
      </c>
      <c r="K87" s="627">
        <f t="shared" ca="1" si="19"/>
        <v>31.909830989315825</v>
      </c>
      <c r="L87" s="627">
        <f t="shared" ca="1" si="19"/>
        <v>19.278860642537808</v>
      </c>
      <c r="M87" s="629">
        <f t="shared" ca="1" si="19"/>
        <v>19.095640502215531</v>
      </c>
      <c r="N87" s="187"/>
      <c r="O87" s="187"/>
      <c r="P87" s="187"/>
      <c r="Q87" s="187"/>
      <c r="S87">
        <v>28</v>
      </c>
      <c r="T87" s="954" t="str">
        <f>$B$30</f>
        <v>Inner rows, from 7th row from north</v>
      </c>
      <c r="U87" s="183" t="str">
        <f>$C$26</f>
        <v>1st-4th module</v>
      </c>
      <c r="V87" s="189" t="str">
        <f t="shared" si="20"/>
        <v>C124:C128</v>
      </c>
      <c r="W87" s="190" t="str">
        <f t="shared" si="20"/>
        <v>F124:F128</v>
      </c>
      <c r="X87" s="190" t="str">
        <f t="shared" si="20"/>
        <v>I124:I128</v>
      </c>
      <c r="Y87" s="190" t="str">
        <f t="shared" si="20"/>
        <v>L124:L128</v>
      </c>
      <c r="Z87" s="190" t="str">
        <f t="shared" si="20"/>
        <v>O124:O128</v>
      </c>
      <c r="AA87" s="189" t="str">
        <f t="shared" si="20"/>
        <v>C182:C186</v>
      </c>
      <c r="AB87" s="190" t="str">
        <f t="shared" si="20"/>
        <v>F182:F186</v>
      </c>
      <c r="AC87" s="190" t="str">
        <f t="shared" si="20"/>
        <v>I182:I186</v>
      </c>
      <c r="AD87" s="190" t="str">
        <f t="shared" si="20"/>
        <v>L182:L186</v>
      </c>
      <c r="AE87" s="191" t="str">
        <f t="shared" si="20"/>
        <v>O182:O186</v>
      </c>
      <c r="AF87" s="641">
        <f t="shared" ca="1" si="21"/>
        <v>55</v>
      </c>
      <c r="AG87" s="642">
        <f t="shared" ca="1" si="21"/>
        <v>63</v>
      </c>
      <c r="AH87" s="642">
        <f t="shared" ca="1" si="21"/>
        <v>24</v>
      </c>
      <c r="AI87" s="642">
        <f t="shared" ca="1" si="21"/>
        <v>24</v>
      </c>
      <c r="AJ87" s="642">
        <f t="shared" ca="1" si="21"/>
        <v>21</v>
      </c>
      <c r="AK87" s="641">
        <f t="shared" ca="1" si="21"/>
        <v>116</v>
      </c>
      <c r="AL87" s="642">
        <f t="shared" ca="1" si="21"/>
        <v>41</v>
      </c>
      <c r="AM87" s="642">
        <f t="shared" ca="1" si="21"/>
        <v>44</v>
      </c>
      <c r="AN87" s="642">
        <f t="shared" ca="1" si="21"/>
        <v>35</v>
      </c>
      <c r="AO87" s="644">
        <f t="shared" ca="1" si="21"/>
        <v>32</v>
      </c>
      <c r="AP87" s="641">
        <f t="shared" ca="1" si="22"/>
        <v>24</v>
      </c>
      <c r="AQ87" s="642">
        <f t="shared" ca="1" si="22"/>
        <v>28</v>
      </c>
      <c r="AR87" s="642">
        <f t="shared" ca="1" si="22"/>
        <v>24</v>
      </c>
      <c r="AS87" s="642">
        <f t="shared" ca="1" si="22"/>
        <v>24</v>
      </c>
      <c r="AT87" s="642">
        <f t="shared" ca="1" si="22"/>
        <v>21</v>
      </c>
      <c r="AU87" s="641">
        <f t="shared" ca="1" si="22"/>
        <v>35</v>
      </c>
      <c r="AV87" s="642">
        <f t="shared" ca="1" si="22"/>
        <v>15</v>
      </c>
      <c r="AW87" s="642">
        <f t="shared" ca="1" si="22"/>
        <v>9</v>
      </c>
      <c r="AX87" s="642">
        <f t="shared" ca="1" si="22"/>
        <v>15</v>
      </c>
      <c r="AY87" s="644">
        <f t="shared" ca="1" si="22"/>
        <v>9</v>
      </c>
      <c r="AZ87" s="641">
        <f t="shared" ca="1" si="23"/>
        <v>140</v>
      </c>
      <c r="BA87" s="642">
        <f t="shared" ca="1" si="23"/>
        <v>22</v>
      </c>
      <c r="BB87" s="642">
        <f t="shared" ca="1" si="23"/>
        <v>147</v>
      </c>
      <c r="BC87" s="642">
        <f t="shared" ca="1" si="23"/>
        <v>77</v>
      </c>
      <c r="BD87" s="642">
        <f t="shared" ca="1" si="23"/>
        <v>110</v>
      </c>
      <c r="BE87" s="641">
        <f t="shared" ca="1" si="23"/>
        <v>13</v>
      </c>
      <c r="BF87" s="642">
        <f t="shared" ca="1" si="23"/>
        <v>22</v>
      </c>
      <c r="BG87" s="642">
        <f t="shared" ca="1" si="23"/>
        <v>27.5</v>
      </c>
      <c r="BH87" s="642">
        <f t="shared" ca="1" si="23"/>
        <v>7</v>
      </c>
      <c r="BI87" s="644">
        <f t="shared" ca="1" si="23"/>
        <v>7</v>
      </c>
      <c r="BJ87" s="641">
        <f t="shared" ca="1" si="24"/>
        <v>872</v>
      </c>
      <c r="BK87" s="642">
        <f t="shared" ca="1" si="24"/>
        <v>738</v>
      </c>
      <c r="BL87" s="642">
        <f t="shared" ca="1" si="24"/>
        <v>10000</v>
      </c>
      <c r="BM87" s="642">
        <f t="shared" ca="1" si="24"/>
        <v>10000</v>
      </c>
      <c r="BN87" s="642">
        <f t="shared" ca="1" si="24"/>
        <v>10000</v>
      </c>
      <c r="BO87" s="641">
        <f t="shared" ca="1" si="24"/>
        <v>140</v>
      </c>
      <c r="BP87" s="642">
        <f t="shared" ca="1" si="24"/>
        <v>738</v>
      </c>
      <c r="BQ87" s="642">
        <f t="shared" ca="1" si="24"/>
        <v>147</v>
      </c>
      <c r="BR87" s="642">
        <f t="shared" ca="1" si="24"/>
        <v>50</v>
      </c>
      <c r="BS87" s="644">
        <f t="shared" ca="1" si="24"/>
        <v>110</v>
      </c>
    </row>
    <row r="88" spans="2:71" ht="15" customHeight="1" thickBot="1" x14ac:dyDescent="0.3">
      <c r="B88" s="1724"/>
      <c r="C88" s="277" t="str">
        <f>$C$27</f>
        <v>Interior modules</v>
      </c>
      <c r="D88" s="638">
        <f t="shared" ca="1" si="19"/>
        <v>30.36599196109087</v>
      </c>
      <c r="E88" s="639">
        <f t="shared" ca="1" si="19"/>
        <v>41.459385111923375</v>
      </c>
      <c r="F88" s="639">
        <f t="shared" ca="1" si="19"/>
        <v>24</v>
      </c>
      <c r="G88" s="639">
        <f t="shared" ca="1" si="19"/>
        <v>24</v>
      </c>
      <c r="H88" s="639">
        <f t="shared" ca="1" si="19"/>
        <v>21</v>
      </c>
      <c r="I88" s="638">
        <f t="shared" ca="1" si="19"/>
        <v>39.488415769913288</v>
      </c>
      <c r="J88" s="639">
        <f t="shared" ca="1" si="19"/>
        <v>49.834563349652264</v>
      </c>
      <c r="K88" s="639">
        <f t="shared" ca="1" si="19"/>
        <v>16.637312204831105</v>
      </c>
      <c r="L88" s="639">
        <f t="shared" ca="1" si="19"/>
        <v>17.894447230718139</v>
      </c>
      <c r="M88" s="640">
        <f t="shared" ca="1" si="19"/>
        <v>19.095640502215531</v>
      </c>
      <c r="N88" s="187"/>
      <c r="O88" s="187"/>
      <c r="P88" s="187"/>
      <c r="Q88" s="187"/>
      <c r="S88">
        <v>35</v>
      </c>
      <c r="T88" s="955"/>
      <c r="U88" s="277" t="str">
        <f>$C$27</f>
        <v>Interior modules</v>
      </c>
      <c r="V88" s="582" t="str">
        <f t="shared" si="20"/>
        <v>C131:C135</v>
      </c>
      <c r="W88" s="583" t="str">
        <f t="shared" si="20"/>
        <v>F131:F135</v>
      </c>
      <c r="X88" s="583" t="str">
        <f t="shared" si="20"/>
        <v>I131:I135</v>
      </c>
      <c r="Y88" s="583" t="str">
        <f t="shared" si="20"/>
        <v>L131:L135</v>
      </c>
      <c r="Z88" s="583" t="str">
        <f t="shared" si="20"/>
        <v>O131:O135</v>
      </c>
      <c r="AA88" s="582" t="str">
        <f t="shared" si="20"/>
        <v>C189:C193</v>
      </c>
      <c r="AB88" s="583" t="str">
        <f t="shared" si="20"/>
        <v>F189:F193</v>
      </c>
      <c r="AC88" s="583" t="str">
        <f t="shared" si="20"/>
        <v>I189:I193</v>
      </c>
      <c r="AD88" s="583" t="str">
        <f t="shared" si="20"/>
        <v>L189:L193</v>
      </c>
      <c r="AE88" s="585" t="str">
        <f t="shared" si="20"/>
        <v>O189:O193</v>
      </c>
      <c r="AF88" s="653">
        <f t="shared" ca="1" si="21"/>
        <v>36</v>
      </c>
      <c r="AG88" s="654">
        <f t="shared" ca="1" si="21"/>
        <v>51</v>
      </c>
      <c r="AH88" s="654">
        <f t="shared" ca="1" si="21"/>
        <v>24</v>
      </c>
      <c r="AI88" s="654">
        <f t="shared" ca="1" si="21"/>
        <v>24</v>
      </c>
      <c r="AJ88" s="654">
        <f t="shared" ca="1" si="21"/>
        <v>21</v>
      </c>
      <c r="AK88" s="653">
        <f t="shared" ca="1" si="21"/>
        <v>55</v>
      </c>
      <c r="AL88" s="654">
        <f t="shared" ca="1" si="21"/>
        <v>90</v>
      </c>
      <c r="AM88" s="654">
        <f t="shared" ca="1" si="21"/>
        <v>26</v>
      </c>
      <c r="AN88" s="654">
        <f t="shared" ca="1" si="21"/>
        <v>32</v>
      </c>
      <c r="AO88" s="655">
        <f t="shared" ca="1" si="21"/>
        <v>32</v>
      </c>
      <c r="AP88" s="653">
        <f t="shared" ca="1" si="22"/>
        <v>24</v>
      </c>
      <c r="AQ88" s="654">
        <f t="shared" ca="1" si="22"/>
        <v>28</v>
      </c>
      <c r="AR88" s="654">
        <f t="shared" ca="1" si="22"/>
        <v>24</v>
      </c>
      <c r="AS88" s="654">
        <f t="shared" ca="1" si="22"/>
        <v>24</v>
      </c>
      <c r="AT88" s="654">
        <f t="shared" ca="1" si="22"/>
        <v>21</v>
      </c>
      <c r="AU88" s="653">
        <f t="shared" ca="1" si="22"/>
        <v>20</v>
      </c>
      <c r="AV88" s="654">
        <f t="shared" ca="1" si="22"/>
        <v>29</v>
      </c>
      <c r="AW88" s="654">
        <f t="shared" ca="1" si="22"/>
        <v>9</v>
      </c>
      <c r="AX88" s="654">
        <f t="shared" ca="1" si="22"/>
        <v>9</v>
      </c>
      <c r="AY88" s="655">
        <f t="shared" ca="1" si="22"/>
        <v>9</v>
      </c>
      <c r="AZ88" s="653">
        <f t="shared" ca="1" si="23"/>
        <v>200</v>
      </c>
      <c r="BA88" s="654">
        <f t="shared" ca="1" si="23"/>
        <v>130</v>
      </c>
      <c r="BB88" s="654">
        <f t="shared" ca="1" si="23"/>
        <v>100</v>
      </c>
      <c r="BC88" s="654">
        <f t="shared" ca="1" si="23"/>
        <v>87</v>
      </c>
      <c r="BD88" s="654">
        <f t="shared" ca="1" si="23"/>
        <v>110</v>
      </c>
      <c r="BE88" s="653">
        <f t="shared" ca="1" si="23"/>
        <v>33</v>
      </c>
      <c r="BF88" s="654">
        <f t="shared" ca="1" si="23"/>
        <v>7.5</v>
      </c>
      <c r="BG88" s="654">
        <f t="shared" ca="1" si="23"/>
        <v>20.5</v>
      </c>
      <c r="BH88" s="654">
        <f t="shared" ca="1" si="23"/>
        <v>7</v>
      </c>
      <c r="BI88" s="655">
        <f t="shared" ca="1" si="23"/>
        <v>7</v>
      </c>
      <c r="BJ88" s="653">
        <f t="shared" ca="1" si="24"/>
        <v>872</v>
      </c>
      <c r="BK88" s="654">
        <f t="shared" ca="1" si="24"/>
        <v>738</v>
      </c>
      <c r="BL88" s="654">
        <f t="shared" ca="1" si="24"/>
        <v>10000</v>
      </c>
      <c r="BM88" s="654">
        <f t="shared" ca="1" si="24"/>
        <v>10000</v>
      </c>
      <c r="BN88" s="654">
        <f t="shared" ca="1" si="24"/>
        <v>10000</v>
      </c>
      <c r="BO88" s="653">
        <f t="shared" ca="1" si="24"/>
        <v>200</v>
      </c>
      <c r="BP88" s="654">
        <f t="shared" ca="1" si="24"/>
        <v>130</v>
      </c>
      <c r="BQ88" s="654">
        <f t="shared" ca="1" si="24"/>
        <v>100</v>
      </c>
      <c r="BR88" s="654">
        <f t="shared" ca="1" si="24"/>
        <v>87</v>
      </c>
      <c r="BS88" s="655">
        <f t="shared" ca="1" si="24"/>
        <v>110</v>
      </c>
    </row>
    <row r="89" spans="2:71" ht="15" customHeight="1" x14ac:dyDescent="0.25">
      <c r="B89" s="1722" t="str">
        <f>$B$32</f>
        <v>South row</v>
      </c>
      <c r="C89" s="183" t="str">
        <f>$C$26</f>
        <v>1st-4th module</v>
      </c>
      <c r="D89" s="626">
        <f t="shared" ca="1" si="19"/>
        <v>31.877238474495691</v>
      </c>
      <c r="E89" s="627">
        <f t="shared" ca="1" si="19"/>
        <v>39.70481948024851</v>
      </c>
      <c r="F89" s="627">
        <f t="shared" ca="1" si="19"/>
        <v>24</v>
      </c>
      <c r="G89" s="627">
        <f t="shared" ca="1" si="19"/>
        <v>24</v>
      </c>
      <c r="H89" s="628">
        <f t="shared" ca="1" si="19"/>
        <v>21</v>
      </c>
      <c r="I89" s="626">
        <f t="shared" ca="1" si="19"/>
        <v>36.66854902680965</v>
      </c>
      <c r="J89" s="627">
        <f t="shared" ca="1" si="19"/>
        <v>26</v>
      </c>
      <c r="K89" s="627">
        <f t="shared" ca="1" si="19"/>
        <v>21.752653998914315</v>
      </c>
      <c r="L89" s="627">
        <f t="shared" ca="1" si="19"/>
        <v>9</v>
      </c>
      <c r="M89" s="629">
        <f t="shared" ca="1" si="19"/>
        <v>9</v>
      </c>
      <c r="N89" s="187"/>
      <c r="O89" s="187"/>
      <c r="P89" s="187"/>
      <c r="Q89" s="187"/>
      <c r="S89">
        <v>42</v>
      </c>
      <c r="T89" s="954" t="str">
        <f>$B$32</f>
        <v>South row</v>
      </c>
      <c r="U89" s="183" t="str">
        <f>$C$26</f>
        <v>1st-4th module</v>
      </c>
      <c r="V89" s="189" t="str">
        <f t="shared" si="20"/>
        <v>C138:C142</v>
      </c>
      <c r="W89" s="190" t="str">
        <f t="shared" si="20"/>
        <v>F138:F142</v>
      </c>
      <c r="X89" s="190" t="str">
        <f t="shared" si="20"/>
        <v>I138:I142</v>
      </c>
      <c r="Y89" s="190" t="str">
        <f t="shared" si="20"/>
        <v>L138:L142</v>
      </c>
      <c r="Z89" s="573" t="str">
        <f t="shared" si="20"/>
        <v>O138:O142</v>
      </c>
      <c r="AA89" s="189" t="str">
        <f t="shared" si="20"/>
        <v>C196:C200</v>
      </c>
      <c r="AB89" s="190" t="str">
        <f t="shared" si="20"/>
        <v>F196:F200</v>
      </c>
      <c r="AC89" s="190" t="str">
        <f t="shared" si="20"/>
        <v>I196:I200</v>
      </c>
      <c r="AD89" s="190" t="str">
        <f t="shared" si="20"/>
        <v>L196:L200</v>
      </c>
      <c r="AE89" s="191" t="str">
        <f t="shared" si="20"/>
        <v>O196:O200</v>
      </c>
      <c r="AF89" s="641">
        <f t="shared" ca="1" si="21"/>
        <v>44</v>
      </c>
      <c r="AG89" s="642">
        <f t="shared" ca="1" si="21"/>
        <v>44</v>
      </c>
      <c r="AH89" s="642">
        <f t="shared" ca="1" si="21"/>
        <v>24</v>
      </c>
      <c r="AI89" s="642">
        <f t="shared" ca="1" si="21"/>
        <v>24</v>
      </c>
      <c r="AJ89" s="643">
        <f t="shared" ca="1" si="21"/>
        <v>21</v>
      </c>
      <c r="AK89" s="641">
        <f t="shared" ca="1" si="21"/>
        <v>75</v>
      </c>
      <c r="AL89" s="642">
        <f t="shared" ca="1" si="21"/>
        <v>26</v>
      </c>
      <c r="AM89" s="642">
        <f t="shared" ca="1" si="21"/>
        <v>35</v>
      </c>
      <c r="AN89" s="642">
        <f t="shared" ca="1" si="21"/>
        <v>9</v>
      </c>
      <c r="AO89" s="644">
        <f t="shared" ca="1" si="21"/>
        <v>9</v>
      </c>
      <c r="AP89" s="641">
        <f t="shared" ca="1" si="22"/>
        <v>24</v>
      </c>
      <c r="AQ89" s="642">
        <f t="shared" ca="1" si="22"/>
        <v>28</v>
      </c>
      <c r="AR89" s="642">
        <f t="shared" ca="1" si="22"/>
        <v>24</v>
      </c>
      <c r="AS89" s="642">
        <f t="shared" ca="1" si="22"/>
        <v>24</v>
      </c>
      <c r="AT89" s="643">
        <f t="shared" ca="1" si="22"/>
        <v>21</v>
      </c>
      <c r="AU89" s="641">
        <f t="shared" ca="1" si="22"/>
        <v>26</v>
      </c>
      <c r="AV89" s="642">
        <f t="shared" ca="1" si="22"/>
        <v>26</v>
      </c>
      <c r="AW89" s="642">
        <f t="shared" ca="1" si="22"/>
        <v>18</v>
      </c>
      <c r="AX89" s="642">
        <f t="shared" ca="1" si="22"/>
        <v>9</v>
      </c>
      <c r="AY89" s="644">
        <f t="shared" ca="1" si="22"/>
        <v>9</v>
      </c>
      <c r="AZ89" s="641">
        <f t="shared" ca="1" si="23"/>
        <v>120</v>
      </c>
      <c r="BA89" s="642">
        <f t="shared" ca="1" si="23"/>
        <v>184</v>
      </c>
      <c r="BB89" s="642">
        <f t="shared" ca="1" si="23"/>
        <v>96</v>
      </c>
      <c r="BC89" s="642">
        <f t="shared" ca="1" si="23"/>
        <v>30</v>
      </c>
      <c r="BD89" s="643">
        <f t="shared" ca="1" si="23"/>
        <v>30</v>
      </c>
      <c r="BE89" s="641">
        <f t="shared" ca="1" si="23"/>
        <v>12.5</v>
      </c>
      <c r="BF89" s="642">
        <f t="shared" ca="1" si="23"/>
        <v>12</v>
      </c>
      <c r="BG89" s="642">
        <f t="shared" ca="1" si="23"/>
        <v>10</v>
      </c>
      <c r="BH89" s="642">
        <f t="shared" ca="1" si="23"/>
        <v>30</v>
      </c>
      <c r="BI89" s="644">
        <f t="shared" ca="1" si="23"/>
        <v>30</v>
      </c>
      <c r="BJ89" s="641">
        <f t="shared" ca="1" si="24"/>
        <v>872</v>
      </c>
      <c r="BK89" s="642">
        <f t="shared" ca="1" si="24"/>
        <v>738</v>
      </c>
      <c r="BL89" s="642">
        <f t="shared" ca="1" si="24"/>
        <v>10000</v>
      </c>
      <c r="BM89" s="642">
        <f t="shared" ca="1" si="24"/>
        <v>10000</v>
      </c>
      <c r="BN89" s="643">
        <f t="shared" ca="1" si="24"/>
        <v>10000</v>
      </c>
      <c r="BO89" s="641">
        <f t="shared" ca="1" si="24"/>
        <v>120</v>
      </c>
      <c r="BP89" s="642">
        <f t="shared" ca="1" si="24"/>
        <v>184</v>
      </c>
      <c r="BQ89" s="642">
        <f t="shared" ca="1" si="24"/>
        <v>77</v>
      </c>
      <c r="BR89" s="642">
        <f t="shared" ca="1" si="24"/>
        <v>10000</v>
      </c>
      <c r="BS89" s="644">
        <f t="shared" ca="1" si="24"/>
        <v>10000</v>
      </c>
    </row>
    <row r="90" spans="2:71" ht="15" customHeight="1" thickBot="1" x14ac:dyDescent="0.3">
      <c r="B90" s="1724"/>
      <c r="C90" s="277" t="str">
        <f>$C$27</f>
        <v>Interior modules</v>
      </c>
      <c r="D90" s="634">
        <f t="shared" ca="1" si="19"/>
        <v>32.791924312699521</v>
      </c>
      <c r="E90" s="635">
        <f t="shared" ca="1" si="19"/>
        <v>39.70481948024851</v>
      </c>
      <c r="F90" s="635">
        <f t="shared" ca="1" si="19"/>
        <v>24</v>
      </c>
      <c r="G90" s="635">
        <f t="shared" ca="1" si="19"/>
        <v>24</v>
      </c>
      <c r="H90" s="636">
        <f t="shared" ca="1" si="19"/>
        <v>21</v>
      </c>
      <c r="I90" s="634">
        <f t="shared" ca="1" si="19"/>
        <v>34.947333441080119</v>
      </c>
      <c r="J90" s="635">
        <f t="shared" ca="1" si="19"/>
        <v>28.722992555233777</v>
      </c>
      <c r="K90" s="635">
        <f t="shared" ca="1" si="19"/>
        <v>11.375079230676089</v>
      </c>
      <c r="L90" s="635">
        <f t="shared" ca="1" si="19"/>
        <v>9</v>
      </c>
      <c r="M90" s="637">
        <f t="shared" ca="1" si="19"/>
        <v>9</v>
      </c>
      <c r="N90" s="187"/>
      <c r="O90" s="187"/>
      <c r="P90" s="187"/>
      <c r="Q90" s="187"/>
      <c r="S90">
        <v>49</v>
      </c>
      <c r="T90" s="955"/>
      <c r="U90" s="277" t="str">
        <f>$C$27</f>
        <v>Interior modules</v>
      </c>
      <c r="V90" s="578" t="str">
        <f t="shared" si="20"/>
        <v>C145:C149</v>
      </c>
      <c r="W90" s="579" t="str">
        <f t="shared" si="20"/>
        <v>F145:F149</v>
      </c>
      <c r="X90" s="579" t="str">
        <f t="shared" si="20"/>
        <v>I145:I149</v>
      </c>
      <c r="Y90" s="579" t="str">
        <f t="shared" si="20"/>
        <v>L145:L149</v>
      </c>
      <c r="Z90" s="580" t="str">
        <f t="shared" si="20"/>
        <v>O145:O149</v>
      </c>
      <c r="AA90" s="578" t="str">
        <f t="shared" si="20"/>
        <v>C203:C207</v>
      </c>
      <c r="AB90" s="579" t="str">
        <f t="shared" si="20"/>
        <v>F203:F207</v>
      </c>
      <c r="AC90" s="579" t="str">
        <f t="shared" si="20"/>
        <v>I203:I207</v>
      </c>
      <c r="AD90" s="579" t="str">
        <f t="shared" si="20"/>
        <v>L203:L207</v>
      </c>
      <c r="AE90" s="581" t="str">
        <f t="shared" si="20"/>
        <v>O203:O207</v>
      </c>
      <c r="AF90" s="649">
        <f t="shared" ca="1" si="21"/>
        <v>44</v>
      </c>
      <c r="AG90" s="650">
        <f t="shared" ca="1" si="21"/>
        <v>44</v>
      </c>
      <c r="AH90" s="650">
        <f t="shared" ca="1" si="21"/>
        <v>24</v>
      </c>
      <c r="AI90" s="650">
        <f t="shared" ca="1" si="21"/>
        <v>24</v>
      </c>
      <c r="AJ90" s="651">
        <f t="shared" ca="1" si="21"/>
        <v>21</v>
      </c>
      <c r="AK90" s="649">
        <f t="shared" ca="1" si="21"/>
        <v>67</v>
      </c>
      <c r="AL90" s="650">
        <f t="shared" ca="1" si="21"/>
        <v>32</v>
      </c>
      <c r="AM90" s="650">
        <f t="shared" ca="1" si="21"/>
        <v>18</v>
      </c>
      <c r="AN90" s="650">
        <f t="shared" ca="1" si="21"/>
        <v>9</v>
      </c>
      <c r="AO90" s="652">
        <f t="shared" ca="1" si="21"/>
        <v>9</v>
      </c>
      <c r="AP90" s="649">
        <f t="shared" ca="1" si="22"/>
        <v>24</v>
      </c>
      <c r="AQ90" s="650">
        <f t="shared" ca="1" si="22"/>
        <v>28</v>
      </c>
      <c r="AR90" s="650">
        <f t="shared" ca="1" si="22"/>
        <v>24</v>
      </c>
      <c r="AS90" s="650">
        <f t="shared" ca="1" si="22"/>
        <v>24</v>
      </c>
      <c r="AT90" s="651">
        <f t="shared" ca="1" si="22"/>
        <v>21</v>
      </c>
      <c r="AU90" s="649">
        <f t="shared" ca="1" si="22"/>
        <v>26</v>
      </c>
      <c r="AV90" s="650">
        <f t="shared" ca="1" si="22"/>
        <v>26</v>
      </c>
      <c r="AW90" s="650">
        <f t="shared" ca="1" si="22"/>
        <v>9</v>
      </c>
      <c r="AX90" s="650">
        <f t="shared" ca="1" si="22"/>
        <v>9</v>
      </c>
      <c r="AY90" s="652">
        <f t="shared" ca="1" si="22"/>
        <v>9</v>
      </c>
      <c r="AZ90" s="649">
        <f t="shared" ca="1" si="23"/>
        <v>147.5</v>
      </c>
      <c r="BA90" s="650">
        <f t="shared" ca="1" si="23"/>
        <v>184</v>
      </c>
      <c r="BB90" s="650">
        <f t="shared" ca="1" si="23"/>
        <v>60</v>
      </c>
      <c r="BC90" s="650">
        <f t="shared" ca="1" si="23"/>
        <v>9</v>
      </c>
      <c r="BD90" s="651">
        <f t="shared" ca="1" si="23"/>
        <v>30</v>
      </c>
      <c r="BE90" s="649">
        <f t="shared" ca="1" si="23"/>
        <v>6</v>
      </c>
      <c r="BF90" s="650">
        <f t="shared" ca="1" si="23"/>
        <v>10</v>
      </c>
      <c r="BG90" s="650">
        <f t="shared" ca="1" si="23"/>
        <v>28</v>
      </c>
      <c r="BH90" s="650">
        <f t="shared" ca="1" si="23"/>
        <v>9</v>
      </c>
      <c r="BI90" s="652">
        <f t="shared" ca="1" si="23"/>
        <v>30</v>
      </c>
      <c r="BJ90" s="649">
        <f t="shared" ca="1" si="24"/>
        <v>872</v>
      </c>
      <c r="BK90" s="650">
        <f t="shared" ca="1" si="24"/>
        <v>738</v>
      </c>
      <c r="BL90" s="650">
        <f t="shared" ca="1" si="24"/>
        <v>10000</v>
      </c>
      <c r="BM90" s="650">
        <f t="shared" ca="1" si="24"/>
        <v>10000</v>
      </c>
      <c r="BN90" s="651">
        <f t="shared" ca="1" si="24"/>
        <v>10000</v>
      </c>
      <c r="BO90" s="649">
        <f t="shared" ca="1" si="24"/>
        <v>147.5</v>
      </c>
      <c r="BP90" s="650">
        <f t="shared" ca="1" si="24"/>
        <v>184</v>
      </c>
      <c r="BQ90" s="650">
        <f t="shared" ca="1" si="24"/>
        <v>60</v>
      </c>
      <c r="BR90" s="650">
        <f t="shared" ca="1" si="24"/>
        <v>10000</v>
      </c>
      <c r="BS90" s="652">
        <f t="shared" ca="1" si="24"/>
        <v>10000</v>
      </c>
    </row>
    <row r="91" spans="2:71" ht="15" customHeight="1" x14ac:dyDescent="0.25">
      <c r="C91" s="231"/>
      <c r="D91" s="187"/>
      <c r="E91" s="187"/>
      <c r="F91" s="187"/>
      <c r="G91" s="187"/>
      <c r="H91" s="187"/>
      <c r="I91" s="187"/>
      <c r="J91" s="187"/>
      <c r="K91" s="187"/>
      <c r="L91" s="187"/>
      <c r="M91" s="187"/>
      <c r="N91" s="187"/>
      <c r="O91" s="187"/>
      <c r="P91" s="187"/>
      <c r="Q91" s="187"/>
      <c r="R91"/>
    </row>
    <row r="92" spans="2:71" ht="15" customHeight="1" thickBot="1" x14ac:dyDescent="0.3">
      <c r="M92" s="121"/>
      <c r="P92"/>
    </row>
    <row r="93" spans="2:71" ht="15" customHeight="1" thickBot="1" x14ac:dyDescent="0.3">
      <c r="B93" s="534" t="str">
        <f>F23</f>
        <v>Sliding</v>
      </c>
      <c r="C93" s="1715" t="str">
        <f>$D$24</f>
        <v>Roof position 1</v>
      </c>
      <c r="D93" s="1728"/>
      <c r="E93" s="1729"/>
      <c r="F93" s="1715" t="str">
        <f>$E$24</f>
        <v>Roof position 2</v>
      </c>
      <c r="G93" s="1728"/>
      <c r="H93" s="1729"/>
      <c r="I93" s="1715" t="str">
        <f>$F$24</f>
        <v>Roof position 3</v>
      </c>
      <c r="J93" s="1728"/>
      <c r="K93" s="1729"/>
      <c r="L93" s="1715" t="str">
        <f>$G$24</f>
        <v>Roof position 4</v>
      </c>
      <c r="M93" s="1728"/>
      <c r="N93" s="1729"/>
      <c r="O93" s="1715" t="str">
        <f>$H$24</f>
        <v>Roof position 5</v>
      </c>
      <c r="P93" s="1728"/>
      <c r="Q93" s="1729"/>
    </row>
    <row r="94" spans="2:71" ht="15" customHeight="1" x14ac:dyDescent="0.25">
      <c r="B94" s="429"/>
      <c r="C94" s="1719" t="str">
        <f>CONCATENATE(B26," - ",C26)</f>
        <v>North row - 1st-4th module</v>
      </c>
      <c r="D94" s="1720"/>
      <c r="E94" s="1721"/>
      <c r="F94" s="1719" t="str">
        <f>$C$94</f>
        <v>North row - 1st-4th module</v>
      </c>
      <c r="G94" s="1720"/>
      <c r="H94" s="1721"/>
      <c r="I94" s="1719" t="str">
        <f>$C$94</f>
        <v>North row - 1st-4th module</v>
      </c>
      <c r="J94" s="1720"/>
      <c r="K94" s="1721"/>
      <c r="L94" s="1719" t="str">
        <f>$C$94</f>
        <v>North row - 1st-4th module</v>
      </c>
      <c r="M94" s="1720"/>
      <c r="N94" s="1721"/>
      <c r="O94" s="1719" t="str">
        <f>$C$94</f>
        <v>North row - 1st-4th module</v>
      </c>
      <c r="P94" s="1720"/>
      <c r="Q94" s="1721"/>
    </row>
    <row r="95" spans="2:71" ht="15" customHeight="1" thickBot="1" x14ac:dyDescent="0.3">
      <c r="B95" s="430"/>
      <c r="C95" s="431" t="s">
        <v>36</v>
      </c>
      <c r="D95" s="527" t="s">
        <v>65</v>
      </c>
      <c r="E95" s="432" t="s">
        <v>70</v>
      </c>
      <c r="F95" s="431" t="str">
        <f>$C$95</f>
        <v>An i</v>
      </c>
      <c r="G95" s="527" t="str">
        <f>$D$95</f>
        <v>cpMS i</v>
      </c>
      <c r="H95" s="432" t="str">
        <f>$E$95</f>
        <v>mS i</v>
      </c>
      <c r="I95" s="431" t="str">
        <f>$C$95</f>
        <v>An i</v>
      </c>
      <c r="J95" s="527" t="str">
        <f>$D$95</f>
        <v>cpMS i</v>
      </c>
      <c r="K95" s="432" t="str">
        <f>$E$95</f>
        <v>mS i</v>
      </c>
      <c r="L95" s="431" t="str">
        <f>$C$95</f>
        <v>An i</v>
      </c>
      <c r="M95" s="527" t="str">
        <f>$D$95</f>
        <v>cpMS i</v>
      </c>
      <c r="N95" s="432" t="str">
        <f>$E$95</f>
        <v>mS i</v>
      </c>
      <c r="O95" s="431" t="str">
        <f>$C$95</f>
        <v>An i</v>
      </c>
      <c r="P95" s="527" t="str">
        <f>$D$95</f>
        <v>cpMS i</v>
      </c>
      <c r="Q95" s="432" t="str">
        <f>$E$95</f>
        <v>mS i</v>
      </c>
    </row>
    <row r="96" spans="2:71" ht="15" customHeight="1" x14ac:dyDescent="0.25">
      <c r="B96" s="433" t="s">
        <v>37</v>
      </c>
      <c r="C96" s="442">
        <v>1</v>
      </c>
      <c r="D96" s="528">
        <v>-0.91</v>
      </c>
      <c r="E96" s="535">
        <v>336</v>
      </c>
      <c r="F96" s="442">
        <v>1</v>
      </c>
      <c r="G96" s="528">
        <v>-1.1100000000000001</v>
      </c>
      <c r="H96" s="535">
        <v>414</v>
      </c>
      <c r="I96" s="442">
        <v>1</v>
      </c>
      <c r="J96" s="528">
        <v>-0.56000000000000005</v>
      </c>
      <c r="K96" s="535">
        <v>199</v>
      </c>
      <c r="L96" s="442">
        <v>1</v>
      </c>
      <c r="M96" s="528">
        <v>-0.63</v>
      </c>
      <c r="N96" s="535">
        <v>227</v>
      </c>
      <c r="O96" s="442">
        <v>1</v>
      </c>
      <c r="P96" s="528">
        <v>-0.56000000000000005</v>
      </c>
      <c r="Q96" s="535">
        <v>199</v>
      </c>
    </row>
    <row r="97" spans="2:17" ht="15" customHeight="1" x14ac:dyDescent="0.25">
      <c r="B97" s="434" t="s">
        <v>38</v>
      </c>
      <c r="C97" s="443">
        <v>6</v>
      </c>
      <c r="D97" s="529">
        <v>-0.47</v>
      </c>
      <c r="E97" s="536">
        <v>164</v>
      </c>
      <c r="F97" s="443">
        <v>6.5</v>
      </c>
      <c r="G97" s="529">
        <v>-0.93</v>
      </c>
      <c r="H97" s="536">
        <v>344</v>
      </c>
      <c r="I97" s="443">
        <v>6.5</v>
      </c>
      <c r="J97" s="529">
        <v>-0.48</v>
      </c>
      <c r="K97" s="536">
        <v>168</v>
      </c>
      <c r="L97" s="443">
        <v>7</v>
      </c>
      <c r="M97" s="529">
        <v>-0.47</v>
      </c>
      <c r="N97" s="536">
        <v>164</v>
      </c>
      <c r="O97" s="443">
        <v>6.5</v>
      </c>
      <c r="P97" s="529">
        <v>-0.5</v>
      </c>
      <c r="Q97" s="536">
        <v>176</v>
      </c>
    </row>
    <row r="98" spans="2:17" ht="15" customHeight="1" x14ac:dyDescent="0.25">
      <c r="B98" s="434" t="s">
        <v>39</v>
      </c>
      <c r="C98" s="443">
        <v>90</v>
      </c>
      <c r="D98" s="529">
        <v>-0.17</v>
      </c>
      <c r="E98" s="536">
        <v>47</v>
      </c>
      <c r="F98" s="443">
        <v>25</v>
      </c>
      <c r="G98" s="529">
        <v>-0.36</v>
      </c>
      <c r="H98" s="536">
        <v>121</v>
      </c>
      <c r="I98" s="443">
        <v>12.5</v>
      </c>
      <c r="J98" s="529">
        <v>-0.33</v>
      </c>
      <c r="K98" s="536">
        <v>110</v>
      </c>
      <c r="L98" s="443">
        <v>14</v>
      </c>
      <c r="M98" s="529">
        <v>-0.33</v>
      </c>
      <c r="N98" s="536">
        <v>110</v>
      </c>
      <c r="O98" s="443">
        <v>12</v>
      </c>
      <c r="P98" s="529">
        <v>-0.35</v>
      </c>
      <c r="Q98" s="536">
        <v>117</v>
      </c>
    </row>
    <row r="99" spans="2:17" ht="15" customHeight="1" x14ac:dyDescent="0.25">
      <c r="B99" s="434" t="s">
        <v>40</v>
      </c>
      <c r="C99" s="443">
        <v>872</v>
      </c>
      <c r="D99" s="529">
        <v>-0.11</v>
      </c>
      <c r="E99" s="536">
        <v>24</v>
      </c>
      <c r="F99" s="443">
        <v>470</v>
      </c>
      <c r="G99" s="529">
        <v>-0.12</v>
      </c>
      <c r="H99" s="536">
        <v>28</v>
      </c>
      <c r="I99" s="443">
        <v>147</v>
      </c>
      <c r="J99" s="529">
        <v>-0.11</v>
      </c>
      <c r="K99" s="536">
        <v>24</v>
      </c>
      <c r="L99" s="443">
        <v>160</v>
      </c>
      <c r="M99" s="529">
        <v>-0.11</v>
      </c>
      <c r="N99" s="536">
        <v>24</v>
      </c>
      <c r="O99" s="443">
        <v>168</v>
      </c>
      <c r="P99" s="529">
        <v>-0.1</v>
      </c>
      <c r="Q99" s="536">
        <v>21</v>
      </c>
    </row>
    <row r="100" spans="2:17" ht="15" customHeight="1" thickBot="1" x14ac:dyDescent="0.3">
      <c r="B100" s="435" t="s">
        <v>64</v>
      </c>
      <c r="C100" s="444">
        <v>10000</v>
      </c>
      <c r="D100" s="530">
        <v>-0.11</v>
      </c>
      <c r="E100" s="537">
        <v>24</v>
      </c>
      <c r="F100" s="444">
        <v>10000</v>
      </c>
      <c r="G100" s="530">
        <v>-0.12</v>
      </c>
      <c r="H100" s="537">
        <v>28</v>
      </c>
      <c r="I100" s="444">
        <v>10000</v>
      </c>
      <c r="J100" s="530">
        <v>-0.11</v>
      </c>
      <c r="K100" s="537">
        <v>24</v>
      </c>
      <c r="L100" s="444">
        <v>10000</v>
      </c>
      <c r="M100" s="530">
        <v>-0.11</v>
      </c>
      <c r="N100" s="537">
        <v>24</v>
      </c>
      <c r="O100" s="444">
        <v>10000</v>
      </c>
      <c r="P100" s="530">
        <v>-0.1</v>
      </c>
      <c r="Q100" s="537">
        <v>21</v>
      </c>
    </row>
    <row r="101" spans="2:17" ht="15" customHeight="1" x14ac:dyDescent="0.25">
      <c r="B101" s="429"/>
      <c r="C101" s="1719" t="str">
        <f>CONCATENATE(B26," - ",C27)</f>
        <v>North row - Interior modules</v>
      </c>
      <c r="D101" s="1720"/>
      <c r="E101" s="1721"/>
      <c r="F101" s="1719" t="str">
        <f>$C$101</f>
        <v>North row - Interior modules</v>
      </c>
      <c r="G101" s="1720"/>
      <c r="H101" s="1721"/>
      <c r="I101" s="1719" t="str">
        <f>$C$101</f>
        <v>North row - Interior modules</v>
      </c>
      <c r="J101" s="1720"/>
      <c r="K101" s="1721"/>
      <c r="L101" s="1719" t="str">
        <f>$C$101</f>
        <v>North row - Interior modules</v>
      </c>
      <c r="M101" s="1720"/>
      <c r="N101" s="1721"/>
      <c r="O101" s="1719" t="str">
        <f>$C$101</f>
        <v>North row - Interior modules</v>
      </c>
      <c r="P101" s="1720"/>
      <c r="Q101" s="1721"/>
    </row>
    <row r="102" spans="2:17" ht="15" customHeight="1" thickBot="1" x14ac:dyDescent="0.3">
      <c r="B102" s="430"/>
      <c r="C102" s="431" t="str">
        <f>$C$95</f>
        <v>An i</v>
      </c>
      <c r="D102" s="527" t="str">
        <f>$D$95</f>
        <v>cpMS i</v>
      </c>
      <c r="E102" s="432" t="str">
        <f>$E$95</f>
        <v>mS i</v>
      </c>
      <c r="F102" s="431" t="str">
        <f>$C$95</f>
        <v>An i</v>
      </c>
      <c r="G102" s="527" t="str">
        <f>$D$95</f>
        <v>cpMS i</v>
      </c>
      <c r="H102" s="432" t="str">
        <f>$E$95</f>
        <v>mS i</v>
      </c>
      <c r="I102" s="431" t="str">
        <f>$C$95</f>
        <v>An i</v>
      </c>
      <c r="J102" s="527" t="str">
        <f>$D$95</f>
        <v>cpMS i</v>
      </c>
      <c r="K102" s="432" t="str">
        <f>$E$95</f>
        <v>mS i</v>
      </c>
      <c r="L102" s="431" t="str">
        <f>$C$95</f>
        <v>An i</v>
      </c>
      <c r="M102" s="527" t="str">
        <f>$D$95</f>
        <v>cpMS i</v>
      </c>
      <c r="N102" s="432" t="str">
        <f>$E$95</f>
        <v>mS i</v>
      </c>
      <c r="O102" s="431" t="str">
        <f>$C$95</f>
        <v>An i</v>
      </c>
      <c r="P102" s="527" t="str">
        <f>$D$95</f>
        <v>cpMS i</v>
      </c>
      <c r="Q102" s="432" t="str">
        <f>$E$95</f>
        <v>mS i</v>
      </c>
    </row>
    <row r="103" spans="2:17" ht="15" customHeight="1" x14ac:dyDescent="0.25">
      <c r="B103" s="433" t="str">
        <f>$B$96</f>
        <v>i = a</v>
      </c>
      <c r="C103" s="442">
        <v>1</v>
      </c>
      <c r="D103" s="528">
        <v>-0.34</v>
      </c>
      <c r="E103" s="535">
        <v>114</v>
      </c>
      <c r="F103" s="442">
        <v>1</v>
      </c>
      <c r="G103" s="528">
        <v>-1.1499999999999999</v>
      </c>
      <c r="H103" s="535">
        <v>430</v>
      </c>
      <c r="I103" s="442">
        <v>1</v>
      </c>
      <c r="J103" s="528">
        <v>-0.47</v>
      </c>
      <c r="K103" s="535">
        <v>164</v>
      </c>
      <c r="L103" s="442">
        <v>1</v>
      </c>
      <c r="M103" s="528">
        <v>-0.52</v>
      </c>
      <c r="N103" s="535">
        <v>184</v>
      </c>
      <c r="O103" s="442">
        <v>1</v>
      </c>
      <c r="P103" s="528">
        <v>-0.55000000000000004</v>
      </c>
      <c r="Q103" s="535">
        <v>195</v>
      </c>
    </row>
    <row r="104" spans="2:17" ht="15" customHeight="1" x14ac:dyDescent="0.25">
      <c r="B104" s="434" t="str">
        <f>$B$97</f>
        <v>i = b</v>
      </c>
      <c r="C104" s="443">
        <v>7</v>
      </c>
      <c r="D104" s="529">
        <v>-0.21</v>
      </c>
      <c r="E104" s="536">
        <v>63</v>
      </c>
      <c r="F104" s="443">
        <v>6</v>
      </c>
      <c r="G104" s="529">
        <v>-0.97</v>
      </c>
      <c r="H104" s="536">
        <v>360</v>
      </c>
      <c r="I104" s="443">
        <v>6.5</v>
      </c>
      <c r="J104" s="529">
        <v>-0.39</v>
      </c>
      <c r="K104" s="536">
        <v>133</v>
      </c>
      <c r="L104" s="443">
        <v>7</v>
      </c>
      <c r="M104" s="529">
        <v>-0.44</v>
      </c>
      <c r="N104" s="536">
        <v>153</v>
      </c>
      <c r="O104" s="443">
        <v>6.5</v>
      </c>
      <c r="P104" s="529">
        <v>-0.49</v>
      </c>
      <c r="Q104" s="536">
        <v>172</v>
      </c>
    </row>
    <row r="105" spans="2:17" ht="15" customHeight="1" x14ac:dyDescent="0.25">
      <c r="B105" s="434" t="str">
        <f>$B$98</f>
        <v>i = c</v>
      </c>
      <c r="C105" s="443">
        <v>148</v>
      </c>
      <c r="D105" s="529">
        <v>-0.14000000000000001</v>
      </c>
      <c r="E105" s="536">
        <v>36</v>
      </c>
      <c r="F105" s="443">
        <v>40</v>
      </c>
      <c r="G105" s="529">
        <v>-0.37</v>
      </c>
      <c r="H105" s="536">
        <v>125</v>
      </c>
      <c r="I105" s="443">
        <v>12.5</v>
      </c>
      <c r="J105" s="529">
        <v>-0.28000000000000003</v>
      </c>
      <c r="K105" s="536">
        <v>90</v>
      </c>
      <c r="L105" s="443">
        <v>14</v>
      </c>
      <c r="M105" s="529">
        <v>-0.31</v>
      </c>
      <c r="N105" s="536">
        <v>102</v>
      </c>
      <c r="O105" s="443">
        <v>13</v>
      </c>
      <c r="P105" s="529">
        <v>-0.35</v>
      </c>
      <c r="Q105" s="536">
        <v>117</v>
      </c>
    </row>
    <row r="106" spans="2:17" ht="15" customHeight="1" x14ac:dyDescent="0.25">
      <c r="B106" s="434" t="str">
        <f>$B$99</f>
        <v>i = d</v>
      </c>
      <c r="C106" s="443">
        <v>872</v>
      </c>
      <c r="D106" s="529">
        <v>-0.11</v>
      </c>
      <c r="E106" s="536">
        <v>24</v>
      </c>
      <c r="F106" s="443">
        <v>450</v>
      </c>
      <c r="G106" s="529">
        <v>-0.12</v>
      </c>
      <c r="H106" s="536">
        <v>28</v>
      </c>
      <c r="I106" s="443">
        <v>110</v>
      </c>
      <c r="J106" s="529">
        <v>-0.11</v>
      </c>
      <c r="K106" s="536">
        <v>24</v>
      </c>
      <c r="L106" s="443">
        <v>150</v>
      </c>
      <c r="M106" s="529">
        <v>-0.11</v>
      </c>
      <c r="N106" s="536">
        <v>24</v>
      </c>
      <c r="O106" s="443">
        <v>168</v>
      </c>
      <c r="P106" s="529">
        <v>-0.1</v>
      </c>
      <c r="Q106" s="536">
        <v>21</v>
      </c>
    </row>
    <row r="107" spans="2:17" ht="15" customHeight="1" thickBot="1" x14ac:dyDescent="0.3">
      <c r="B107" s="435" t="str">
        <f>$B$100</f>
        <v>i = e</v>
      </c>
      <c r="C107" s="444">
        <v>10000</v>
      </c>
      <c r="D107" s="530">
        <v>-0.11</v>
      </c>
      <c r="E107" s="537">
        <v>24</v>
      </c>
      <c r="F107" s="444">
        <v>10000</v>
      </c>
      <c r="G107" s="530">
        <v>-0.12</v>
      </c>
      <c r="H107" s="537">
        <v>28</v>
      </c>
      <c r="I107" s="444">
        <v>10000</v>
      </c>
      <c r="J107" s="530">
        <v>-0.11</v>
      </c>
      <c r="K107" s="537">
        <v>24</v>
      </c>
      <c r="L107" s="444">
        <v>10000</v>
      </c>
      <c r="M107" s="530">
        <v>-0.11</v>
      </c>
      <c r="N107" s="537">
        <v>24</v>
      </c>
      <c r="O107" s="444">
        <v>10000</v>
      </c>
      <c r="P107" s="530">
        <v>-0.1</v>
      </c>
      <c r="Q107" s="537">
        <v>21</v>
      </c>
    </row>
    <row r="108" spans="2:17" ht="30" customHeight="1" x14ac:dyDescent="0.25">
      <c r="B108" s="429"/>
      <c r="C108" s="1725" t="str">
        <f>CONCATENATE(B28," -",CHAR(10),C28)</f>
        <v>Inner rows, 2nd to 6th row from north -
1st-4th module</v>
      </c>
      <c r="D108" s="1726"/>
      <c r="E108" s="1727"/>
      <c r="F108" s="1725" t="str">
        <f>$C$108</f>
        <v>Inner rows, 2nd to 6th row from north -
1st-4th module</v>
      </c>
      <c r="G108" s="1726"/>
      <c r="H108" s="1727"/>
      <c r="I108" s="1725" t="str">
        <f>$C$108</f>
        <v>Inner rows, 2nd to 6th row from north -
1st-4th module</v>
      </c>
      <c r="J108" s="1726"/>
      <c r="K108" s="1727"/>
      <c r="L108" s="1725" t="str">
        <f>$C$108</f>
        <v>Inner rows, 2nd to 6th row from north -
1st-4th module</v>
      </c>
      <c r="M108" s="1726"/>
      <c r="N108" s="1727"/>
      <c r="O108" s="1725" t="str">
        <f>$C$108</f>
        <v>Inner rows, 2nd to 6th row from north -
1st-4th module</v>
      </c>
      <c r="P108" s="1726"/>
      <c r="Q108" s="1727"/>
    </row>
    <row r="109" spans="2:17" ht="15" customHeight="1" thickBot="1" x14ac:dyDescent="0.3">
      <c r="B109" s="430"/>
      <c r="C109" s="431" t="str">
        <f>$C$95</f>
        <v>An i</v>
      </c>
      <c r="D109" s="527" t="str">
        <f>$D$95</f>
        <v>cpMS i</v>
      </c>
      <c r="E109" s="432" t="str">
        <f>$E$95</f>
        <v>mS i</v>
      </c>
      <c r="F109" s="431" t="str">
        <f>$C$95</f>
        <v>An i</v>
      </c>
      <c r="G109" s="527" t="str">
        <f>$D$95</f>
        <v>cpMS i</v>
      </c>
      <c r="H109" s="432" t="str">
        <f>$E$95</f>
        <v>mS i</v>
      </c>
      <c r="I109" s="431" t="str">
        <f>$C$95</f>
        <v>An i</v>
      </c>
      <c r="J109" s="527" t="str">
        <f>$D$95</f>
        <v>cpMS i</v>
      </c>
      <c r="K109" s="432" t="str">
        <f>$E$95</f>
        <v>mS i</v>
      </c>
      <c r="L109" s="431" t="str">
        <f>$C$95</f>
        <v>An i</v>
      </c>
      <c r="M109" s="527" t="str">
        <f>$D$95</f>
        <v>cpMS i</v>
      </c>
      <c r="N109" s="432" t="str">
        <f>$E$95</f>
        <v>mS i</v>
      </c>
      <c r="O109" s="431" t="str">
        <f>$C$95</f>
        <v>An i</v>
      </c>
      <c r="P109" s="527" t="str">
        <f>$D$95</f>
        <v>cpMS i</v>
      </c>
      <c r="Q109" s="432" t="str">
        <f>$E$95</f>
        <v>mS i</v>
      </c>
    </row>
    <row r="110" spans="2:17" ht="15" customHeight="1" x14ac:dyDescent="0.25">
      <c r="B110" s="433" t="str">
        <f>$B$96</f>
        <v>i = a</v>
      </c>
      <c r="C110" s="442">
        <v>1</v>
      </c>
      <c r="D110" s="528">
        <v>-0.92</v>
      </c>
      <c r="E110" s="535">
        <v>340</v>
      </c>
      <c r="F110" s="442">
        <v>1</v>
      </c>
      <c r="G110" s="528">
        <v>-0.48</v>
      </c>
      <c r="H110" s="535">
        <v>168</v>
      </c>
      <c r="I110" s="442">
        <v>1</v>
      </c>
      <c r="J110" s="528">
        <v>-0.32</v>
      </c>
      <c r="K110" s="535">
        <v>106</v>
      </c>
      <c r="L110" s="442">
        <v>1</v>
      </c>
      <c r="M110" s="528">
        <v>-0.28000000000000003</v>
      </c>
      <c r="N110" s="535">
        <v>90</v>
      </c>
      <c r="O110" s="442">
        <v>1</v>
      </c>
      <c r="P110" s="528">
        <v>-0.25</v>
      </c>
      <c r="Q110" s="535">
        <v>78</v>
      </c>
    </row>
    <row r="111" spans="2:17" ht="15" customHeight="1" x14ac:dyDescent="0.25">
      <c r="B111" s="434" t="str">
        <f>$B$97</f>
        <v>i = b</v>
      </c>
      <c r="C111" s="443">
        <v>13</v>
      </c>
      <c r="D111" s="529">
        <v>-0.35</v>
      </c>
      <c r="E111" s="536">
        <v>117</v>
      </c>
      <c r="F111" s="443">
        <v>6</v>
      </c>
      <c r="G111" s="529">
        <v>-0.34</v>
      </c>
      <c r="H111" s="536">
        <v>114</v>
      </c>
      <c r="I111" s="443">
        <v>6</v>
      </c>
      <c r="J111" s="529">
        <v>-0.28000000000000003</v>
      </c>
      <c r="K111" s="536">
        <v>90</v>
      </c>
      <c r="L111" s="443">
        <v>7</v>
      </c>
      <c r="M111" s="529">
        <v>-0.19</v>
      </c>
      <c r="N111" s="536">
        <v>55</v>
      </c>
      <c r="O111" s="443">
        <v>7</v>
      </c>
      <c r="P111" s="529">
        <v>-0.2</v>
      </c>
      <c r="Q111" s="536">
        <v>59</v>
      </c>
    </row>
    <row r="112" spans="2:17" ht="15" customHeight="1" x14ac:dyDescent="0.25">
      <c r="B112" s="434" t="str">
        <f>$B$98</f>
        <v>i = c</v>
      </c>
      <c r="C112" s="443">
        <v>140</v>
      </c>
      <c r="D112" s="529">
        <v>-0.15</v>
      </c>
      <c r="E112" s="536">
        <v>40</v>
      </c>
      <c r="F112" s="443">
        <v>15</v>
      </c>
      <c r="G112" s="529">
        <v>-0.24</v>
      </c>
      <c r="H112" s="536">
        <v>75</v>
      </c>
      <c r="I112" s="443">
        <v>28</v>
      </c>
      <c r="J112" s="529">
        <v>-0.17</v>
      </c>
      <c r="K112" s="536">
        <v>47</v>
      </c>
      <c r="L112" s="443">
        <v>14</v>
      </c>
      <c r="M112" s="529">
        <v>-0.12</v>
      </c>
      <c r="N112" s="536">
        <v>28</v>
      </c>
      <c r="O112" s="443">
        <v>15</v>
      </c>
      <c r="P112" s="529">
        <v>-0.1</v>
      </c>
      <c r="Q112" s="536">
        <v>21</v>
      </c>
    </row>
    <row r="113" spans="2:17" ht="15" customHeight="1" x14ac:dyDescent="0.25">
      <c r="B113" s="434" t="str">
        <f>$B$99</f>
        <v>i = d</v>
      </c>
      <c r="C113" s="443">
        <v>872</v>
      </c>
      <c r="D113" s="529">
        <v>-0.11</v>
      </c>
      <c r="E113" s="536">
        <v>24</v>
      </c>
      <c r="F113" s="443">
        <v>738</v>
      </c>
      <c r="G113" s="529">
        <v>-0.12</v>
      </c>
      <c r="H113" s="536">
        <v>28</v>
      </c>
      <c r="I113" s="443">
        <v>95</v>
      </c>
      <c r="J113" s="529">
        <v>-0.11</v>
      </c>
      <c r="K113" s="536">
        <v>24</v>
      </c>
      <c r="L113" s="443">
        <v>148</v>
      </c>
      <c r="M113" s="529">
        <v>-0.11</v>
      </c>
      <c r="N113" s="536">
        <v>24</v>
      </c>
      <c r="O113" s="443">
        <v>15</v>
      </c>
      <c r="P113" s="529">
        <v>-0.1</v>
      </c>
      <c r="Q113" s="536">
        <v>21</v>
      </c>
    </row>
    <row r="114" spans="2:17" ht="15" customHeight="1" thickBot="1" x14ac:dyDescent="0.3">
      <c r="B114" s="435" t="str">
        <f>$B$100</f>
        <v>i = e</v>
      </c>
      <c r="C114" s="444">
        <v>10000</v>
      </c>
      <c r="D114" s="530">
        <v>-0.11</v>
      </c>
      <c r="E114" s="537">
        <v>24</v>
      </c>
      <c r="F114" s="444">
        <v>10000</v>
      </c>
      <c r="G114" s="530">
        <v>-0.12</v>
      </c>
      <c r="H114" s="537">
        <v>28</v>
      </c>
      <c r="I114" s="444">
        <v>10000</v>
      </c>
      <c r="J114" s="530">
        <v>-0.11</v>
      </c>
      <c r="K114" s="537">
        <v>24</v>
      </c>
      <c r="L114" s="444">
        <v>10000</v>
      </c>
      <c r="M114" s="530">
        <v>-0.11</v>
      </c>
      <c r="N114" s="537">
        <v>24</v>
      </c>
      <c r="O114" s="444">
        <v>10000</v>
      </c>
      <c r="P114" s="530">
        <v>-0.1</v>
      </c>
      <c r="Q114" s="537">
        <v>21</v>
      </c>
    </row>
    <row r="115" spans="2:17" ht="30" customHeight="1" x14ac:dyDescent="0.25">
      <c r="B115" s="429"/>
      <c r="C115" s="1725" t="str">
        <f>CONCATENATE(B28," -",CHAR(10),C29)</f>
        <v>Inner rows, 2nd to 6th row from north -
Interior modules</v>
      </c>
      <c r="D115" s="1726"/>
      <c r="E115" s="1727"/>
      <c r="F115" s="1725" t="str">
        <f>$C$115</f>
        <v>Inner rows, 2nd to 6th row from north -
Interior modules</v>
      </c>
      <c r="G115" s="1726"/>
      <c r="H115" s="1727"/>
      <c r="I115" s="1725" t="str">
        <f>$C$115</f>
        <v>Inner rows, 2nd to 6th row from north -
Interior modules</v>
      </c>
      <c r="J115" s="1726"/>
      <c r="K115" s="1727"/>
      <c r="L115" s="1725" t="str">
        <f>$C$115</f>
        <v>Inner rows, 2nd to 6th row from north -
Interior modules</v>
      </c>
      <c r="M115" s="1726"/>
      <c r="N115" s="1727"/>
      <c r="O115" s="1725" t="str">
        <f>$C$115</f>
        <v>Inner rows, 2nd to 6th row from north -
Interior modules</v>
      </c>
      <c r="P115" s="1726"/>
      <c r="Q115" s="1727"/>
    </row>
    <row r="116" spans="2:17" ht="15" customHeight="1" thickBot="1" x14ac:dyDescent="0.3">
      <c r="B116" s="430"/>
      <c r="C116" s="431" t="str">
        <f>$C$95</f>
        <v>An i</v>
      </c>
      <c r="D116" s="527" t="str">
        <f>$D$95</f>
        <v>cpMS i</v>
      </c>
      <c r="E116" s="432" t="str">
        <f>$E$95</f>
        <v>mS i</v>
      </c>
      <c r="F116" s="431" t="str">
        <f>$C$95</f>
        <v>An i</v>
      </c>
      <c r="G116" s="527" t="str">
        <f>$D$95</f>
        <v>cpMS i</v>
      </c>
      <c r="H116" s="432" t="str">
        <f>$E$95</f>
        <v>mS i</v>
      </c>
      <c r="I116" s="431" t="str">
        <f>$C$95</f>
        <v>An i</v>
      </c>
      <c r="J116" s="527" t="str">
        <f>$D$95</f>
        <v>cpMS i</v>
      </c>
      <c r="K116" s="432" t="str">
        <f>$E$95</f>
        <v>mS i</v>
      </c>
      <c r="L116" s="431" t="str">
        <f>$C$95</f>
        <v>An i</v>
      </c>
      <c r="M116" s="527" t="str">
        <f>$D$95</f>
        <v>cpMS i</v>
      </c>
      <c r="N116" s="432" t="str">
        <f>$E$95</f>
        <v>mS i</v>
      </c>
      <c r="O116" s="431" t="str">
        <f>$C$95</f>
        <v>An i</v>
      </c>
      <c r="P116" s="527" t="str">
        <f>$D$95</f>
        <v>cpMS i</v>
      </c>
      <c r="Q116" s="432" t="str">
        <f>$E$95</f>
        <v>mS i</v>
      </c>
    </row>
    <row r="117" spans="2:17" ht="15" customHeight="1" x14ac:dyDescent="0.25">
      <c r="B117" s="433" t="str">
        <f>$B$96</f>
        <v>i = a</v>
      </c>
      <c r="C117" s="442">
        <v>1</v>
      </c>
      <c r="D117" s="528">
        <v>-0.43</v>
      </c>
      <c r="E117" s="535">
        <v>149</v>
      </c>
      <c r="F117" s="442">
        <v>1</v>
      </c>
      <c r="G117" s="528">
        <v>-0.46</v>
      </c>
      <c r="H117" s="535">
        <v>160</v>
      </c>
      <c r="I117" s="442">
        <v>1</v>
      </c>
      <c r="J117" s="528">
        <v>-0.21</v>
      </c>
      <c r="K117" s="535">
        <v>63</v>
      </c>
      <c r="L117" s="442">
        <v>1</v>
      </c>
      <c r="M117" s="528">
        <v>-0.27</v>
      </c>
      <c r="N117" s="535">
        <v>86</v>
      </c>
      <c r="O117" s="442">
        <v>1</v>
      </c>
      <c r="P117" s="528">
        <v>-0.23</v>
      </c>
      <c r="Q117" s="535">
        <v>71</v>
      </c>
    </row>
    <row r="118" spans="2:17" ht="15" customHeight="1" x14ac:dyDescent="0.25">
      <c r="B118" s="434" t="str">
        <f>$B$97</f>
        <v>i = b</v>
      </c>
      <c r="C118" s="443">
        <v>55</v>
      </c>
      <c r="D118" s="529">
        <v>-0.14000000000000001</v>
      </c>
      <c r="E118" s="536">
        <v>36</v>
      </c>
      <c r="F118" s="443">
        <v>6.5</v>
      </c>
      <c r="G118" s="529">
        <v>-0.4</v>
      </c>
      <c r="H118" s="536">
        <v>137</v>
      </c>
      <c r="I118" s="443">
        <v>5</v>
      </c>
      <c r="J118" s="529">
        <v>-0.19</v>
      </c>
      <c r="K118" s="536">
        <v>55</v>
      </c>
      <c r="L118" s="443">
        <v>7</v>
      </c>
      <c r="M118" s="529">
        <v>-0.2</v>
      </c>
      <c r="N118" s="536">
        <v>59</v>
      </c>
      <c r="O118" s="443">
        <v>7</v>
      </c>
      <c r="P118" s="529">
        <v>-0.21</v>
      </c>
      <c r="Q118" s="536">
        <v>63</v>
      </c>
    </row>
    <row r="119" spans="2:17" ht="15" customHeight="1" x14ac:dyDescent="0.25">
      <c r="B119" s="434" t="str">
        <f>$B$98</f>
        <v>i = c</v>
      </c>
      <c r="C119" s="443">
        <v>218</v>
      </c>
      <c r="D119" s="529">
        <v>-0.14000000000000001</v>
      </c>
      <c r="E119" s="536">
        <v>36</v>
      </c>
      <c r="F119" s="443">
        <v>13</v>
      </c>
      <c r="G119" s="529">
        <v>-0.23</v>
      </c>
      <c r="H119" s="536">
        <v>71</v>
      </c>
      <c r="I119" s="443">
        <v>10</v>
      </c>
      <c r="J119" s="529">
        <v>-0.17</v>
      </c>
      <c r="K119" s="536">
        <v>47</v>
      </c>
      <c r="L119" s="443">
        <v>14</v>
      </c>
      <c r="M119" s="529">
        <v>-0.11</v>
      </c>
      <c r="N119" s="536">
        <v>24</v>
      </c>
      <c r="O119" s="443">
        <v>15</v>
      </c>
      <c r="P119" s="529">
        <v>-0.1</v>
      </c>
      <c r="Q119" s="536">
        <v>21</v>
      </c>
    </row>
    <row r="120" spans="2:17" ht="15" customHeight="1" x14ac:dyDescent="0.25">
      <c r="B120" s="434" t="str">
        <f>$B$99</f>
        <v>i = d</v>
      </c>
      <c r="C120" s="443">
        <v>872</v>
      </c>
      <c r="D120" s="529">
        <v>-0.11</v>
      </c>
      <c r="E120" s="536">
        <v>24</v>
      </c>
      <c r="F120" s="443">
        <v>738</v>
      </c>
      <c r="G120" s="529">
        <v>-0.12</v>
      </c>
      <c r="H120" s="536">
        <v>28</v>
      </c>
      <c r="I120" s="443">
        <v>27</v>
      </c>
      <c r="J120" s="529">
        <v>-0.11</v>
      </c>
      <c r="K120" s="536">
        <v>24</v>
      </c>
      <c r="L120" s="443">
        <v>148</v>
      </c>
      <c r="M120" s="529">
        <v>-0.11</v>
      </c>
      <c r="N120" s="536">
        <v>24</v>
      </c>
      <c r="O120" s="443">
        <v>15</v>
      </c>
      <c r="P120" s="529">
        <v>-0.1</v>
      </c>
      <c r="Q120" s="536">
        <v>21</v>
      </c>
    </row>
    <row r="121" spans="2:17" ht="15" customHeight="1" thickBot="1" x14ac:dyDescent="0.3">
      <c r="B121" s="435" t="str">
        <f>$B$100</f>
        <v>i = e</v>
      </c>
      <c r="C121" s="444">
        <v>10000</v>
      </c>
      <c r="D121" s="530">
        <v>-0.11</v>
      </c>
      <c r="E121" s="537">
        <v>24</v>
      </c>
      <c r="F121" s="444">
        <v>10000</v>
      </c>
      <c r="G121" s="530">
        <v>-0.12</v>
      </c>
      <c r="H121" s="537">
        <v>28</v>
      </c>
      <c r="I121" s="444">
        <v>10000</v>
      </c>
      <c r="J121" s="530">
        <v>-0.11</v>
      </c>
      <c r="K121" s="537">
        <v>24</v>
      </c>
      <c r="L121" s="444">
        <v>10000</v>
      </c>
      <c r="M121" s="530">
        <v>-0.11</v>
      </c>
      <c r="N121" s="537">
        <v>24</v>
      </c>
      <c r="O121" s="444">
        <v>10000</v>
      </c>
      <c r="P121" s="530">
        <v>-0.1</v>
      </c>
      <c r="Q121" s="537">
        <v>21</v>
      </c>
    </row>
    <row r="122" spans="2:17" ht="30" customHeight="1" x14ac:dyDescent="0.25">
      <c r="B122" s="429"/>
      <c r="C122" s="1725" t="str">
        <f>CONCATENATE(B30," -",CHAR(10),C30)</f>
        <v>Inner rows, from 7th row from north -
1st-4th module</v>
      </c>
      <c r="D122" s="1726"/>
      <c r="E122" s="1727"/>
      <c r="F122" s="1725" t="str">
        <f>$C$122</f>
        <v>Inner rows, from 7th row from north -
1st-4th module</v>
      </c>
      <c r="G122" s="1726"/>
      <c r="H122" s="1727"/>
      <c r="I122" s="1725" t="str">
        <f>$C$122</f>
        <v>Inner rows, from 7th row from north -
1st-4th module</v>
      </c>
      <c r="J122" s="1726"/>
      <c r="K122" s="1727"/>
      <c r="L122" s="1725" t="str">
        <f>$C$122</f>
        <v>Inner rows, from 7th row from north -
1st-4th module</v>
      </c>
      <c r="M122" s="1726"/>
      <c r="N122" s="1727"/>
      <c r="O122" s="1725" t="str">
        <f>$C$122</f>
        <v>Inner rows, from 7th row from north -
1st-4th module</v>
      </c>
      <c r="P122" s="1726"/>
      <c r="Q122" s="1727"/>
    </row>
    <row r="123" spans="2:17" ht="15" customHeight="1" thickBot="1" x14ac:dyDescent="0.3">
      <c r="B123" s="430"/>
      <c r="C123" s="431" t="str">
        <f>$C$95</f>
        <v>An i</v>
      </c>
      <c r="D123" s="527" t="str">
        <f>$D$95</f>
        <v>cpMS i</v>
      </c>
      <c r="E123" s="432" t="str">
        <f>$E$95</f>
        <v>mS i</v>
      </c>
      <c r="F123" s="431" t="str">
        <f>$C$95</f>
        <v>An i</v>
      </c>
      <c r="G123" s="527" t="str">
        <f>$D$95</f>
        <v>cpMS i</v>
      </c>
      <c r="H123" s="432" t="str">
        <f>$E$95</f>
        <v>mS i</v>
      </c>
      <c r="I123" s="431" t="str">
        <f>$C$95</f>
        <v>An i</v>
      </c>
      <c r="J123" s="527" t="str">
        <f>$D$95</f>
        <v>cpMS i</v>
      </c>
      <c r="K123" s="432" t="str">
        <f>$E$95</f>
        <v>mS i</v>
      </c>
      <c r="L123" s="431" t="str">
        <f>$C$95</f>
        <v>An i</v>
      </c>
      <c r="M123" s="527" t="str">
        <f>$D$95</f>
        <v>cpMS i</v>
      </c>
      <c r="N123" s="432" t="str">
        <f>$E$95</f>
        <v>mS i</v>
      </c>
      <c r="O123" s="431" t="str">
        <f>$C$95</f>
        <v>An i</v>
      </c>
      <c r="P123" s="527" t="str">
        <f>$D$95</f>
        <v>cpMS i</v>
      </c>
      <c r="Q123" s="432" t="str">
        <f>$E$95</f>
        <v>mS i</v>
      </c>
    </row>
    <row r="124" spans="2:17" ht="15" customHeight="1" x14ac:dyDescent="0.25">
      <c r="B124" s="433" t="str">
        <f>$B$96</f>
        <v>i = a</v>
      </c>
      <c r="C124" s="442">
        <v>1</v>
      </c>
      <c r="D124" s="528">
        <v>-1.07</v>
      </c>
      <c r="E124" s="535">
        <v>399</v>
      </c>
      <c r="F124" s="442">
        <v>1</v>
      </c>
      <c r="G124" s="528">
        <v>-0.4</v>
      </c>
      <c r="H124" s="535">
        <v>137</v>
      </c>
      <c r="I124" s="442">
        <v>1</v>
      </c>
      <c r="J124" s="528">
        <v>-0.4</v>
      </c>
      <c r="K124" s="535">
        <v>137</v>
      </c>
      <c r="L124" s="442">
        <v>1</v>
      </c>
      <c r="M124" s="528">
        <v>-0.27</v>
      </c>
      <c r="N124" s="535">
        <v>86</v>
      </c>
      <c r="O124" s="442">
        <v>1</v>
      </c>
      <c r="P124" s="528">
        <v>-0.22</v>
      </c>
      <c r="Q124" s="535">
        <v>67</v>
      </c>
    </row>
    <row r="125" spans="2:17" ht="15" customHeight="1" x14ac:dyDescent="0.25">
      <c r="B125" s="434" t="str">
        <f>$B$97</f>
        <v>i = b</v>
      </c>
      <c r="C125" s="443">
        <v>13</v>
      </c>
      <c r="D125" s="529">
        <v>-0.47</v>
      </c>
      <c r="E125" s="536">
        <v>164</v>
      </c>
      <c r="F125" s="443">
        <v>15</v>
      </c>
      <c r="G125" s="529">
        <v>-0.27</v>
      </c>
      <c r="H125" s="536">
        <v>86</v>
      </c>
      <c r="I125" s="443">
        <v>12.5</v>
      </c>
      <c r="J125" s="529">
        <v>-0.27</v>
      </c>
      <c r="K125" s="536">
        <v>86</v>
      </c>
      <c r="L125" s="443">
        <v>7</v>
      </c>
      <c r="M125" s="529">
        <v>-0.19</v>
      </c>
      <c r="N125" s="536">
        <v>55</v>
      </c>
      <c r="O125" s="443">
        <v>7</v>
      </c>
      <c r="P125" s="529">
        <v>-0.18</v>
      </c>
      <c r="Q125" s="536">
        <v>51</v>
      </c>
    </row>
    <row r="126" spans="2:17" ht="15" customHeight="1" x14ac:dyDescent="0.25">
      <c r="B126" s="434" t="str">
        <f>$B$98</f>
        <v>i = c</v>
      </c>
      <c r="C126" s="443">
        <v>140</v>
      </c>
      <c r="D126" s="529">
        <v>-0.19</v>
      </c>
      <c r="E126" s="536">
        <v>55</v>
      </c>
      <c r="F126" s="443">
        <v>22</v>
      </c>
      <c r="G126" s="529">
        <v>-0.21</v>
      </c>
      <c r="H126" s="536">
        <v>63</v>
      </c>
      <c r="I126" s="443">
        <v>27.5</v>
      </c>
      <c r="J126" s="529">
        <v>-0.22</v>
      </c>
      <c r="K126" s="536">
        <v>67</v>
      </c>
      <c r="L126" s="443">
        <v>50</v>
      </c>
      <c r="M126" s="529">
        <v>-0.12</v>
      </c>
      <c r="N126" s="536">
        <v>28</v>
      </c>
      <c r="O126" s="443">
        <v>110</v>
      </c>
      <c r="P126" s="529">
        <v>-0.1</v>
      </c>
      <c r="Q126" s="536">
        <v>21</v>
      </c>
    </row>
    <row r="127" spans="2:17" ht="15" customHeight="1" x14ac:dyDescent="0.25">
      <c r="B127" s="434" t="str">
        <f>$B$99</f>
        <v>i = d</v>
      </c>
      <c r="C127" s="443">
        <v>872</v>
      </c>
      <c r="D127" s="529">
        <v>-0.11</v>
      </c>
      <c r="E127" s="536">
        <v>24</v>
      </c>
      <c r="F127" s="443">
        <v>738</v>
      </c>
      <c r="G127" s="529">
        <v>-0.12</v>
      </c>
      <c r="H127" s="536">
        <v>28</v>
      </c>
      <c r="I127" s="443">
        <v>147</v>
      </c>
      <c r="J127" s="529">
        <v>-0.11</v>
      </c>
      <c r="K127" s="536">
        <v>24</v>
      </c>
      <c r="L127" s="443">
        <v>77</v>
      </c>
      <c r="M127" s="529">
        <v>-0.11</v>
      </c>
      <c r="N127" s="536">
        <v>24</v>
      </c>
      <c r="O127" s="443">
        <v>110</v>
      </c>
      <c r="P127" s="529">
        <v>-0.1</v>
      </c>
      <c r="Q127" s="536">
        <v>21</v>
      </c>
    </row>
    <row r="128" spans="2:17" ht="15" customHeight="1" thickBot="1" x14ac:dyDescent="0.3">
      <c r="B128" s="435" t="str">
        <f>$B$100</f>
        <v>i = e</v>
      </c>
      <c r="C128" s="444">
        <v>10000</v>
      </c>
      <c r="D128" s="530">
        <v>-0.11</v>
      </c>
      <c r="E128" s="537">
        <v>24</v>
      </c>
      <c r="F128" s="444">
        <v>10000</v>
      </c>
      <c r="G128" s="530">
        <v>-0.12</v>
      </c>
      <c r="H128" s="537">
        <v>28</v>
      </c>
      <c r="I128" s="444">
        <v>10000</v>
      </c>
      <c r="J128" s="530">
        <v>-0.11</v>
      </c>
      <c r="K128" s="537">
        <v>24</v>
      </c>
      <c r="L128" s="444">
        <v>10000</v>
      </c>
      <c r="M128" s="530">
        <v>-0.11</v>
      </c>
      <c r="N128" s="537">
        <v>24</v>
      </c>
      <c r="O128" s="444">
        <v>10000</v>
      </c>
      <c r="P128" s="530">
        <v>-0.1</v>
      </c>
      <c r="Q128" s="537">
        <v>21</v>
      </c>
    </row>
    <row r="129" spans="2:17" ht="30" customHeight="1" x14ac:dyDescent="0.25">
      <c r="B129" s="429"/>
      <c r="C129" s="1725" t="str">
        <f>CONCATENATE(B30," -",CHAR(10),C31)</f>
        <v>Inner rows, from 7th row from north -
Interior modules</v>
      </c>
      <c r="D129" s="1726"/>
      <c r="E129" s="1727"/>
      <c r="F129" s="1725" t="str">
        <f>$C$129</f>
        <v>Inner rows, from 7th row from north -
Interior modules</v>
      </c>
      <c r="G129" s="1726"/>
      <c r="H129" s="1727"/>
      <c r="I129" s="1725" t="str">
        <f>$C$129</f>
        <v>Inner rows, from 7th row from north -
Interior modules</v>
      </c>
      <c r="J129" s="1726"/>
      <c r="K129" s="1727"/>
      <c r="L129" s="1725" t="str">
        <f>$C$129</f>
        <v>Inner rows, from 7th row from north -
Interior modules</v>
      </c>
      <c r="M129" s="1726"/>
      <c r="N129" s="1727"/>
      <c r="O129" s="1725" t="str">
        <f>$C$129</f>
        <v>Inner rows, from 7th row from north -
Interior modules</v>
      </c>
      <c r="P129" s="1726"/>
      <c r="Q129" s="1727"/>
    </row>
    <row r="130" spans="2:17" ht="15" customHeight="1" thickBot="1" x14ac:dyDescent="0.3">
      <c r="B130" s="430"/>
      <c r="C130" s="431" t="str">
        <f>$C$95</f>
        <v>An i</v>
      </c>
      <c r="D130" s="527" t="str">
        <f>$D$95</f>
        <v>cpMS i</v>
      </c>
      <c r="E130" s="432" t="str">
        <f>$E$95</f>
        <v>mS i</v>
      </c>
      <c r="F130" s="431" t="str">
        <f>$C$95</f>
        <v>An i</v>
      </c>
      <c r="G130" s="527" t="str">
        <f>$D$95</f>
        <v>cpMS i</v>
      </c>
      <c r="H130" s="432" t="str">
        <f>$E$95</f>
        <v>mS i</v>
      </c>
      <c r="I130" s="431" t="str">
        <f>$C$95</f>
        <v>An i</v>
      </c>
      <c r="J130" s="527" t="str">
        <f>$D$95</f>
        <v>cpMS i</v>
      </c>
      <c r="K130" s="432" t="str">
        <f>$E$95</f>
        <v>mS i</v>
      </c>
      <c r="L130" s="431" t="str">
        <f>$C$95</f>
        <v>An i</v>
      </c>
      <c r="M130" s="527" t="str">
        <f>$D$95</f>
        <v>cpMS i</v>
      </c>
      <c r="N130" s="432" t="str">
        <f>$E$95</f>
        <v>mS i</v>
      </c>
      <c r="O130" s="431" t="str">
        <f>$C$95</f>
        <v>An i</v>
      </c>
      <c r="P130" s="527" t="str">
        <f>$D$95</f>
        <v>cpMS i</v>
      </c>
      <c r="Q130" s="432" t="str">
        <f>$E$95</f>
        <v>mS i</v>
      </c>
    </row>
    <row r="131" spans="2:17" ht="15" customHeight="1" x14ac:dyDescent="0.25">
      <c r="B131" s="433" t="str">
        <f>$B$96</f>
        <v>i = a</v>
      </c>
      <c r="C131" s="442">
        <v>1</v>
      </c>
      <c r="D131" s="528">
        <v>-0.66</v>
      </c>
      <c r="E131" s="535">
        <v>238</v>
      </c>
      <c r="F131" s="442">
        <v>1</v>
      </c>
      <c r="G131" s="528">
        <v>-0.48</v>
      </c>
      <c r="H131" s="535">
        <v>168</v>
      </c>
      <c r="I131" s="442">
        <v>1</v>
      </c>
      <c r="J131" s="528">
        <v>-0.26</v>
      </c>
      <c r="K131" s="535">
        <v>82</v>
      </c>
      <c r="L131" s="442">
        <v>1</v>
      </c>
      <c r="M131" s="528">
        <v>-0.24</v>
      </c>
      <c r="N131" s="535">
        <v>75</v>
      </c>
      <c r="O131" s="442">
        <v>1</v>
      </c>
      <c r="P131" s="528">
        <v>-0.22</v>
      </c>
      <c r="Q131" s="535">
        <v>67</v>
      </c>
    </row>
    <row r="132" spans="2:17" ht="15" customHeight="1" x14ac:dyDescent="0.25">
      <c r="B132" s="434" t="str">
        <f>$B$97</f>
        <v>i = b</v>
      </c>
      <c r="C132" s="443">
        <v>33</v>
      </c>
      <c r="D132" s="529">
        <v>-0.26</v>
      </c>
      <c r="E132" s="536">
        <v>82</v>
      </c>
      <c r="F132" s="443">
        <v>7.5</v>
      </c>
      <c r="G132" s="529">
        <v>-0.36</v>
      </c>
      <c r="H132" s="536">
        <v>121</v>
      </c>
      <c r="I132" s="443">
        <v>6</v>
      </c>
      <c r="J132" s="529">
        <v>-0.18</v>
      </c>
      <c r="K132" s="536">
        <v>51</v>
      </c>
      <c r="L132" s="443">
        <v>7</v>
      </c>
      <c r="M132" s="529">
        <v>-0.18</v>
      </c>
      <c r="N132" s="536">
        <v>51</v>
      </c>
      <c r="O132" s="443">
        <v>7</v>
      </c>
      <c r="P132" s="529">
        <v>-0.18</v>
      </c>
      <c r="Q132" s="536">
        <v>51</v>
      </c>
    </row>
    <row r="133" spans="2:17" ht="15" customHeight="1" x14ac:dyDescent="0.25">
      <c r="B133" s="434" t="str">
        <f>$B$98</f>
        <v>i = c</v>
      </c>
      <c r="C133" s="443">
        <v>200</v>
      </c>
      <c r="D133" s="529">
        <v>-0.14000000000000001</v>
      </c>
      <c r="E133" s="536">
        <v>36</v>
      </c>
      <c r="F133" s="443">
        <v>130</v>
      </c>
      <c r="G133" s="529">
        <v>-0.18</v>
      </c>
      <c r="H133" s="536">
        <v>51</v>
      </c>
      <c r="I133" s="443">
        <v>20.5</v>
      </c>
      <c r="J133" s="529">
        <v>-0.16</v>
      </c>
      <c r="K133" s="536">
        <v>44</v>
      </c>
      <c r="L133" s="443">
        <v>87</v>
      </c>
      <c r="M133" s="529">
        <v>-0.11</v>
      </c>
      <c r="N133" s="536">
        <v>24</v>
      </c>
      <c r="O133" s="443">
        <v>110</v>
      </c>
      <c r="P133" s="529">
        <v>-0.1</v>
      </c>
      <c r="Q133" s="536">
        <v>21</v>
      </c>
    </row>
    <row r="134" spans="2:17" ht="15" customHeight="1" x14ac:dyDescent="0.25">
      <c r="B134" s="434" t="str">
        <f>$B$99</f>
        <v>i = d</v>
      </c>
      <c r="C134" s="443">
        <v>872</v>
      </c>
      <c r="D134" s="529">
        <v>-0.11</v>
      </c>
      <c r="E134" s="536">
        <v>24</v>
      </c>
      <c r="F134" s="443">
        <v>738</v>
      </c>
      <c r="G134" s="529">
        <v>-0.12</v>
      </c>
      <c r="H134" s="536">
        <v>28</v>
      </c>
      <c r="I134" s="443">
        <v>100</v>
      </c>
      <c r="J134" s="529">
        <v>-0.11</v>
      </c>
      <c r="K134" s="536">
        <v>24</v>
      </c>
      <c r="L134" s="443">
        <v>87</v>
      </c>
      <c r="M134" s="529">
        <v>-0.11</v>
      </c>
      <c r="N134" s="536">
        <v>24</v>
      </c>
      <c r="O134" s="443">
        <v>110</v>
      </c>
      <c r="P134" s="529">
        <v>-0.1</v>
      </c>
      <c r="Q134" s="536">
        <v>21</v>
      </c>
    </row>
    <row r="135" spans="2:17" ht="15" customHeight="1" thickBot="1" x14ac:dyDescent="0.3">
      <c r="B135" s="435" t="str">
        <f>$B$100</f>
        <v>i = e</v>
      </c>
      <c r="C135" s="444">
        <v>10000</v>
      </c>
      <c r="D135" s="530">
        <v>-0.11</v>
      </c>
      <c r="E135" s="537">
        <v>24</v>
      </c>
      <c r="F135" s="444">
        <v>10000</v>
      </c>
      <c r="G135" s="530">
        <v>-0.12</v>
      </c>
      <c r="H135" s="537">
        <v>28</v>
      </c>
      <c r="I135" s="444">
        <v>10000</v>
      </c>
      <c r="J135" s="530">
        <v>-0.11</v>
      </c>
      <c r="K135" s="537">
        <v>24</v>
      </c>
      <c r="L135" s="444">
        <v>10000</v>
      </c>
      <c r="M135" s="530">
        <v>-0.11</v>
      </c>
      <c r="N135" s="537">
        <v>24</v>
      </c>
      <c r="O135" s="444">
        <v>10000</v>
      </c>
      <c r="P135" s="530">
        <v>-0.1</v>
      </c>
      <c r="Q135" s="537">
        <v>21</v>
      </c>
    </row>
    <row r="136" spans="2:17" ht="15" customHeight="1" x14ac:dyDescent="0.25">
      <c r="B136" s="429"/>
      <c r="C136" s="1719" t="str">
        <f>CONCATENATE(B32," - ",C32)</f>
        <v>South row - 1st-4th module</v>
      </c>
      <c r="D136" s="1720"/>
      <c r="E136" s="1721"/>
      <c r="F136" s="1719" t="str">
        <f>$C$136</f>
        <v>South row - 1st-4th module</v>
      </c>
      <c r="G136" s="1720"/>
      <c r="H136" s="1721"/>
      <c r="I136" s="1719" t="str">
        <f>$C$136</f>
        <v>South row - 1st-4th module</v>
      </c>
      <c r="J136" s="1720"/>
      <c r="K136" s="1721"/>
      <c r="L136" s="1719" t="str">
        <f>$C$136</f>
        <v>South row - 1st-4th module</v>
      </c>
      <c r="M136" s="1720"/>
      <c r="N136" s="1721"/>
      <c r="O136" s="1719" t="str">
        <f>$C$136</f>
        <v>South row - 1st-4th module</v>
      </c>
      <c r="P136" s="1720"/>
      <c r="Q136" s="1721"/>
    </row>
    <row r="137" spans="2:17" ht="15" customHeight="1" thickBot="1" x14ac:dyDescent="0.3">
      <c r="B137" s="430"/>
      <c r="C137" s="431" t="str">
        <f>$C$95</f>
        <v>An i</v>
      </c>
      <c r="D137" s="527" t="str">
        <f>$D$95</f>
        <v>cpMS i</v>
      </c>
      <c r="E137" s="432" t="str">
        <f>$E$95</f>
        <v>mS i</v>
      </c>
      <c r="F137" s="431" t="str">
        <f>$C$95</f>
        <v>An i</v>
      </c>
      <c r="G137" s="527" t="str">
        <f>$D$95</f>
        <v>cpMS i</v>
      </c>
      <c r="H137" s="432" t="str">
        <f>$E$95</f>
        <v>mS i</v>
      </c>
      <c r="I137" s="431" t="str">
        <f>$C$95</f>
        <v>An i</v>
      </c>
      <c r="J137" s="527" t="str">
        <f>$D$95</f>
        <v>cpMS i</v>
      </c>
      <c r="K137" s="432" t="str">
        <f>$E$95</f>
        <v>mS i</v>
      </c>
      <c r="L137" s="431" t="str">
        <f>$C$95</f>
        <v>An i</v>
      </c>
      <c r="M137" s="527" t="str">
        <f>$D$95</f>
        <v>cpMS i</v>
      </c>
      <c r="N137" s="432" t="str">
        <f>$E$95</f>
        <v>mS i</v>
      </c>
      <c r="O137" s="431" t="str">
        <f>$C$95</f>
        <v>An i</v>
      </c>
      <c r="P137" s="527" t="str">
        <f>$D$95</f>
        <v>cpMS i</v>
      </c>
      <c r="Q137" s="432" t="str">
        <f>$E$95</f>
        <v>mS i</v>
      </c>
    </row>
    <row r="138" spans="2:17" ht="15" customHeight="1" x14ac:dyDescent="0.25">
      <c r="B138" s="433" t="str">
        <f>$B$96</f>
        <v>i = a</v>
      </c>
      <c r="C138" s="442">
        <v>1</v>
      </c>
      <c r="D138" s="528">
        <v>-0.49</v>
      </c>
      <c r="E138" s="535">
        <v>172</v>
      </c>
      <c r="F138" s="442">
        <v>1</v>
      </c>
      <c r="G138" s="528">
        <v>-0.36</v>
      </c>
      <c r="H138" s="535">
        <v>121</v>
      </c>
      <c r="I138" s="442">
        <v>1</v>
      </c>
      <c r="J138" s="528">
        <v>-0.28000000000000003</v>
      </c>
      <c r="K138" s="535">
        <v>90</v>
      </c>
      <c r="L138" s="442">
        <v>1</v>
      </c>
      <c r="M138" s="528">
        <v>-0.32</v>
      </c>
      <c r="N138" s="535">
        <v>106</v>
      </c>
      <c r="O138" s="442">
        <v>1</v>
      </c>
      <c r="P138" s="528">
        <v>-0.33</v>
      </c>
      <c r="Q138" s="535">
        <v>110</v>
      </c>
    </row>
    <row r="139" spans="2:17" ht="15" customHeight="1" x14ac:dyDescent="0.25">
      <c r="B139" s="434" t="str">
        <f>$B$97</f>
        <v>i = b</v>
      </c>
      <c r="C139" s="443">
        <v>12.5</v>
      </c>
      <c r="D139" s="529">
        <v>-0.33</v>
      </c>
      <c r="E139" s="536">
        <v>110</v>
      </c>
      <c r="F139" s="443">
        <v>12</v>
      </c>
      <c r="G139" s="529">
        <v>-0.16</v>
      </c>
      <c r="H139" s="536">
        <v>44</v>
      </c>
      <c r="I139" s="443">
        <v>10</v>
      </c>
      <c r="J139" s="529">
        <v>-0.2</v>
      </c>
      <c r="K139" s="536">
        <v>59</v>
      </c>
      <c r="L139" s="443">
        <v>7</v>
      </c>
      <c r="M139" s="529">
        <v>-0.16</v>
      </c>
      <c r="N139" s="536">
        <v>44</v>
      </c>
      <c r="O139" s="443">
        <v>7</v>
      </c>
      <c r="P139" s="529">
        <v>-0.16</v>
      </c>
      <c r="Q139" s="536">
        <v>44</v>
      </c>
    </row>
    <row r="140" spans="2:17" ht="15" customHeight="1" x14ac:dyDescent="0.25">
      <c r="B140" s="434" t="str">
        <f>$B$98</f>
        <v>i = c</v>
      </c>
      <c r="C140" s="443">
        <v>120</v>
      </c>
      <c r="D140" s="529">
        <v>-0.16</v>
      </c>
      <c r="E140" s="536">
        <v>44</v>
      </c>
      <c r="F140" s="443">
        <v>184</v>
      </c>
      <c r="G140" s="529">
        <v>-0.16</v>
      </c>
      <c r="H140" s="536">
        <v>44</v>
      </c>
      <c r="I140" s="443">
        <v>77</v>
      </c>
      <c r="J140" s="529">
        <v>-0.13</v>
      </c>
      <c r="K140" s="536">
        <v>32</v>
      </c>
      <c r="L140" s="443">
        <v>7</v>
      </c>
      <c r="M140" s="529">
        <v>-0.16</v>
      </c>
      <c r="N140" s="536">
        <v>44</v>
      </c>
      <c r="O140" s="443">
        <v>30</v>
      </c>
      <c r="P140" s="529">
        <v>-0.1</v>
      </c>
      <c r="Q140" s="536">
        <v>21</v>
      </c>
    </row>
    <row r="141" spans="2:17" ht="15" customHeight="1" x14ac:dyDescent="0.25">
      <c r="B141" s="434" t="str">
        <f>$B$99</f>
        <v>i = d</v>
      </c>
      <c r="C141" s="443">
        <v>872</v>
      </c>
      <c r="D141" s="529">
        <v>-0.11</v>
      </c>
      <c r="E141" s="536">
        <v>24</v>
      </c>
      <c r="F141" s="443">
        <v>738</v>
      </c>
      <c r="G141" s="529">
        <v>-0.12</v>
      </c>
      <c r="H141" s="536">
        <v>28</v>
      </c>
      <c r="I141" s="443">
        <v>96</v>
      </c>
      <c r="J141" s="529">
        <v>-0.11</v>
      </c>
      <c r="K141" s="536">
        <v>24</v>
      </c>
      <c r="L141" s="443">
        <v>30</v>
      </c>
      <c r="M141" s="529">
        <v>-0.11</v>
      </c>
      <c r="N141" s="536">
        <v>24</v>
      </c>
      <c r="O141" s="443">
        <v>30</v>
      </c>
      <c r="P141" s="529">
        <v>-0.1</v>
      </c>
      <c r="Q141" s="536">
        <v>21</v>
      </c>
    </row>
    <row r="142" spans="2:17" ht="15" customHeight="1" thickBot="1" x14ac:dyDescent="0.3">
      <c r="B142" s="435" t="str">
        <f>$B$100</f>
        <v>i = e</v>
      </c>
      <c r="C142" s="444">
        <v>10000</v>
      </c>
      <c r="D142" s="530">
        <v>-0.11</v>
      </c>
      <c r="E142" s="537">
        <v>24</v>
      </c>
      <c r="F142" s="444">
        <v>10000</v>
      </c>
      <c r="G142" s="530">
        <v>-0.12</v>
      </c>
      <c r="H142" s="537">
        <v>28</v>
      </c>
      <c r="I142" s="444">
        <v>10000</v>
      </c>
      <c r="J142" s="530">
        <v>-0.11</v>
      </c>
      <c r="K142" s="537">
        <v>24</v>
      </c>
      <c r="L142" s="444">
        <v>10000</v>
      </c>
      <c r="M142" s="530">
        <v>-0.11</v>
      </c>
      <c r="N142" s="537">
        <v>24</v>
      </c>
      <c r="O142" s="444">
        <v>10000</v>
      </c>
      <c r="P142" s="530">
        <v>-0.1</v>
      </c>
      <c r="Q142" s="537">
        <v>21</v>
      </c>
    </row>
    <row r="143" spans="2:17" ht="15" customHeight="1" x14ac:dyDescent="0.25">
      <c r="B143" s="429"/>
      <c r="C143" s="1719" t="str">
        <f>CONCATENATE(B32," - ",C33)</f>
        <v>South row - Interior modules</v>
      </c>
      <c r="D143" s="1720"/>
      <c r="E143" s="1721"/>
      <c r="F143" s="1719" t="str">
        <f>$C$143</f>
        <v>South row - Interior modules</v>
      </c>
      <c r="G143" s="1720"/>
      <c r="H143" s="1721"/>
      <c r="I143" s="1719" t="str">
        <f>$C$143</f>
        <v>South row - Interior modules</v>
      </c>
      <c r="J143" s="1720"/>
      <c r="K143" s="1721"/>
      <c r="L143" s="1719" t="str">
        <f>$C$143</f>
        <v>South row - Interior modules</v>
      </c>
      <c r="M143" s="1720"/>
      <c r="N143" s="1721"/>
      <c r="O143" s="1719" t="str">
        <f>$C$143</f>
        <v>South row - Interior modules</v>
      </c>
      <c r="P143" s="1720"/>
      <c r="Q143" s="1721"/>
    </row>
    <row r="144" spans="2:17" ht="15" customHeight="1" thickBot="1" x14ac:dyDescent="0.3">
      <c r="B144" s="430"/>
      <c r="C144" s="431" t="str">
        <f>$C$95</f>
        <v>An i</v>
      </c>
      <c r="D144" s="527" t="str">
        <f>$D$95</f>
        <v>cpMS i</v>
      </c>
      <c r="E144" s="432" t="str">
        <f>$E$95</f>
        <v>mS i</v>
      </c>
      <c r="F144" s="431" t="str">
        <f>$C$95</f>
        <v>An i</v>
      </c>
      <c r="G144" s="527" t="str">
        <f>$D$95</f>
        <v>cpMS i</v>
      </c>
      <c r="H144" s="432" t="str">
        <f>$E$95</f>
        <v>mS i</v>
      </c>
      <c r="I144" s="431" t="str">
        <f>$C$95</f>
        <v>An i</v>
      </c>
      <c r="J144" s="527" t="str">
        <f>$D$95</f>
        <v>cpMS i</v>
      </c>
      <c r="K144" s="432" t="str">
        <f>$E$95</f>
        <v>mS i</v>
      </c>
      <c r="L144" s="431" t="str">
        <f>$C$95</f>
        <v>An i</v>
      </c>
      <c r="M144" s="527" t="str">
        <f>$D$95</f>
        <v>cpMS i</v>
      </c>
      <c r="N144" s="432" t="str">
        <f>$E$95</f>
        <v>mS i</v>
      </c>
      <c r="O144" s="431" t="str">
        <f>$C$95</f>
        <v>An i</v>
      </c>
      <c r="P144" s="527" t="str">
        <f>$D$95</f>
        <v>cpMS i</v>
      </c>
      <c r="Q144" s="432" t="str">
        <f>$E$95</f>
        <v>mS i</v>
      </c>
    </row>
    <row r="145" spans="2:17" ht="15" customHeight="1" x14ac:dyDescent="0.25">
      <c r="B145" s="433" t="str">
        <f>$B$96</f>
        <v>i = a</v>
      </c>
      <c r="C145" s="442">
        <v>1</v>
      </c>
      <c r="D145" s="528">
        <v>-0.47</v>
      </c>
      <c r="E145" s="535">
        <v>164</v>
      </c>
      <c r="F145" s="442">
        <v>1</v>
      </c>
      <c r="G145" s="528">
        <v>-0.31</v>
      </c>
      <c r="H145" s="535">
        <v>102</v>
      </c>
      <c r="I145" s="442">
        <v>1</v>
      </c>
      <c r="J145" s="528">
        <v>-0.26</v>
      </c>
      <c r="K145" s="535">
        <v>82</v>
      </c>
      <c r="L145" s="442">
        <v>1</v>
      </c>
      <c r="M145" s="528">
        <v>-0.16</v>
      </c>
      <c r="N145" s="535">
        <v>44</v>
      </c>
      <c r="O145" s="442">
        <v>1</v>
      </c>
      <c r="P145" s="528">
        <v>-0.16</v>
      </c>
      <c r="Q145" s="535">
        <v>44</v>
      </c>
    </row>
    <row r="146" spans="2:17" ht="15" customHeight="1" x14ac:dyDescent="0.25">
      <c r="B146" s="434" t="str">
        <f>$B$97</f>
        <v>i = b</v>
      </c>
      <c r="C146" s="443">
        <v>6</v>
      </c>
      <c r="D146" s="529">
        <v>-0.3</v>
      </c>
      <c r="E146" s="536">
        <v>98</v>
      </c>
      <c r="F146" s="443">
        <v>10</v>
      </c>
      <c r="G146" s="529">
        <v>-0.18</v>
      </c>
      <c r="H146" s="536">
        <v>51</v>
      </c>
      <c r="I146" s="443">
        <v>12.5</v>
      </c>
      <c r="J146" s="529">
        <v>-0.16</v>
      </c>
      <c r="K146" s="536">
        <v>44</v>
      </c>
      <c r="L146" s="443">
        <v>9</v>
      </c>
      <c r="M146" s="529">
        <v>-0.11</v>
      </c>
      <c r="N146" s="536">
        <v>24</v>
      </c>
      <c r="O146" s="443">
        <v>14</v>
      </c>
      <c r="P146" s="529">
        <v>-0.11</v>
      </c>
      <c r="Q146" s="536">
        <v>24</v>
      </c>
    </row>
    <row r="147" spans="2:17" ht="15" customHeight="1" x14ac:dyDescent="0.25">
      <c r="B147" s="434" t="str">
        <f>$B$98</f>
        <v>i = c</v>
      </c>
      <c r="C147" s="443">
        <v>147.5</v>
      </c>
      <c r="D147" s="529">
        <v>-0.16</v>
      </c>
      <c r="E147" s="536">
        <v>44</v>
      </c>
      <c r="F147" s="443">
        <v>184</v>
      </c>
      <c r="G147" s="529">
        <v>-0.16</v>
      </c>
      <c r="H147" s="536">
        <v>44</v>
      </c>
      <c r="I147" s="443">
        <v>28</v>
      </c>
      <c r="J147" s="529">
        <v>-0.13</v>
      </c>
      <c r="K147" s="536">
        <v>32</v>
      </c>
      <c r="L147" s="443">
        <v>9</v>
      </c>
      <c r="M147" s="529">
        <v>-0.11</v>
      </c>
      <c r="N147" s="536">
        <v>24</v>
      </c>
      <c r="O147" s="443">
        <v>30</v>
      </c>
      <c r="P147" s="529">
        <v>-0.1</v>
      </c>
      <c r="Q147" s="536">
        <v>21</v>
      </c>
    </row>
    <row r="148" spans="2:17" ht="15" customHeight="1" x14ac:dyDescent="0.25">
      <c r="B148" s="434" t="str">
        <f>$B$99</f>
        <v>i = d</v>
      </c>
      <c r="C148" s="443">
        <v>872</v>
      </c>
      <c r="D148" s="529">
        <v>-0.11</v>
      </c>
      <c r="E148" s="536">
        <v>24</v>
      </c>
      <c r="F148" s="443">
        <v>738</v>
      </c>
      <c r="G148" s="529">
        <v>-0.12</v>
      </c>
      <c r="H148" s="536">
        <v>28</v>
      </c>
      <c r="I148" s="443">
        <v>60</v>
      </c>
      <c r="J148" s="529">
        <v>-0.11</v>
      </c>
      <c r="K148" s="536">
        <v>24</v>
      </c>
      <c r="L148" s="443">
        <v>9</v>
      </c>
      <c r="M148" s="529">
        <v>-0.11</v>
      </c>
      <c r="N148" s="536">
        <v>24</v>
      </c>
      <c r="O148" s="443">
        <v>30</v>
      </c>
      <c r="P148" s="529">
        <v>-0.1</v>
      </c>
      <c r="Q148" s="536">
        <v>21</v>
      </c>
    </row>
    <row r="149" spans="2:17" ht="15" customHeight="1" thickBot="1" x14ac:dyDescent="0.3">
      <c r="B149" s="435" t="str">
        <f>$B$100</f>
        <v>i = e</v>
      </c>
      <c r="C149" s="444">
        <v>10000</v>
      </c>
      <c r="D149" s="530">
        <v>-0.11</v>
      </c>
      <c r="E149" s="537">
        <v>24</v>
      </c>
      <c r="F149" s="444">
        <v>10000</v>
      </c>
      <c r="G149" s="530">
        <v>-0.12</v>
      </c>
      <c r="H149" s="537">
        <v>28</v>
      </c>
      <c r="I149" s="444">
        <v>10000</v>
      </c>
      <c r="J149" s="530">
        <v>-0.11</v>
      </c>
      <c r="K149" s="537">
        <v>24</v>
      </c>
      <c r="L149" s="444">
        <v>10000</v>
      </c>
      <c r="M149" s="530">
        <v>-0.11</v>
      </c>
      <c r="N149" s="537">
        <v>24</v>
      </c>
      <c r="O149" s="444">
        <v>10000</v>
      </c>
      <c r="P149" s="530">
        <v>-0.1</v>
      </c>
      <c r="Q149" s="537">
        <v>21</v>
      </c>
    </row>
    <row r="150" spans="2:17" ht="15" customHeight="1" thickBot="1" x14ac:dyDescent="0.3"/>
    <row r="151" spans="2:17" ht="15" customHeight="1" thickBot="1" x14ac:dyDescent="0.3">
      <c r="B151" s="534" t="str">
        <f>K23</f>
        <v>Uplift</v>
      </c>
      <c r="C151" s="1715" t="str">
        <f>$D$24</f>
        <v>Roof position 1</v>
      </c>
      <c r="D151" s="1728"/>
      <c r="E151" s="1729"/>
      <c r="F151" s="1715" t="str">
        <f>$E$24</f>
        <v>Roof position 2</v>
      </c>
      <c r="G151" s="1728"/>
      <c r="H151" s="1729"/>
      <c r="I151" s="1715" t="str">
        <f>$F$24</f>
        <v>Roof position 3</v>
      </c>
      <c r="J151" s="1728"/>
      <c r="K151" s="1729"/>
      <c r="L151" s="1715" t="str">
        <f>$G$24</f>
        <v>Roof position 4</v>
      </c>
      <c r="M151" s="1728"/>
      <c r="N151" s="1729"/>
      <c r="O151" s="1715" t="str">
        <f>$H$24</f>
        <v>Roof position 5</v>
      </c>
      <c r="P151" s="1728"/>
      <c r="Q151" s="1729"/>
    </row>
    <row r="152" spans="2:17" ht="15" customHeight="1" x14ac:dyDescent="0.25">
      <c r="B152" s="429"/>
      <c r="C152" s="1719" t="str">
        <f>$C$94</f>
        <v>North row - 1st-4th module</v>
      </c>
      <c r="D152" s="1720"/>
      <c r="E152" s="1721"/>
      <c r="F152" s="1719" t="str">
        <f>$C$94</f>
        <v>North row - 1st-4th module</v>
      </c>
      <c r="G152" s="1720"/>
      <c r="H152" s="1721"/>
      <c r="I152" s="1719" t="str">
        <f>$C$94</f>
        <v>North row - 1st-4th module</v>
      </c>
      <c r="J152" s="1720"/>
      <c r="K152" s="1721"/>
      <c r="L152" s="1719" t="str">
        <f>$C$94</f>
        <v>North row - 1st-4th module</v>
      </c>
      <c r="M152" s="1720"/>
      <c r="N152" s="1721"/>
      <c r="O152" s="1719" t="str">
        <f>$C$94</f>
        <v>North row - 1st-4th module</v>
      </c>
      <c r="P152" s="1720"/>
      <c r="Q152" s="1721"/>
    </row>
    <row r="153" spans="2:17" ht="15" customHeight="1" thickBot="1" x14ac:dyDescent="0.3">
      <c r="B153" s="430"/>
      <c r="C153" s="431" t="s">
        <v>36</v>
      </c>
      <c r="D153" s="527" t="s">
        <v>73</v>
      </c>
      <c r="E153" s="432" t="s">
        <v>74</v>
      </c>
      <c r="F153" s="431" t="str">
        <f>$C$95</f>
        <v>An i</v>
      </c>
      <c r="G153" s="527" t="str">
        <f>$D$153</f>
        <v>cpML i</v>
      </c>
      <c r="H153" s="432" t="str">
        <f>$E$153</f>
        <v>mL i</v>
      </c>
      <c r="I153" s="431" t="str">
        <f>$C$95</f>
        <v>An i</v>
      </c>
      <c r="J153" s="527" t="str">
        <f>$D$153</f>
        <v>cpML i</v>
      </c>
      <c r="K153" s="432" t="str">
        <f>$E$153</f>
        <v>mL i</v>
      </c>
      <c r="L153" s="431" t="str">
        <f>$C$95</f>
        <v>An i</v>
      </c>
      <c r="M153" s="527" t="str">
        <f>$D$153</f>
        <v>cpML i</v>
      </c>
      <c r="N153" s="432" t="str">
        <f>$E$153</f>
        <v>mL i</v>
      </c>
      <c r="O153" s="431" t="str">
        <f>$C$95</f>
        <v>An i</v>
      </c>
      <c r="P153" s="527" t="str">
        <f>$D$153</f>
        <v>cpML i</v>
      </c>
      <c r="Q153" s="432" t="str">
        <f>$E$153</f>
        <v>mL i</v>
      </c>
    </row>
    <row r="154" spans="2:17" ht="15" customHeight="1" x14ac:dyDescent="0.25">
      <c r="B154" s="433" t="str">
        <f>$B$96</f>
        <v>i = a</v>
      </c>
      <c r="C154" s="442">
        <v>1</v>
      </c>
      <c r="D154" s="528">
        <v>-0.91</v>
      </c>
      <c r="E154" s="535">
        <v>243</v>
      </c>
      <c r="F154" s="442">
        <v>1</v>
      </c>
      <c r="G154" s="528">
        <v>-1.1299999999999999</v>
      </c>
      <c r="H154" s="535">
        <v>307</v>
      </c>
      <c r="I154" s="442">
        <v>1</v>
      </c>
      <c r="J154" s="528">
        <v>-0.56000000000000005</v>
      </c>
      <c r="K154" s="535">
        <v>142</v>
      </c>
      <c r="L154" s="442">
        <v>1</v>
      </c>
      <c r="M154" s="528">
        <v>-0.63</v>
      </c>
      <c r="N154" s="535">
        <v>162</v>
      </c>
      <c r="O154" s="442">
        <v>1</v>
      </c>
      <c r="P154" s="528">
        <v>-0.59000000000000008</v>
      </c>
      <c r="Q154" s="535">
        <v>151</v>
      </c>
    </row>
    <row r="155" spans="2:17" ht="15" customHeight="1" x14ac:dyDescent="0.25">
      <c r="B155" s="434" t="str">
        <f>$B$97</f>
        <v>i = b</v>
      </c>
      <c r="C155" s="443">
        <v>6</v>
      </c>
      <c r="D155" s="529">
        <v>-0.47</v>
      </c>
      <c r="E155" s="536">
        <v>116</v>
      </c>
      <c r="F155" s="443">
        <v>6.5</v>
      </c>
      <c r="G155" s="529">
        <v>-0.95</v>
      </c>
      <c r="H155" s="536">
        <v>255</v>
      </c>
      <c r="I155" s="443">
        <v>6.5</v>
      </c>
      <c r="J155" s="529">
        <v>-0.48</v>
      </c>
      <c r="K155" s="536">
        <v>119</v>
      </c>
      <c r="L155" s="443">
        <v>7</v>
      </c>
      <c r="M155" s="529">
        <v>-0.47</v>
      </c>
      <c r="N155" s="536">
        <v>116</v>
      </c>
      <c r="O155" s="443">
        <v>6.5</v>
      </c>
      <c r="P155" s="529">
        <v>-0.5</v>
      </c>
      <c r="Q155" s="536">
        <v>125</v>
      </c>
    </row>
    <row r="156" spans="2:17" ht="15" customHeight="1" x14ac:dyDescent="0.25">
      <c r="B156" s="434" t="str">
        <f>$B$98</f>
        <v>i = c</v>
      </c>
      <c r="C156" s="443">
        <v>90</v>
      </c>
      <c r="D156" s="529">
        <v>-0.17</v>
      </c>
      <c r="E156" s="536">
        <v>29</v>
      </c>
      <c r="F156" s="443">
        <v>25</v>
      </c>
      <c r="G156" s="529">
        <v>-0.36</v>
      </c>
      <c r="H156" s="536">
        <v>84</v>
      </c>
      <c r="I156" s="443">
        <v>12.5</v>
      </c>
      <c r="J156" s="529">
        <v>-0.33</v>
      </c>
      <c r="K156" s="536">
        <v>75</v>
      </c>
      <c r="L156" s="443">
        <v>14</v>
      </c>
      <c r="M156" s="529">
        <v>-0.33</v>
      </c>
      <c r="N156" s="536">
        <v>75</v>
      </c>
      <c r="O156" s="443">
        <v>12</v>
      </c>
      <c r="P156" s="529">
        <v>-0.35</v>
      </c>
      <c r="Q156" s="536">
        <v>81</v>
      </c>
    </row>
    <row r="157" spans="2:17" ht="15" customHeight="1" x14ac:dyDescent="0.25">
      <c r="B157" s="434" t="str">
        <f>$B$99</f>
        <v>i = d</v>
      </c>
      <c r="C157" s="443">
        <v>872</v>
      </c>
      <c r="D157" s="529">
        <v>-0.11</v>
      </c>
      <c r="E157" s="536">
        <v>12</v>
      </c>
      <c r="F157" s="443">
        <v>470</v>
      </c>
      <c r="G157" s="529">
        <v>-0.12</v>
      </c>
      <c r="H157" s="536">
        <v>15</v>
      </c>
      <c r="I157" s="443">
        <v>147</v>
      </c>
      <c r="J157" s="529">
        <v>-0.1</v>
      </c>
      <c r="K157" s="536">
        <v>9</v>
      </c>
      <c r="L157" s="443">
        <v>160</v>
      </c>
      <c r="M157" s="529">
        <v>-0.1</v>
      </c>
      <c r="N157" s="536">
        <v>9</v>
      </c>
      <c r="O157" s="443">
        <v>168</v>
      </c>
      <c r="P157" s="529">
        <v>-0.1</v>
      </c>
      <c r="Q157" s="536">
        <v>9</v>
      </c>
    </row>
    <row r="158" spans="2:17" ht="15" customHeight="1" thickBot="1" x14ac:dyDescent="0.3">
      <c r="B158" s="435" t="str">
        <f>$B$100</f>
        <v>i = e</v>
      </c>
      <c r="C158" s="444">
        <v>10000</v>
      </c>
      <c r="D158" s="530">
        <v>-0.11</v>
      </c>
      <c r="E158" s="537">
        <v>12</v>
      </c>
      <c r="F158" s="444">
        <v>10000</v>
      </c>
      <c r="G158" s="530">
        <v>-0.12</v>
      </c>
      <c r="H158" s="537">
        <v>15</v>
      </c>
      <c r="I158" s="444">
        <v>10000</v>
      </c>
      <c r="J158" s="530">
        <v>-0.1</v>
      </c>
      <c r="K158" s="537">
        <v>9</v>
      </c>
      <c r="L158" s="444">
        <v>10000</v>
      </c>
      <c r="M158" s="530">
        <v>-0.1</v>
      </c>
      <c r="N158" s="537">
        <v>9</v>
      </c>
      <c r="O158" s="444">
        <v>10000</v>
      </c>
      <c r="P158" s="530">
        <v>-0.1</v>
      </c>
      <c r="Q158" s="537">
        <v>9</v>
      </c>
    </row>
    <row r="159" spans="2:17" ht="15" customHeight="1" x14ac:dyDescent="0.25">
      <c r="B159" s="429"/>
      <c r="C159" s="1719" t="str">
        <f>$C$101</f>
        <v>North row - Interior modules</v>
      </c>
      <c r="D159" s="1720"/>
      <c r="E159" s="1721"/>
      <c r="F159" s="1719" t="str">
        <f>$C$101</f>
        <v>North row - Interior modules</v>
      </c>
      <c r="G159" s="1720"/>
      <c r="H159" s="1721"/>
      <c r="I159" s="1719" t="str">
        <f>$C$101</f>
        <v>North row - Interior modules</v>
      </c>
      <c r="J159" s="1720"/>
      <c r="K159" s="1721"/>
      <c r="L159" s="1719" t="str">
        <f>$C$101</f>
        <v>North row - Interior modules</v>
      </c>
      <c r="M159" s="1720"/>
      <c r="N159" s="1721"/>
      <c r="O159" s="1719" t="str">
        <f>$C$101</f>
        <v>North row - Interior modules</v>
      </c>
      <c r="P159" s="1720"/>
      <c r="Q159" s="1721"/>
    </row>
    <row r="160" spans="2:17" ht="15" customHeight="1" thickBot="1" x14ac:dyDescent="0.3">
      <c r="B160" s="430"/>
      <c r="C160" s="431" t="str">
        <f>$C$95</f>
        <v>An i</v>
      </c>
      <c r="D160" s="527" t="str">
        <f>$D$153</f>
        <v>cpML i</v>
      </c>
      <c r="E160" s="432" t="str">
        <f>$E$153</f>
        <v>mL i</v>
      </c>
      <c r="F160" s="431" t="str">
        <f>$C$95</f>
        <v>An i</v>
      </c>
      <c r="G160" s="527" t="str">
        <f>$D$153</f>
        <v>cpML i</v>
      </c>
      <c r="H160" s="432" t="str">
        <f>$E$153</f>
        <v>mL i</v>
      </c>
      <c r="I160" s="431" t="str">
        <f>$C$95</f>
        <v>An i</v>
      </c>
      <c r="J160" s="527" t="str">
        <f>$D$153</f>
        <v>cpML i</v>
      </c>
      <c r="K160" s="432" t="str">
        <f>$E$153</f>
        <v>mL i</v>
      </c>
      <c r="L160" s="431" t="str">
        <f>$C$95</f>
        <v>An i</v>
      </c>
      <c r="M160" s="527" t="str">
        <f>$D$153</f>
        <v>cpML i</v>
      </c>
      <c r="N160" s="432" t="str">
        <f>$E$153</f>
        <v>mL i</v>
      </c>
      <c r="O160" s="431" t="str">
        <f>$C$95</f>
        <v>An i</v>
      </c>
      <c r="P160" s="527" t="str">
        <f>$D$153</f>
        <v>cpML i</v>
      </c>
      <c r="Q160" s="432" t="str">
        <f>$E$153</f>
        <v>mL i</v>
      </c>
    </row>
    <row r="161" spans="2:17" ht="15" customHeight="1" x14ac:dyDescent="0.25">
      <c r="B161" s="433" t="str">
        <f>$B$96</f>
        <v>i = a</v>
      </c>
      <c r="C161" s="442">
        <v>1</v>
      </c>
      <c r="D161" s="528">
        <v>-0.37</v>
      </c>
      <c r="E161" s="535">
        <v>87</v>
      </c>
      <c r="F161" s="442">
        <v>1</v>
      </c>
      <c r="G161" s="528">
        <v>-1.17</v>
      </c>
      <c r="H161" s="535">
        <v>318</v>
      </c>
      <c r="I161" s="442">
        <v>1</v>
      </c>
      <c r="J161" s="528">
        <v>-0.47</v>
      </c>
      <c r="K161" s="535">
        <v>116</v>
      </c>
      <c r="L161" s="442">
        <v>1</v>
      </c>
      <c r="M161" s="528">
        <v>-0.53</v>
      </c>
      <c r="N161" s="535">
        <v>133</v>
      </c>
      <c r="O161" s="442">
        <v>1</v>
      </c>
      <c r="P161" s="528">
        <v>-0.55000000000000004</v>
      </c>
      <c r="Q161" s="535">
        <v>139</v>
      </c>
    </row>
    <row r="162" spans="2:17" ht="15" customHeight="1" x14ac:dyDescent="0.25">
      <c r="B162" s="434" t="str">
        <f>$B$97</f>
        <v>i = b</v>
      </c>
      <c r="C162" s="443">
        <v>7</v>
      </c>
      <c r="D162" s="529">
        <v>-0.2</v>
      </c>
      <c r="E162" s="536">
        <v>38</v>
      </c>
      <c r="F162" s="443">
        <v>6</v>
      </c>
      <c r="G162" s="529">
        <v>-0.98</v>
      </c>
      <c r="H162" s="536">
        <v>263</v>
      </c>
      <c r="I162" s="443">
        <v>6.5</v>
      </c>
      <c r="J162" s="529">
        <v>-0.39</v>
      </c>
      <c r="K162" s="536">
        <v>93</v>
      </c>
      <c r="L162" s="443">
        <v>7</v>
      </c>
      <c r="M162" s="529">
        <v>-0.44</v>
      </c>
      <c r="N162" s="536">
        <v>107</v>
      </c>
      <c r="O162" s="443">
        <v>6.5</v>
      </c>
      <c r="P162" s="529">
        <v>-0.49</v>
      </c>
      <c r="Q162" s="536">
        <v>122</v>
      </c>
    </row>
    <row r="163" spans="2:17" ht="15" customHeight="1" x14ac:dyDescent="0.25">
      <c r="B163" s="434" t="str">
        <f>$B$98</f>
        <v>i = c</v>
      </c>
      <c r="C163" s="443">
        <v>148</v>
      </c>
      <c r="D163" s="529">
        <v>-0.14000000000000001</v>
      </c>
      <c r="E163" s="536">
        <v>20</v>
      </c>
      <c r="F163" s="443">
        <v>40</v>
      </c>
      <c r="G163" s="529">
        <v>-0.37</v>
      </c>
      <c r="H163" s="536">
        <v>87</v>
      </c>
      <c r="I163" s="443">
        <v>12.5</v>
      </c>
      <c r="J163" s="529">
        <v>-0.28000000000000003</v>
      </c>
      <c r="K163" s="536">
        <v>61</v>
      </c>
      <c r="L163" s="443">
        <v>14</v>
      </c>
      <c r="M163" s="529">
        <v>-0.32</v>
      </c>
      <c r="N163" s="536">
        <v>73</v>
      </c>
      <c r="O163" s="443">
        <v>13</v>
      </c>
      <c r="P163" s="529">
        <v>-0.35</v>
      </c>
      <c r="Q163" s="536">
        <v>81</v>
      </c>
    </row>
    <row r="164" spans="2:17" ht="15" customHeight="1" x14ac:dyDescent="0.25">
      <c r="B164" s="434" t="str">
        <f>$B$99</f>
        <v>i = d</v>
      </c>
      <c r="C164" s="443">
        <v>872</v>
      </c>
      <c r="D164" s="529">
        <v>-0.11</v>
      </c>
      <c r="E164" s="536">
        <v>12</v>
      </c>
      <c r="F164" s="443">
        <v>450</v>
      </c>
      <c r="G164" s="529">
        <v>-0.12</v>
      </c>
      <c r="H164" s="536">
        <v>15</v>
      </c>
      <c r="I164" s="443">
        <v>110</v>
      </c>
      <c r="J164" s="529">
        <v>-0.1</v>
      </c>
      <c r="K164" s="536">
        <v>9</v>
      </c>
      <c r="L164" s="443">
        <v>150</v>
      </c>
      <c r="M164" s="529">
        <v>-0.1</v>
      </c>
      <c r="N164" s="536">
        <v>9</v>
      </c>
      <c r="O164" s="443">
        <v>168</v>
      </c>
      <c r="P164" s="529">
        <v>-0.1</v>
      </c>
      <c r="Q164" s="536">
        <v>9</v>
      </c>
    </row>
    <row r="165" spans="2:17" ht="15" customHeight="1" thickBot="1" x14ac:dyDescent="0.3">
      <c r="B165" s="435" t="str">
        <f>$B$100</f>
        <v>i = e</v>
      </c>
      <c r="C165" s="444">
        <v>10000</v>
      </c>
      <c r="D165" s="530">
        <v>-0.11</v>
      </c>
      <c r="E165" s="537">
        <v>12</v>
      </c>
      <c r="F165" s="444">
        <v>10000</v>
      </c>
      <c r="G165" s="530">
        <v>-0.12</v>
      </c>
      <c r="H165" s="537">
        <v>15</v>
      </c>
      <c r="I165" s="444">
        <v>10000</v>
      </c>
      <c r="J165" s="530">
        <v>-0.1</v>
      </c>
      <c r="K165" s="537">
        <v>9</v>
      </c>
      <c r="L165" s="444">
        <v>10000</v>
      </c>
      <c r="M165" s="530">
        <v>-0.1</v>
      </c>
      <c r="N165" s="537">
        <v>9</v>
      </c>
      <c r="O165" s="444">
        <v>10000</v>
      </c>
      <c r="P165" s="530">
        <v>-0.1</v>
      </c>
      <c r="Q165" s="537">
        <v>9</v>
      </c>
    </row>
    <row r="166" spans="2:17" ht="30" customHeight="1" x14ac:dyDescent="0.25">
      <c r="B166" s="429"/>
      <c r="C166" s="1725" t="str">
        <f>$C$108</f>
        <v>Inner rows, 2nd to 6th row from north -
1st-4th module</v>
      </c>
      <c r="D166" s="1726"/>
      <c r="E166" s="1727"/>
      <c r="F166" s="1725" t="str">
        <f>$C$108</f>
        <v>Inner rows, 2nd to 6th row from north -
1st-4th module</v>
      </c>
      <c r="G166" s="1726"/>
      <c r="H166" s="1727"/>
      <c r="I166" s="1725" t="str">
        <f>$C$108</f>
        <v>Inner rows, 2nd to 6th row from north -
1st-4th module</v>
      </c>
      <c r="J166" s="1726"/>
      <c r="K166" s="1727"/>
      <c r="L166" s="1725" t="str">
        <f>$C$108</f>
        <v>Inner rows, 2nd to 6th row from north -
1st-4th module</v>
      </c>
      <c r="M166" s="1726"/>
      <c r="N166" s="1727"/>
      <c r="O166" s="1725" t="str">
        <f>$C$108</f>
        <v>Inner rows, 2nd to 6th row from north -
1st-4th module</v>
      </c>
      <c r="P166" s="1726"/>
      <c r="Q166" s="1727"/>
    </row>
    <row r="167" spans="2:17" ht="15" customHeight="1" thickBot="1" x14ac:dyDescent="0.3">
      <c r="B167" s="430"/>
      <c r="C167" s="431" t="str">
        <f>$C$95</f>
        <v>An i</v>
      </c>
      <c r="D167" s="527" t="str">
        <f>$D$153</f>
        <v>cpML i</v>
      </c>
      <c r="E167" s="432" t="str">
        <f>$E$153</f>
        <v>mL i</v>
      </c>
      <c r="F167" s="431" t="str">
        <f>$C$95</f>
        <v>An i</v>
      </c>
      <c r="G167" s="527" t="str">
        <f>$D$153</f>
        <v>cpML i</v>
      </c>
      <c r="H167" s="432" t="str">
        <f>$E$153</f>
        <v>mL i</v>
      </c>
      <c r="I167" s="431" t="str">
        <f>$C$95</f>
        <v>An i</v>
      </c>
      <c r="J167" s="527" t="str">
        <f>$D$153</f>
        <v>cpML i</v>
      </c>
      <c r="K167" s="432" t="str">
        <f>$E$153</f>
        <v>mL i</v>
      </c>
      <c r="L167" s="431" t="str">
        <f>$C$95</f>
        <v>An i</v>
      </c>
      <c r="M167" s="527" t="str">
        <f>$D$153</f>
        <v>cpML i</v>
      </c>
      <c r="N167" s="432" t="str">
        <f>$E$153</f>
        <v>mL i</v>
      </c>
      <c r="O167" s="431" t="str">
        <f>$C$95</f>
        <v>An i</v>
      </c>
      <c r="P167" s="527" t="str">
        <f>$D$153</f>
        <v>cpML i</v>
      </c>
      <c r="Q167" s="432" t="str">
        <f>$E$153</f>
        <v>mL i</v>
      </c>
    </row>
    <row r="168" spans="2:17" ht="15" customHeight="1" x14ac:dyDescent="0.25">
      <c r="B168" s="433" t="str">
        <f>$B$96</f>
        <v>i = a</v>
      </c>
      <c r="C168" s="442">
        <v>1</v>
      </c>
      <c r="D168" s="528">
        <v>-0.92</v>
      </c>
      <c r="E168" s="535">
        <v>246</v>
      </c>
      <c r="F168" s="442">
        <v>1</v>
      </c>
      <c r="G168" s="528">
        <v>-0.48</v>
      </c>
      <c r="H168" s="535">
        <v>119</v>
      </c>
      <c r="I168" s="442">
        <v>1</v>
      </c>
      <c r="J168" s="528">
        <v>-0.32</v>
      </c>
      <c r="K168" s="535">
        <v>73</v>
      </c>
      <c r="L168" s="442">
        <v>1</v>
      </c>
      <c r="M168" s="528">
        <v>-0.28000000000000003</v>
      </c>
      <c r="N168" s="535">
        <v>61</v>
      </c>
      <c r="O168" s="442">
        <v>1</v>
      </c>
      <c r="P168" s="528">
        <v>-0.24</v>
      </c>
      <c r="Q168" s="535">
        <v>49</v>
      </c>
    </row>
    <row r="169" spans="2:17" ht="15" customHeight="1" x14ac:dyDescent="0.25">
      <c r="B169" s="434" t="str">
        <f>$B$97</f>
        <v>i = b</v>
      </c>
      <c r="C169" s="443">
        <v>13</v>
      </c>
      <c r="D169" s="529">
        <v>-0.35</v>
      </c>
      <c r="E169" s="536">
        <v>81</v>
      </c>
      <c r="F169" s="443">
        <v>6</v>
      </c>
      <c r="G169" s="529">
        <v>-0.34</v>
      </c>
      <c r="H169" s="536">
        <v>78</v>
      </c>
      <c r="I169" s="443">
        <v>6</v>
      </c>
      <c r="J169" s="529">
        <v>-0.28000000000000003</v>
      </c>
      <c r="K169" s="536">
        <v>61</v>
      </c>
      <c r="L169" s="443">
        <v>7</v>
      </c>
      <c r="M169" s="529">
        <v>-0.2</v>
      </c>
      <c r="N169" s="536">
        <v>38</v>
      </c>
      <c r="O169" s="443">
        <v>7</v>
      </c>
      <c r="P169" s="529">
        <v>-0.2</v>
      </c>
      <c r="Q169" s="536">
        <v>38</v>
      </c>
    </row>
    <row r="170" spans="2:17" ht="15" customHeight="1" x14ac:dyDescent="0.25">
      <c r="B170" s="434" t="str">
        <f>$B$98</f>
        <v>i = c</v>
      </c>
      <c r="C170" s="443">
        <v>140</v>
      </c>
      <c r="D170" s="529">
        <v>-0.15</v>
      </c>
      <c r="E170" s="536">
        <v>23</v>
      </c>
      <c r="F170" s="443">
        <v>15</v>
      </c>
      <c r="G170" s="529">
        <v>-0.22</v>
      </c>
      <c r="H170" s="536">
        <v>44</v>
      </c>
      <c r="I170" s="443">
        <v>28</v>
      </c>
      <c r="J170" s="529">
        <v>-0.17</v>
      </c>
      <c r="K170" s="536">
        <v>29</v>
      </c>
      <c r="L170" s="443">
        <v>14</v>
      </c>
      <c r="M170" s="529">
        <v>-0.12</v>
      </c>
      <c r="N170" s="536">
        <v>15</v>
      </c>
      <c r="O170" s="443">
        <v>15</v>
      </c>
      <c r="P170" s="529">
        <v>-0.1</v>
      </c>
      <c r="Q170" s="536">
        <v>9</v>
      </c>
    </row>
    <row r="171" spans="2:17" ht="15" customHeight="1" x14ac:dyDescent="0.25">
      <c r="B171" s="434" t="str">
        <f>$B$99</f>
        <v>i = d</v>
      </c>
      <c r="C171" s="443">
        <v>872</v>
      </c>
      <c r="D171" s="529">
        <v>-0.11</v>
      </c>
      <c r="E171" s="536">
        <v>12</v>
      </c>
      <c r="F171" s="443">
        <v>738</v>
      </c>
      <c r="G171" s="529">
        <v>-0.12</v>
      </c>
      <c r="H171" s="536">
        <v>15</v>
      </c>
      <c r="I171" s="443">
        <v>95</v>
      </c>
      <c r="J171" s="529">
        <v>-0.1</v>
      </c>
      <c r="K171" s="536">
        <v>9</v>
      </c>
      <c r="L171" s="443">
        <v>148</v>
      </c>
      <c r="M171" s="529">
        <v>-0.1</v>
      </c>
      <c r="N171" s="536">
        <v>9</v>
      </c>
      <c r="O171" s="443">
        <v>15</v>
      </c>
      <c r="P171" s="529">
        <v>-0.1</v>
      </c>
      <c r="Q171" s="536">
        <v>9</v>
      </c>
    </row>
    <row r="172" spans="2:17" ht="15" customHeight="1" thickBot="1" x14ac:dyDescent="0.3">
      <c r="B172" s="435" t="str">
        <f>$B$100</f>
        <v>i = e</v>
      </c>
      <c r="C172" s="444">
        <v>10000</v>
      </c>
      <c r="D172" s="530">
        <v>-0.11</v>
      </c>
      <c r="E172" s="537">
        <v>12</v>
      </c>
      <c r="F172" s="444">
        <v>10000</v>
      </c>
      <c r="G172" s="530">
        <v>-0.12</v>
      </c>
      <c r="H172" s="537">
        <v>15</v>
      </c>
      <c r="I172" s="444">
        <v>10000</v>
      </c>
      <c r="J172" s="530">
        <v>-0.1</v>
      </c>
      <c r="K172" s="537">
        <v>9</v>
      </c>
      <c r="L172" s="444">
        <v>10000</v>
      </c>
      <c r="M172" s="530">
        <v>-0.1</v>
      </c>
      <c r="N172" s="537">
        <v>9</v>
      </c>
      <c r="O172" s="444">
        <v>10000</v>
      </c>
      <c r="P172" s="530">
        <v>-0.1</v>
      </c>
      <c r="Q172" s="537">
        <v>9</v>
      </c>
    </row>
    <row r="173" spans="2:17" ht="30" customHeight="1" x14ac:dyDescent="0.25">
      <c r="B173" s="429"/>
      <c r="C173" s="1725" t="str">
        <f>$C$115</f>
        <v>Inner rows, 2nd to 6th row from north -
Interior modules</v>
      </c>
      <c r="D173" s="1726"/>
      <c r="E173" s="1727"/>
      <c r="F173" s="1725" t="str">
        <f>$C$115</f>
        <v>Inner rows, 2nd to 6th row from north -
Interior modules</v>
      </c>
      <c r="G173" s="1726"/>
      <c r="H173" s="1727"/>
      <c r="I173" s="1725" t="str">
        <f>$C$115</f>
        <v>Inner rows, 2nd to 6th row from north -
Interior modules</v>
      </c>
      <c r="J173" s="1726"/>
      <c r="K173" s="1727"/>
      <c r="L173" s="1725" t="str">
        <f>$C$115</f>
        <v>Inner rows, 2nd to 6th row from north -
Interior modules</v>
      </c>
      <c r="M173" s="1726"/>
      <c r="N173" s="1727"/>
      <c r="O173" s="1725" t="str">
        <f>$C$115</f>
        <v>Inner rows, 2nd to 6th row from north -
Interior modules</v>
      </c>
      <c r="P173" s="1726"/>
      <c r="Q173" s="1727"/>
    </row>
    <row r="174" spans="2:17" ht="15" customHeight="1" thickBot="1" x14ac:dyDescent="0.3">
      <c r="B174" s="430"/>
      <c r="C174" s="431" t="str">
        <f>$C$95</f>
        <v>An i</v>
      </c>
      <c r="D174" s="527" t="str">
        <f>$D$153</f>
        <v>cpML i</v>
      </c>
      <c r="E174" s="432" t="str">
        <f>$E$153</f>
        <v>mL i</v>
      </c>
      <c r="F174" s="431" t="str">
        <f>$C$95</f>
        <v>An i</v>
      </c>
      <c r="G174" s="527" t="str">
        <f>$D$153</f>
        <v>cpML i</v>
      </c>
      <c r="H174" s="432" t="str">
        <f>$E$153</f>
        <v>mL i</v>
      </c>
      <c r="I174" s="431" t="str">
        <f>$C$95</f>
        <v>An i</v>
      </c>
      <c r="J174" s="527" t="str">
        <f>$D$153</f>
        <v>cpML i</v>
      </c>
      <c r="K174" s="432" t="str">
        <f>$E$153</f>
        <v>mL i</v>
      </c>
      <c r="L174" s="431" t="str">
        <f>$C$95</f>
        <v>An i</v>
      </c>
      <c r="M174" s="527" t="str">
        <f>$D$153</f>
        <v>cpML i</v>
      </c>
      <c r="N174" s="432" t="str">
        <f>$E$153</f>
        <v>mL i</v>
      </c>
      <c r="O174" s="431" t="str">
        <f>$C$95</f>
        <v>An i</v>
      </c>
      <c r="P174" s="527" t="str">
        <f>$D$153</f>
        <v>cpML i</v>
      </c>
      <c r="Q174" s="432" t="str">
        <f>$E$153</f>
        <v>mL i</v>
      </c>
    </row>
    <row r="175" spans="2:17" ht="15" customHeight="1" x14ac:dyDescent="0.25">
      <c r="B175" s="433" t="str">
        <f>$B$96</f>
        <v>i = a</v>
      </c>
      <c r="C175" s="442">
        <v>1</v>
      </c>
      <c r="D175" s="528">
        <v>-0.43</v>
      </c>
      <c r="E175" s="535">
        <v>104</v>
      </c>
      <c r="F175" s="442">
        <v>1</v>
      </c>
      <c r="G175" s="528">
        <v>-0.48</v>
      </c>
      <c r="H175" s="535">
        <v>119</v>
      </c>
      <c r="I175" s="442">
        <v>1</v>
      </c>
      <c r="J175" s="528">
        <v>-0.21</v>
      </c>
      <c r="K175" s="535">
        <v>41</v>
      </c>
      <c r="L175" s="442">
        <v>1</v>
      </c>
      <c r="M175" s="528">
        <v>-0.27</v>
      </c>
      <c r="N175" s="535">
        <v>58</v>
      </c>
      <c r="O175" s="442">
        <v>1</v>
      </c>
      <c r="P175" s="528">
        <v>-0.23</v>
      </c>
      <c r="Q175" s="535">
        <v>47</v>
      </c>
    </row>
    <row r="176" spans="2:17" ht="15" customHeight="1" x14ac:dyDescent="0.25">
      <c r="B176" s="434" t="str">
        <f>$B$97</f>
        <v>i = b</v>
      </c>
      <c r="C176" s="443">
        <v>55</v>
      </c>
      <c r="D176" s="529">
        <v>-0.14000000000000001</v>
      </c>
      <c r="E176" s="536">
        <v>20</v>
      </c>
      <c r="F176" s="443">
        <v>6.5</v>
      </c>
      <c r="G176" s="529">
        <v>-0.4</v>
      </c>
      <c r="H176" s="536">
        <v>96</v>
      </c>
      <c r="I176" s="443">
        <v>5</v>
      </c>
      <c r="J176" s="529">
        <v>-0.2</v>
      </c>
      <c r="K176" s="536">
        <v>38</v>
      </c>
      <c r="L176" s="443">
        <v>7</v>
      </c>
      <c r="M176" s="529">
        <v>-0.2</v>
      </c>
      <c r="N176" s="536">
        <v>38</v>
      </c>
      <c r="O176" s="443">
        <v>7</v>
      </c>
      <c r="P176" s="529">
        <v>-0.21</v>
      </c>
      <c r="Q176" s="536">
        <v>41</v>
      </c>
    </row>
    <row r="177" spans="2:17" ht="15" customHeight="1" x14ac:dyDescent="0.25">
      <c r="B177" s="434" t="str">
        <f>$B$98</f>
        <v>i = c</v>
      </c>
      <c r="C177" s="443">
        <v>218</v>
      </c>
      <c r="D177" s="529">
        <v>-0.14000000000000001</v>
      </c>
      <c r="E177" s="536">
        <v>20</v>
      </c>
      <c r="F177" s="443">
        <v>13</v>
      </c>
      <c r="G177" s="529">
        <v>-0.22</v>
      </c>
      <c r="H177" s="536">
        <v>44</v>
      </c>
      <c r="I177" s="443">
        <v>10</v>
      </c>
      <c r="J177" s="529">
        <v>-0.17</v>
      </c>
      <c r="K177" s="536">
        <v>29</v>
      </c>
      <c r="L177" s="443">
        <v>14</v>
      </c>
      <c r="M177" s="529">
        <v>-0.11</v>
      </c>
      <c r="N177" s="536">
        <v>12</v>
      </c>
      <c r="O177" s="443">
        <v>15</v>
      </c>
      <c r="P177" s="529">
        <v>-0.1</v>
      </c>
      <c r="Q177" s="536">
        <v>9</v>
      </c>
    </row>
    <row r="178" spans="2:17" ht="15" customHeight="1" x14ac:dyDescent="0.25">
      <c r="B178" s="434" t="str">
        <f>$B$99</f>
        <v>i = d</v>
      </c>
      <c r="C178" s="443">
        <v>872</v>
      </c>
      <c r="D178" s="529">
        <v>-0.11</v>
      </c>
      <c r="E178" s="536">
        <v>12</v>
      </c>
      <c r="F178" s="443">
        <v>738</v>
      </c>
      <c r="G178" s="529">
        <v>-0.12</v>
      </c>
      <c r="H178" s="536">
        <v>15</v>
      </c>
      <c r="I178" s="443">
        <v>27</v>
      </c>
      <c r="J178" s="529">
        <v>-0.1</v>
      </c>
      <c r="K178" s="536">
        <v>9</v>
      </c>
      <c r="L178" s="443">
        <v>148</v>
      </c>
      <c r="M178" s="529">
        <v>-0.1</v>
      </c>
      <c r="N178" s="536">
        <v>9</v>
      </c>
      <c r="O178" s="443">
        <v>15</v>
      </c>
      <c r="P178" s="529">
        <v>-0.1</v>
      </c>
      <c r="Q178" s="536">
        <v>9</v>
      </c>
    </row>
    <row r="179" spans="2:17" ht="15" customHeight="1" thickBot="1" x14ac:dyDescent="0.3">
      <c r="B179" s="435" t="str">
        <f>$B$100</f>
        <v>i = e</v>
      </c>
      <c r="C179" s="444">
        <v>10000</v>
      </c>
      <c r="D179" s="530">
        <v>-0.11</v>
      </c>
      <c r="E179" s="537">
        <v>12</v>
      </c>
      <c r="F179" s="444">
        <v>10000</v>
      </c>
      <c r="G179" s="530">
        <v>-0.12</v>
      </c>
      <c r="H179" s="537">
        <v>15</v>
      </c>
      <c r="I179" s="444">
        <v>10000</v>
      </c>
      <c r="J179" s="530">
        <v>-0.1</v>
      </c>
      <c r="K179" s="537">
        <v>9</v>
      </c>
      <c r="L179" s="444">
        <v>10000</v>
      </c>
      <c r="M179" s="530">
        <v>-0.1</v>
      </c>
      <c r="N179" s="537">
        <v>9</v>
      </c>
      <c r="O179" s="444">
        <v>10000</v>
      </c>
      <c r="P179" s="530">
        <v>-0.1</v>
      </c>
      <c r="Q179" s="537">
        <v>9</v>
      </c>
    </row>
    <row r="180" spans="2:17" ht="30" customHeight="1" x14ac:dyDescent="0.25">
      <c r="B180" s="429"/>
      <c r="C180" s="1725" t="str">
        <f>$C$122</f>
        <v>Inner rows, from 7th row from north -
1st-4th module</v>
      </c>
      <c r="D180" s="1726"/>
      <c r="E180" s="1727"/>
      <c r="F180" s="1725" t="str">
        <f>$C$122</f>
        <v>Inner rows, from 7th row from north -
1st-4th module</v>
      </c>
      <c r="G180" s="1726"/>
      <c r="H180" s="1727"/>
      <c r="I180" s="1725" t="str">
        <f>$C$122</f>
        <v>Inner rows, from 7th row from north -
1st-4th module</v>
      </c>
      <c r="J180" s="1726"/>
      <c r="K180" s="1727"/>
      <c r="L180" s="1725" t="str">
        <f>$C$122</f>
        <v>Inner rows, from 7th row from north -
1st-4th module</v>
      </c>
      <c r="M180" s="1726"/>
      <c r="N180" s="1727"/>
      <c r="O180" s="1725" t="str">
        <f>$C$122</f>
        <v>Inner rows, from 7th row from north -
1st-4th module</v>
      </c>
      <c r="P180" s="1726"/>
      <c r="Q180" s="1727"/>
    </row>
    <row r="181" spans="2:17" ht="15" customHeight="1" thickBot="1" x14ac:dyDescent="0.3">
      <c r="B181" s="430"/>
      <c r="C181" s="431" t="str">
        <f>$C$95</f>
        <v>An i</v>
      </c>
      <c r="D181" s="527" t="str">
        <f>$D$153</f>
        <v>cpML i</v>
      </c>
      <c r="E181" s="432" t="str">
        <f>$E$153</f>
        <v>mL i</v>
      </c>
      <c r="F181" s="431" t="str">
        <f>$C$95</f>
        <v>An i</v>
      </c>
      <c r="G181" s="527" t="str">
        <f>$D$153</f>
        <v>cpML i</v>
      </c>
      <c r="H181" s="432" t="str">
        <f>$E$153</f>
        <v>mL i</v>
      </c>
      <c r="I181" s="431" t="str">
        <f>$C$95</f>
        <v>An i</v>
      </c>
      <c r="J181" s="527" t="str">
        <f>$D$153</f>
        <v>cpML i</v>
      </c>
      <c r="K181" s="432" t="str">
        <f>$E$153</f>
        <v>mL i</v>
      </c>
      <c r="L181" s="431" t="str">
        <f>$C$95</f>
        <v>An i</v>
      </c>
      <c r="M181" s="527" t="str">
        <f>$D$153</f>
        <v>cpML i</v>
      </c>
      <c r="N181" s="432" t="str">
        <f>$E$153</f>
        <v>mL i</v>
      </c>
      <c r="O181" s="431" t="str">
        <f>$C$95</f>
        <v>An i</v>
      </c>
      <c r="P181" s="527" t="str">
        <f>$D$153</f>
        <v>cpML i</v>
      </c>
      <c r="Q181" s="432" t="str">
        <f>$E$153</f>
        <v>mL i</v>
      </c>
    </row>
    <row r="182" spans="2:17" ht="15" customHeight="1" x14ac:dyDescent="0.25">
      <c r="B182" s="433" t="str">
        <f>$B$96</f>
        <v>i = a</v>
      </c>
      <c r="C182" s="442">
        <v>1</v>
      </c>
      <c r="D182" s="528">
        <v>-1.07</v>
      </c>
      <c r="E182" s="535">
        <v>289</v>
      </c>
      <c r="F182" s="442">
        <v>1</v>
      </c>
      <c r="G182" s="528">
        <v>-0.4</v>
      </c>
      <c r="H182" s="535">
        <v>96</v>
      </c>
      <c r="I182" s="442">
        <v>1</v>
      </c>
      <c r="J182" s="528">
        <v>-0.4</v>
      </c>
      <c r="K182" s="535">
        <v>96</v>
      </c>
      <c r="L182" s="442">
        <v>1</v>
      </c>
      <c r="M182" s="528">
        <v>-0.27</v>
      </c>
      <c r="N182" s="535">
        <v>58</v>
      </c>
      <c r="O182" s="442">
        <v>1</v>
      </c>
      <c r="P182" s="528">
        <v>-0.22</v>
      </c>
      <c r="Q182" s="535">
        <v>44</v>
      </c>
    </row>
    <row r="183" spans="2:17" ht="15" customHeight="1" x14ac:dyDescent="0.25">
      <c r="B183" s="434" t="str">
        <f>$B$97</f>
        <v>i = b</v>
      </c>
      <c r="C183" s="443">
        <v>13</v>
      </c>
      <c r="D183" s="529">
        <v>-0.47</v>
      </c>
      <c r="E183" s="536">
        <v>116</v>
      </c>
      <c r="F183" s="443">
        <v>15</v>
      </c>
      <c r="G183" s="529">
        <v>-0.27</v>
      </c>
      <c r="H183" s="536">
        <v>58</v>
      </c>
      <c r="I183" s="443">
        <v>12.5</v>
      </c>
      <c r="J183" s="529">
        <v>-0.27</v>
      </c>
      <c r="K183" s="536">
        <v>58</v>
      </c>
      <c r="L183" s="443">
        <v>7</v>
      </c>
      <c r="M183" s="529">
        <v>-0.19</v>
      </c>
      <c r="N183" s="536">
        <v>35</v>
      </c>
      <c r="O183" s="443">
        <v>7</v>
      </c>
      <c r="P183" s="529">
        <v>-0.18</v>
      </c>
      <c r="Q183" s="536">
        <v>32</v>
      </c>
    </row>
    <row r="184" spans="2:17" ht="15" customHeight="1" x14ac:dyDescent="0.25">
      <c r="B184" s="434" t="str">
        <f>$B$98</f>
        <v>i = c</v>
      </c>
      <c r="C184" s="443">
        <v>140</v>
      </c>
      <c r="D184" s="529">
        <v>-0.19</v>
      </c>
      <c r="E184" s="536">
        <v>35</v>
      </c>
      <c r="F184" s="443">
        <v>22</v>
      </c>
      <c r="G184" s="529">
        <v>-0.21</v>
      </c>
      <c r="H184" s="536">
        <v>41</v>
      </c>
      <c r="I184" s="443">
        <v>27.5</v>
      </c>
      <c r="J184" s="529">
        <v>-0.22</v>
      </c>
      <c r="K184" s="536">
        <v>44</v>
      </c>
      <c r="L184" s="443">
        <v>50</v>
      </c>
      <c r="M184" s="529">
        <v>-0.12</v>
      </c>
      <c r="N184" s="536">
        <v>15</v>
      </c>
      <c r="O184" s="443">
        <v>110</v>
      </c>
      <c r="P184" s="529">
        <v>-0.1</v>
      </c>
      <c r="Q184" s="536">
        <v>9</v>
      </c>
    </row>
    <row r="185" spans="2:17" ht="15" customHeight="1" x14ac:dyDescent="0.25">
      <c r="B185" s="434" t="str">
        <f>$B$99</f>
        <v>i = d</v>
      </c>
      <c r="C185" s="443">
        <v>872</v>
      </c>
      <c r="D185" s="529">
        <v>-0.11</v>
      </c>
      <c r="E185" s="536">
        <v>12</v>
      </c>
      <c r="F185" s="443">
        <v>738</v>
      </c>
      <c r="G185" s="529">
        <v>-0.12</v>
      </c>
      <c r="H185" s="536">
        <v>15</v>
      </c>
      <c r="I185" s="443">
        <v>147</v>
      </c>
      <c r="J185" s="529">
        <v>-0.1</v>
      </c>
      <c r="K185" s="536">
        <v>9</v>
      </c>
      <c r="L185" s="443">
        <v>77</v>
      </c>
      <c r="M185" s="529">
        <v>-0.1</v>
      </c>
      <c r="N185" s="536">
        <v>9</v>
      </c>
      <c r="O185" s="443">
        <v>110</v>
      </c>
      <c r="P185" s="529">
        <v>-0.1</v>
      </c>
      <c r="Q185" s="536">
        <v>9</v>
      </c>
    </row>
    <row r="186" spans="2:17" ht="15" customHeight="1" thickBot="1" x14ac:dyDescent="0.3">
      <c r="B186" s="435" t="str">
        <f>$B$100</f>
        <v>i = e</v>
      </c>
      <c r="C186" s="444">
        <v>10000</v>
      </c>
      <c r="D186" s="530">
        <v>-0.11</v>
      </c>
      <c r="E186" s="537">
        <v>12</v>
      </c>
      <c r="F186" s="444">
        <v>10000</v>
      </c>
      <c r="G186" s="530">
        <v>-0.12</v>
      </c>
      <c r="H186" s="537">
        <v>15</v>
      </c>
      <c r="I186" s="444">
        <v>10000</v>
      </c>
      <c r="J186" s="530">
        <v>-0.1</v>
      </c>
      <c r="K186" s="537">
        <v>9</v>
      </c>
      <c r="L186" s="444">
        <v>10000</v>
      </c>
      <c r="M186" s="530">
        <v>-0.1</v>
      </c>
      <c r="N186" s="537">
        <v>9</v>
      </c>
      <c r="O186" s="444">
        <v>10000</v>
      </c>
      <c r="P186" s="530">
        <v>-0.1</v>
      </c>
      <c r="Q186" s="537">
        <v>9</v>
      </c>
    </row>
    <row r="187" spans="2:17" ht="30" customHeight="1" x14ac:dyDescent="0.25">
      <c r="B187" s="429"/>
      <c r="C187" s="1725" t="str">
        <f>$C$129</f>
        <v>Inner rows, from 7th row from north -
Interior modules</v>
      </c>
      <c r="D187" s="1726"/>
      <c r="E187" s="1727"/>
      <c r="F187" s="1725" t="str">
        <f>$C$129</f>
        <v>Inner rows, from 7th row from north -
Interior modules</v>
      </c>
      <c r="G187" s="1726"/>
      <c r="H187" s="1727"/>
      <c r="I187" s="1725" t="str">
        <f>$C$129</f>
        <v>Inner rows, from 7th row from north -
Interior modules</v>
      </c>
      <c r="J187" s="1726"/>
      <c r="K187" s="1727"/>
      <c r="L187" s="1725" t="str">
        <f>$C$129</f>
        <v>Inner rows, from 7th row from north -
Interior modules</v>
      </c>
      <c r="M187" s="1726"/>
      <c r="N187" s="1727"/>
      <c r="O187" s="1725" t="str">
        <f>$C$129</f>
        <v>Inner rows, from 7th row from north -
Interior modules</v>
      </c>
      <c r="P187" s="1726"/>
      <c r="Q187" s="1727"/>
    </row>
    <row r="188" spans="2:17" ht="15" customHeight="1" thickBot="1" x14ac:dyDescent="0.3">
      <c r="B188" s="430"/>
      <c r="C188" s="431" t="str">
        <f>$C$95</f>
        <v>An i</v>
      </c>
      <c r="D188" s="527" t="str">
        <f>$D$153</f>
        <v>cpML i</v>
      </c>
      <c r="E188" s="432" t="str">
        <f>$E$153</f>
        <v>mL i</v>
      </c>
      <c r="F188" s="431" t="str">
        <f>$C$95</f>
        <v>An i</v>
      </c>
      <c r="G188" s="527" t="str">
        <f>$D$153</f>
        <v>cpML i</v>
      </c>
      <c r="H188" s="432" t="str">
        <f>$E$153</f>
        <v>mL i</v>
      </c>
      <c r="I188" s="431" t="str">
        <f>$C$95</f>
        <v>An i</v>
      </c>
      <c r="J188" s="527" t="str">
        <f>$D$153</f>
        <v>cpML i</v>
      </c>
      <c r="K188" s="432" t="str">
        <f>$E$153</f>
        <v>mL i</v>
      </c>
      <c r="L188" s="431" t="str">
        <f>$C$95</f>
        <v>An i</v>
      </c>
      <c r="M188" s="527" t="str">
        <f>$D$153</f>
        <v>cpML i</v>
      </c>
      <c r="N188" s="432" t="str">
        <f>$E$153</f>
        <v>mL i</v>
      </c>
      <c r="O188" s="431" t="str">
        <f>$C$95</f>
        <v>An i</v>
      </c>
      <c r="P188" s="527" t="str">
        <f>$D$153</f>
        <v>cpML i</v>
      </c>
      <c r="Q188" s="432" t="str">
        <f>$E$153</f>
        <v>mL i</v>
      </c>
    </row>
    <row r="189" spans="2:17" ht="15" customHeight="1" x14ac:dyDescent="0.25">
      <c r="B189" s="433" t="str">
        <f>$B$96</f>
        <v>i = a</v>
      </c>
      <c r="C189" s="442">
        <v>1</v>
      </c>
      <c r="D189" s="528">
        <v>-0.66</v>
      </c>
      <c r="E189" s="535">
        <v>171</v>
      </c>
      <c r="F189" s="442">
        <v>1</v>
      </c>
      <c r="G189" s="528">
        <v>-0.49</v>
      </c>
      <c r="H189" s="535">
        <v>122</v>
      </c>
      <c r="I189" s="442">
        <v>1</v>
      </c>
      <c r="J189" s="528">
        <v>-0.26</v>
      </c>
      <c r="K189" s="535">
        <v>55</v>
      </c>
      <c r="L189" s="442">
        <v>1</v>
      </c>
      <c r="M189" s="528">
        <v>-0.24</v>
      </c>
      <c r="N189" s="535">
        <v>49</v>
      </c>
      <c r="O189" s="442">
        <v>1</v>
      </c>
      <c r="P189" s="528">
        <v>-0.23</v>
      </c>
      <c r="Q189" s="535">
        <v>47</v>
      </c>
    </row>
    <row r="190" spans="2:17" ht="15" customHeight="1" x14ac:dyDescent="0.25">
      <c r="B190" s="434" t="str">
        <f>$B$97</f>
        <v>i = b</v>
      </c>
      <c r="C190" s="443">
        <v>33</v>
      </c>
      <c r="D190" s="529">
        <v>-0.26</v>
      </c>
      <c r="E190" s="536">
        <v>55</v>
      </c>
      <c r="F190" s="443">
        <v>7.5</v>
      </c>
      <c r="G190" s="529">
        <v>-0.38</v>
      </c>
      <c r="H190" s="536">
        <v>90</v>
      </c>
      <c r="I190" s="443">
        <v>6</v>
      </c>
      <c r="J190" s="529">
        <v>-0.18</v>
      </c>
      <c r="K190" s="536">
        <v>32</v>
      </c>
      <c r="L190" s="443">
        <v>7</v>
      </c>
      <c r="M190" s="529">
        <v>-0.18</v>
      </c>
      <c r="N190" s="536">
        <v>32</v>
      </c>
      <c r="O190" s="443">
        <v>7</v>
      </c>
      <c r="P190" s="529">
        <v>-0.18</v>
      </c>
      <c r="Q190" s="536">
        <v>32</v>
      </c>
    </row>
    <row r="191" spans="2:17" ht="15" customHeight="1" x14ac:dyDescent="0.25">
      <c r="B191" s="434" t="str">
        <f>$B$98</f>
        <v>i = c</v>
      </c>
      <c r="C191" s="443">
        <v>200</v>
      </c>
      <c r="D191" s="529">
        <v>-0.14000000000000001</v>
      </c>
      <c r="E191" s="536">
        <v>20</v>
      </c>
      <c r="F191" s="443">
        <v>130</v>
      </c>
      <c r="G191" s="529">
        <v>-0.17</v>
      </c>
      <c r="H191" s="536">
        <v>29</v>
      </c>
      <c r="I191" s="443">
        <v>20.5</v>
      </c>
      <c r="J191" s="529">
        <v>-0.16</v>
      </c>
      <c r="K191" s="536">
        <v>26</v>
      </c>
      <c r="L191" s="443">
        <v>87</v>
      </c>
      <c r="M191" s="529">
        <v>-0.1</v>
      </c>
      <c r="N191" s="536">
        <v>9</v>
      </c>
      <c r="O191" s="443">
        <v>110</v>
      </c>
      <c r="P191" s="529">
        <v>-0.1</v>
      </c>
      <c r="Q191" s="536">
        <v>9</v>
      </c>
    </row>
    <row r="192" spans="2:17" ht="15" customHeight="1" x14ac:dyDescent="0.25">
      <c r="B192" s="434" t="str">
        <f>$B$99</f>
        <v>i = d</v>
      </c>
      <c r="C192" s="443">
        <v>872</v>
      </c>
      <c r="D192" s="529">
        <v>-0.11</v>
      </c>
      <c r="E192" s="536">
        <v>12</v>
      </c>
      <c r="F192" s="443">
        <v>738</v>
      </c>
      <c r="G192" s="529">
        <v>-0.12</v>
      </c>
      <c r="H192" s="536">
        <v>15</v>
      </c>
      <c r="I192" s="443">
        <v>100</v>
      </c>
      <c r="J192" s="529">
        <v>-0.1</v>
      </c>
      <c r="K192" s="536">
        <v>9</v>
      </c>
      <c r="L192" s="443">
        <v>87</v>
      </c>
      <c r="M192" s="529">
        <v>-0.1</v>
      </c>
      <c r="N192" s="536">
        <v>9</v>
      </c>
      <c r="O192" s="443">
        <v>110</v>
      </c>
      <c r="P192" s="529">
        <v>-0.1</v>
      </c>
      <c r="Q192" s="536">
        <v>9</v>
      </c>
    </row>
    <row r="193" spans="2:17" ht="15" customHeight="1" thickBot="1" x14ac:dyDescent="0.3">
      <c r="B193" s="435" t="str">
        <f>$B$100</f>
        <v>i = e</v>
      </c>
      <c r="C193" s="444">
        <v>10000</v>
      </c>
      <c r="D193" s="530">
        <v>-0.11</v>
      </c>
      <c r="E193" s="537">
        <v>12</v>
      </c>
      <c r="F193" s="444">
        <v>10000</v>
      </c>
      <c r="G193" s="530">
        <v>-0.12</v>
      </c>
      <c r="H193" s="537">
        <v>15</v>
      </c>
      <c r="I193" s="444">
        <v>10000</v>
      </c>
      <c r="J193" s="530">
        <v>-0.1</v>
      </c>
      <c r="K193" s="537">
        <v>9</v>
      </c>
      <c r="L193" s="444">
        <v>10000</v>
      </c>
      <c r="M193" s="530">
        <v>-0.1</v>
      </c>
      <c r="N193" s="537">
        <v>9</v>
      </c>
      <c r="O193" s="444">
        <v>10000</v>
      </c>
      <c r="P193" s="530">
        <v>-0.1</v>
      </c>
      <c r="Q193" s="537">
        <v>9</v>
      </c>
    </row>
    <row r="194" spans="2:17" ht="15" customHeight="1" x14ac:dyDescent="0.25">
      <c r="B194" s="429"/>
      <c r="C194" s="1719" t="str">
        <f>$C$136</f>
        <v>South row - 1st-4th module</v>
      </c>
      <c r="D194" s="1720"/>
      <c r="E194" s="1721"/>
      <c r="F194" s="1719" t="str">
        <f>$C$136</f>
        <v>South row - 1st-4th module</v>
      </c>
      <c r="G194" s="1720"/>
      <c r="H194" s="1721"/>
      <c r="I194" s="1719" t="str">
        <f>$C$136</f>
        <v>South row - 1st-4th module</v>
      </c>
      <c r="J194" s="1720"/>
      <c r="K194" s="1721"/>
      <c r="L194" s="1719" t="str">
        <f>$C$136</f>
        <v>South row - 1st-4th module</v>
      </c>
      <c r="M194" s="1720"/>
      <c r="N194" s="1721"/>
      <c r="O194" s="1719" t="str">
        <f>$C$136</f>
        <v>South row - 1st-4th module</v>
      </c>
      <c r="P194" s="1720"/>
      <c r="Q194" s="1721"/>
    </row>
    <row r="195" spans="2:17" ht="15" customHeight="1" thickBot="1" x14ac:dyDescent="0.3">
      <c r="B195" s="430"/>
      <c r="C195" s="431" t="str">
        <f>$C$95</f>
        <v>An i</v>
      </c>
      <c r="D195" s="527" t="str">
        <f>$D$153</f>
        <v>cpML i</v>
      </c>
      <c r="E195" s="432" t="str">
        <f>$E$153</f>
        <v>mL i</v>
      </c>
      <c r="F195" s="431" t="str">
        <f>$C$95</f>
        <v>An i</v>
      </c>
      <c r="G195" s="527" t="str">
        <f>$D$153</f>
        <v>cpML i</v>
      </c>
      <c r="H195" s="432" t="str">
        <f>$E$153</f>
        <v>mL i</v>
      </c>
      <c r="I195" s="431" t="str">
        <f>$C$95</f>
        <v>An i</v>
      </c>
      <c r="J195" s="527" t="str">
        <f>$D$153</f>
        <v>cpML i</v>
      </c>
      <c r="K195" s="432" t="str">
        <f>$E$153</f>
        <v>mL i</v>
      </c>
      <c r="L195" s="431" t="str">
        <f>$C$95</f>
        <v>An i</v>
      </c>
      <c r="M195" s="527" t="str">
        <f>$D$153</f>
        <v>cpML i</v>
      </c>
      <c r="N195" s="432" t="str">
        <f>$E$153</f>
        <v>mL i</v>
      </c>
      <c r="O195" s="431" t="str">
        <f>$C$95</f>
        <v>An i</v>
      </c>
      <c r="P195" s="527" t="str">
        <f>$D$153</f>
        <v>cpML i</v>
      </c>
      <c r="Q195" s="432" t="str">
        <f>$E$153</f>
        <v>mL i</v>
      </c>
    </row>
    <row r="196" spans="2:17" ht="15" customHeight="1" x14ac:dyDescent="0.25">
      <c r="B196" s="433" t="str">
        <f>$B$96</f>
        <v>i = a</v>
      </c>
      <c r="C196" s="442">
        <v>1</v>
      </c>
      <c r="D196" s="528">
        <v>-0.49</v>
      </c>
      <c r="E196" s="535">
        <v>122</v>
      </c>
      <c r="F196" s="442">
        <v>1</v>
      </c>
      <c r="G196" s="528">
        <v>-0.36</v>
      </c>
      <c r="H196" s="535">
        <v>84</v>
      </c>
      <c r="I196" s="442">
        <v>1</v>
      </c>
      <c r="J196" s="528">
        <v>-0.28999999999999998</v>
      </c>
      <c r="K196" s="535">
        <v>64</v>
      </c>
      <c r="L196" s="442">
        <v>1</v>
      </c>
      <c r="M196" s="528">
        <v>-0.32</v>
      </c>
      <c r="N196" s="535">
        <v>73</v>
      </c>
      <c r="O196" s="442">
        <v>1</v>
      </c>
      <c r="P196" s="528">
        <v>-0.33</v>
      </c>
      <c r="Q196" s="535">
        <v>75</v>
      </c>
    </row>
    <row r="197" spans="2:17" ht="15" customHeight="1" x14ac:dyDescent="0.25">
      <c r="B197" s="434" t="str">
        <f>$B$97</f>
        <v>i = b</v>
      </c>
      <c r="C197" s="443">
        <v>12.5</v>
      </c>
      <c r="D197" s="529">
        <v>-0.33</v>
      </c>
      <c r="E197" s="536">
        <v>75</v>
      </c>
      <c r="F197" s="443">
        <v>12</v>
      </c>
      <c r="G197" s="529">
        <v>-0.16</v>
      </c>
      <c r="H197" s="536">
        <v>26</v>
      </c>
      <c r="I197" s="443">
        <v>10</v>
      </c>
      <c r="J197" s="529">
        <v>-0.19</v>
      </c>
      <c r="K197" s="536">
        <v>35</v>
      </c>
      <c r="L197" s="443">
        <v>7</v>
      </c>
      <c r="M197" s="529">
        <v>-0.16</v>
      </c>
      <c r="N197" s="536">
        <v>26</v>
      </c>
      <c r="O197" s="443">
        <v>7</v>
      </c>
      <c r="P197" s="529">
        <v>-0.15</v>
      </c>
      <c r="Q197" s="536">
        <v>23</v>
      </c>
    </row>
    <row r="198" spans="2:17" ht="15" customHeight="1" x14ac:dyDescent="0.25">
      <c r="B198" s="434" t="str">
        <f>$B$98</f>
        <v>i = c</v>
      </c>
      <c r="C198" s="443">
        <v>120</v>
      </c>
      <c r="D198" s="529">
        <v>-0.16</v>
      </c>
      <c r="E198" s="536">
        <v>26</v>
      </c>
      <c r="F198" s="443">
        <v>184</v>
      </c>
      <c r="G198" s="529">
        <v>-0.16</v>
      </c>
      <c r="H198" s="536">
        <v>26</v>
      </c>
      <c r="I198" s="443">
        <v>77</v>
      </c>
      <c r="J198" s="529">
        <v>-0.13</v>
      </c>
      <c r="K198" s="536">
        <v>18</v>
      </c>
      <c r="L198" s="443">
        <v>7</v>
      </c>
      <c r="M198" s="529">
        <v>-0.16</v>
      </c>
      <c r="N198" s="536">
        <v>26</v>
      </c>
      <c r="O198" s="443">
        <v>30</v>
      </c>
      <c r="P198" s="529">
        <v>-0.1</v>
      </c>
      <c r="Q198" s="536">
        <v>9</v>
      </c>
    </row>
    <row r="199" spans="2:17" ht="15" customHeight="1" x14ac:dyDescent="0.25">
      <c r="B199" s="434" t="str">
        <f>$B$99</f>
        <v>i = d</v>
      </c>
      <c r="C199" s="443">
        <v>872</v>
      </c>
      <c r="D199" s="529">
        <v>-0.11</v>
      </c>
      <c r="E199" s="536">
        <v>12</v>
      </c>
      <c r="F199" s="443">
        <v>738</v>
      </c>
      <c r="G199" s="529">
        <v>-0.12</v>
      </c>
      <c r="H199" s="536">
        <v>15</v>
      </c>
      <c r="I199" s="443">
        <v>96</v>
      </c>
      <c r="J199" s="529">
        <v>-0.1</v>
      </c>
      <c r="K199" s="536">
        <v>9</v>
      </c>
      <c r="L199" s="443">
        <v>30</v>
      </c>
      <c r="M199" s="529">
        <v>-0.1</v>
      </c>
      <c r="N199" s="536">
        <v>9</v>
      </c>
      <c r="O199" s="443">
        <v>30</v>
      </c>
      <c r="P199" s="529">
        <v>-0.1</v>
      </c>
      <c r="Q199" s="536">
        <v>9</v>
      </c>
    </row>
    <row r="200" spans="2:17" ht="15" customHeight="1" thickBot="1" x14ac:dyDescent="0.3">
      <c r="B200" s="435" t="str">
        <f>$B$100</f>
        <v>i = e</v>
      </c>
      <c r="C200" s="444">
        <v>10000</v>
      </c>
      <c r="D200" s="530">
        <v>-0.11</v>
      </c>
      <c r="E200" s="537">
        <v>12</v>
      </c>
      <c r="F200" s="444">
        <v>10000</v>
      </c>
      <c r="G200" s="530">
        <v>-0.12</v>
      </c>
      <c r="H200" s="537">
        <v>15</v>
      </c>
      <c r="I200" s="444">
        <v>10000</v>
      </c>
      <c r="J200" s="530">
        <v>-0.1</v>
      </c>
      <c r="K200" s="537">
        <v>9</v>
      </c>
      <c r="L200" s="444">
        <v>10000</v>
      </c>
      <c r="M200" s="530">
        <v>-0.1</v>
      </c>
      <c r="N200" s="537">
        <v>9</v>
      </c>
      <c r="O200" s="444">
        <v>10000</v>
      </c>
      <c r="P200" s="530">
        <v>-0.1</v>
      </c>
      <c r="Q200" s="537">
        <v>9</v>
      </c>
    </row>
    <row r="201" spans="2:17" ht="15" customHeight="1" x14ac:dyDescent="0.25">
      <c r="B201" s="429"/>
      <c r="C201" s="1719" t="str">
        <f>$C$143</f>
        <v>South row - Interior modules</v>
      </c>
      <c r="D201" s="1720"/>
      <c r="E201" s="1721"/>
      <c r="F201" s="1719" t="str">
        <f>$C$143</f>
        <v>South row - Interior modules</v>
      </c>
      <c r="G201" s="1720"/>
      <c r="H201" s="1721"/>
      <c r="I201" s="1719" t="str">
        <f>$C$143</f>
        <v>South row - Interior modules</v>
      </c>
      <c r="J201" s="1720"/>
      <c r="K201" s="1721"/>
      <c r="L201" s="1719" t="str">
        <f>$C$143</f>
        <v>South row - Interior modules</v>
      </c>
      <c r="M201" s="1720"/>
      <c r="N201" s="1721"/>
      <c r="O201" s="1719" t="str">
        <f>$C$143</f>
        <v>South row - Interior modules</v>
      </c>
      <c r="P201" s="1720"/>
      <c r="Q201" s="1721"/>
    </row>
    <row r="202" spans="2:17" ht="15" customHeight="1" thickBot="1" x14ac:dyDescent="0.3">
      <c r="B202" s="430"/>
      <c r="C202" s="431" t="str">
        <f>$C$95</f>
        <v>An i</v>
      </c>
      <c r="D202" s="527" t="str">
        <f>$D$153</f>
        <v>cpML i</v>
      </c>
      <c r="E202" s="432" t="str">
        <f>$E$153</f>
        <v>mL i</v>
      </c>
      <c r="F202" s="431" t="str">
        <f>$C$95</f>
        <v>An i</v>
      </c>
      <c r="G202" s="527" t="str">
        <f>$D$153</f>
        <v>cpML i</v>
      </c>
      <c r="H202" s="432" t="str">
        <f>$E$153</f>
        <v>mL i</v>
      </c>
      <c r="I202" s="431" t="str">
        <f>$C$95</f>
        <v>An i</v>
      </c>
      <c r="J202" s="527" t="str">
        <f>$D$153</f>
        <v>cpML i</v>
      </c>
      <c r="K202" s="432" t="str">
        <f>$E$153</f>
        <v>mL i</v>
      </c>
      <c r="L202" s="431" t="str">
        <f>$C$95</f>
        <v>An i</v>
      </c>
      <c r="M202" s="527" t="str">
        <f>$D$153</f>
        <v>cpML i</v>
      </c>
      <c r="N202" s="432" t="str">
        <f>$E$153</f>
        <v>mL i</v>
      </c>
      <c r="O202" s="431" t="str">
        <f>$C$95</f>
        <v>An i</v>
      </c>
      <c r="P202" s="527" t="str">
        <f>$D$153</f>
        <v>cpML i</v>
      </c>
      <c r="Q202" s="432" t="str">
        <f>$E$153</f>
        <v>mL i</v>
      </c>
    </row>
    <row r="203" spans="2:17" ht="15" customHeight="1" x14ac:dyDescent="0.25">
      <c r="B203" s="433" t="str">
        <f>$B$96</f>
        <v>i = a</v>
      </c>
      <c r="C203" s="442">
        <v>1</v>
      </c>
      <c r="D203" s="528">
        <v>-0.47</v>
      </c>
      <c r="E203" s="535">
        <v>116</v>
      </c>
      <c r="F203" s="442">
        <v>1</v>
      </c>
      <c r="G203" s="528">
        <v>-0.31</v>
      </c>
      <c r="H203" s="535">
        <v>70</v>
      </c>
      <c r="I203" s="442">
        <v>1</v>
      </c>
      <c r="J203" s="528">
        <v>-0.26</v>
      </c>
      <c r="K203" s="535">
        <v>55</v>
      </c>
      <c r="L203" s="442">
        <v>1</v>
      </c>
      <c r="M203" s="528">
        <v>-0.18</v>
      </c>
      <c r="N203" s="535">
        <v>32</v>
      </c>
      <c r="O203" s="442">
        <v>1</v>
      </c>
      <c r="P203" s="528">
        <v>-0.18</v>
      </c>
      <c r="Q203" s="535">
        <v>32</v>
      </c>
    </row>
    <row r="204" spans="2:17" ht="15" customHeight="1" x14ac:dyDescent="0.25">
      <c r="B204" s="434" t="str">
        <f>$B$97</f>
        <v>i = b</v>
      </c>
      <c r="C204" s="443">
        <v>6</v>
      </c>
      <c r="D204" s="529">
        <v>-0.3</v>
      </c>
      <c r="E204" s="536">
        <v>67</v>
      </c>
      <c r="F204" s="443">
        <v>10</v>
      </c>
      <c r="G204" s="529">
        <v>-0.18</v>
      </c>
      <c r="H204" s="536">
        <v>32</v>
      </c>
      <c r="I204" s="443">
        <v>12.5</v>
      </c>
      <c r="J204" s="529">
        <v>-0.15</v>
      </c>
      <c r="K204" s="536">
        <v>23</v>
      </c>
      <c r="L204" s="443">
        <v>9</v>
      </c>
      <c r="M204" s="529">
        <v>-0.1</v>
      </c>
      <c r="N204" s="536">
        <v>9</v>
      </c>
      <c r="O204" s="443">
        <v>14</v>
      </c>
      <c r="P204" s="529">
        <v>-0.11</v>
      </c>
      <c r="Q204" s="536">
        <v>12</v>
      </c>
    </row>
    <row r="205" spans="2:17" ht="15" customHeight="1" x14ac:dyDescent="0.25">
      <c r="B205" s="434" t="str">
        <f>$B$98</f>
        <v>i = c</v>
      </c>
      <c r="C205" s="443">
        <v>147.5</v>
      </c>
      <c r="D205" s="529">
        <v>-0.16</v>
      </c>
      <c r="E205" s="536">
        <v>26</v>
      </c>
      <c r="F205" s="443">
        <v>184</v>
      </c>
      <c r="G205" s="529">
        <v>-0.16</v>
      </c>
      <c r="H205" s="536">
        <v>26</v>
      </c>
      <c r="I205" s="443">
        <v>28</v>
      </c>
      <c r="J205" s="529">
        <v>-0.13</v>
      </c>
      <c r="K205" s="536">
        <v>18</v>
      </c>
      <c r="L205" s="443">
        <v>9</v>
      </c>
      <c r="M205" s="529">
        <v>-0.1</v>
      </c>
      <c r="N205" s="536">
        <v>9</v>
      </c>
      <c r="O205" s="443">
        <v>30</v>
      </c>
      <c r="P205" s="529">
        <v>-0.1</v>
      </c>
      <c r="Q205" s="536">
        <v>9</v>
      </c>
    </row>
    <row r="206" spans="2:17" ht="15" customHeight="1" x14ac:dyDescent="0.25">
      <c r="B206" s="434" t="str">
        <f>$B$99</f>
        <v>i = d</v>
      </c>
      <c r="C206" s="443">
        <v>872</v>
      </c>
      <c r="D206" s="529">
        <v>-0.11</v>
      </c>
      <c r="E206" s="536">
        <v>12</v>
      </c>
      <c r="F206" s="443">
        <v>738</v>
      </c>
      <c r="G206" s="529">
        <v>-0.12</v>
      </c>
      <c r="H206" s="536">
        <v>15</v>
      </c>
      <c r="I206" s="443">
        <v>60</v>
      </c>
      <c r="J206" s="529">
        <v>-0.1</v>
      </c>
      <c r="K206" s="536">
        <v>9</v>
      </c>
      <c r="L206" s="443">
        <v>9</v>
      </c>
      <c r="M206" s="529">
        <v>-0.1</v>
      </c>
      <c r="N206" s="536">
        <v>9</v>
      </c>
      <c r="O206" s="443">
        <v>30</v>
      </c>
      <c r="P206" s="529">
        <v>-0.1</v>
      </c>
      <c r="Q206" s="536">
        <v>9</v>
      </c>
    </row>
    <row r="207" spans="2:17" ht="15" customHeight="1" thickBot="1" x14ac:dyDescent="0.3">
      <c r="B207" s="435" t="str">
        <f>$B$100</f>
        <v>i = e</v>
      </c>
      <c r="C207" s="444">
        <v>10000</v>
      </c>
      <c r="D207" s="530">
        <v>-0.11</v>
      </c>
      <c r="E207" s="537">
        <v>12</v>
      </c>
      <c r="F207" s="444">
        <v>10000</v>
      </c>
      <c r="G207" s="530">
        <v>-0.12</v>
      </c>
      <c r="H207" s="537">
        <v>15</v>
      </c>
      <c r="I207" s="444">
        <v>10000</v>
      </c>
      <c r="J207" s="530">
        <v>-0.1</v>
      </c>
      <c r="K207" s="537">
        <v>9</v>
      </c>
      <c r="L207" s="444">
        <v>10000</v>
      </c>
      <c r="M207" s="530">
        <v>-0.1</v>
      </c>
      <c r="N207" s="537">
        <v>9</v>
      </c>
      <c r="O207" s="444">
        <v>10000</v>
      </c>
      <c r="P207" s="530">
        <v>-0.1</v>
      </c>
      <c r="Q207" s="537">
        <v>9</v>
      </c>
    </row>
    <row r="210" spans="2:17" ht="15" customHeight="1" thickBot="1" x14ac:dyDescent="0.3">
      <c r="B210" s="143" t="s">
        <v>470</v>
      </c>
    </row>
    <row r="211" spans="2:17" ht="15" customHeight="1" thickBot="1" x14ac:dyDescent="0.3">
      <c r="D211" s="591"/>
      <c r="E211" s="592"/>
      <c r="F211" s="592" t="str">
        <f>$F$23</f>
        <v>Sliding</v>
      </c>
      <c r="G211" s="592"/>
      <c r="H211" s="592"/>
      <c r="I211" s="591"/>
      <c r="J211" s="592"/>
      <c r="K211" s="592" t="str">
        <f>$K$23</f>
        <v>Uplift</v>
      </c>
      <c r="L211" s="592"/>
      <c r="M211" s="593"/>
    </row>
    <row r="212" spans="2:17" ht="15" customHeight="1" thickBot="1" x14ac:dyDescent="0.3">
      <c r="D212" s="437" t="str">
        <f>$D$24</f>
        <v>Roof position 1</v>
      </c>
      <c r="E212" s="438" t="str">
        <f>$E$24</f>
        <v>Roof position 2</v>
      </c>
      <c r="F212" s="438" t="str">
        <f>$F$24</f>
        <v>Roof position 3</v>
      </c>
      <c r="G212" s="438" t="str">
        <f>$G$24</f>
        <v>Roof position 4</v>
      </c>
      <c r="H212" s="526" t="str">
        <f>$H$24</f>
        <v>Roof position 5</v>
      </c>
      <c r="I212" s="437" t="str">
        <f>$I$24</f>
        <v>Roof position 1</v>
      </c>
      <c r="J212" s="438" t="str">
        <f>$J$24</f>
        <v>Roof position 2</v>
      </c>
      <c r="K212" s="438" t="str">
        <f>$K$24</f>
        <v>Roof position 3</v>
      </c>
      <c r="L212" s="438" t="str">
        <f>$L$24</f>
        <v>Roof position 4</v>
      </c>
      <c r="M212" s="439" t="str">
        <f>$H$24</f>
        <v>Roof position 5</v>
      </c>
    </row>
    <row r="213" spans="2:17" ht="15" customHeight="1" thickBot="1" x14ac:dyDescent="0.3">
      <c r="B213" s="143"/>
      <c r="C213" s="231"/>
      <c r="D213" s="437" t="s">
        <v>60</v>
      </c>
      <c r="E213" s="438" t="s">
        <v>60</v>
      </c>
      <c r="F213" s="438" t="s">
        <v>60</v>
      </c>
      <c r="G213" s="438" t="s">
        <v>60</v>
      </c>
      <c r="H213" s="438" t="s">
        <v>60</v>
      </c>
      <c r="I213" s="437" t="s">
        <v>60</v>
      </c>
      <c r="J213" s="438" t="s">
        <v>60</v>
      </c>
      <c r="K213" s="438" t="s">
        <v>60</v>
      </c>
      <c r="L213" s="438" t="s">
        <v>60</v>
      </c>
      <c r="M213" s="439" t="s">
        <v>60</v>
      </c>
    </row>
    <row r="214" spans="2:17" ht="15" customHeight="1" thickBot="1" x14ac:dyDescent="0.3">
      <c r="B214" s="454" t="s">
        <v>471</v>
      </c>
      <c r="C214" s="953" t="s">
        <v>46</v>
      </c>
      <c r="D214" s="457">
        <f>IF(AND($G$19&gt;=0,$G$19&lt;=0.1),D215+(D216-D215)/(0.1-0)*($G$19-0),IF(AND($G$19&gt;0.1,$G$19&lt;=0.2),D216+(D217-D216)/(0.2-0.1)*($G$19-0.1),IF($G$19&gt;0.2,D217,"Fehler")))</f>
        <v>0.99756084290480251</v>
      </c>
      <c r="E214" s="458">
        <f t="shared" ref="E214:M214" si="25">IF(AND($G$19&gt;=0,$G$19&lt;=0.1),E215+(E216-E215)/(0.1-0)*($G$19-0),IF(AND($G$19&gt;0.1,$G$19&lt;=0.2),E216+(E217-E216)/(0.2-0.1)*($G$19-0.1),IF($G$19&gt;0.2,E217,"Fehler")))</f>
        <v>0.99826388888888884</v>
      </c>
      <c r="F214" s="458">
        <f t="shared" si="25"/>
        <v>1.09375</v>
      </c>
      <c r="G214" s="458">
        <f t="shared" si="25"/>
        <v>1.0138888888888888</v>
      </c>
      <c r="H214" s="458">
        <f t="shared" si="25"/>
        <v>0.98090277777777779</v>
      </c>
      <c r="I214" s="457">
        <f>IF(AND($G$19&gt;=0,$G$19&lt;=0.1),I215+(I216-I215)/(0.1-0)*($G$19-0),IF(AND($G$19&gt;0.1,$G$19&lt;=0.2),I216+(I217-I216)/(0.2-0.1)*($G$19-0.1),IF($G$19&gt;0.2,I217,"Fehler")))</f>
        <v>1.0086805555555556</v>
      </c>
      <c r="J214" s="458">
        <f t="shared" si="25"/>
        <v>1</v>
      </c>
      <c r="K214" s="458">
        <f t="shared" si="25"/>
        <v>1.1111111111111112</v>
      </c>
      <c r="L214" s="458">
        <f t="shared" si="25"/>
        <v>1.0243055555555556</v>
      </c>
      <c r="M214" s="459">
        <f t="shared" si="25"/>
        <v>0.98263888888888884</v>
      </c>
    </row>
    <row r="215" spans="2:17" ht="15" customHeight="1" x14ac:dyDescent="0.2">
      <c r="B215" s="1722" t="s">
        <v>472</v>
      </c>
      <c r="C215" s="183" t="s">
        <v>44</v>
      </c>
      <c r="D215" s="189">
        <v>1</v>
      </c>
      <c r="E215" s="190">
        <v>1</v>
      </c>
      <c r="F215" s="190">
        <v>1</v>
      </c>
      <c r="G215" s="190">
        <v>1</v>
      </c>
      <c r="H215" s="190">
        <v>1</v>
      </c>
      <c r="I215" s="189">
        <v>1</v>
      </c>
      <c r="J215" s="190">
        <v>1</v>
      </c>
      <c r="K215" s="190">
        <v>1</v>
      </c>
      <c r="L215" s="190">
        <v>1</v>
      </c>
      <c r="M215" s="191">
        <v>1</v>
      </c>
    </row>
    <row r="216" spans="2:17" ht="15" customHeight="1" x14ac:dyDescent="0.2">
      <c r="B216" s="1723"/>
      <c r="C216" s="450" t="s">
        <v>42</v>
      </c>
      <c r="D216" s="451">
        <f>IF($D$19&lt;C222,"Fehler",IF(AND($D$19&gt;=C222,$D$19&lt;C223),D222+(D223-D222)/(LOG(C223)-LOG(C222))*(LOG($D$19)-LOG(C222)),IF(AND($D$19&gt;=C223,$D$19&lt;C224),D223+(D224-D223)/(LOG(C224)-LOG(C223))*(LOG($D$19)-LOG(C223)),IF(AND($D$19&gt;=C224,$D$19&lt;C225),D224+(D225-D224)/(LOG(C225)-LOG(C224))*(LOG($D$19)-LOG(C224)),IF($D$19&gt;=C225,D225,"Fehler")))))</f>
        <v>0.98595045513166257</v>
      </c>
      <c r="E216" s="452">
        <f>IF($D$19&lt;E222,"Fehler",IF(AND($D$19&gt;=E222,$D$19&lt;E223),F222+(F223-F222)/(LOG(E223)-LOG(E222))*(LOG($D$19)-LOG(E222)),IF(AND($D$19&gt;=E223,$D$19&lt;E224),F223+(F224-F223)/(LOG(E224)-LOG(E223))*(LOG($D$19)-LOG(E223)),IF(AND($D$19&gt;=E224,$D$19&lt;E225),F224+(F225-F224)/(LOG(E225)-LOG(E224))*(LOG($D$19)-LOG(E224)),IF($D$19&gt;=E225,F225,"Fehler")))))</f>
        <v>0.99</v>
      </c>
      <c r="F216" s="452">
        <f>IF($D$19&lt;G222,"Fehler",IF(AND($D$19&gt;=G222,$D$19&lt;G223),H222+(H223-H222)/(LOG(G223)-LOG(G222))*(LOG($D$19)-LOG(G222)),IF(AND($D$19&gt;=G223,$D$19&lt;G224),H223+(H224-H223)/(LOG(G224)-LOG(G223))*(LOG($D$19)-LOG(G223)),IF(AND($D$19&gt;=G224,$D$19&lt;G225),H224+(H225-H224)/(LOG(G225)-LOG(G224))*(LOG($D$19)-LOG(G224)),IF($D$19&gt;=G225,H225,"Fehler")))))</f>
        <v>1.54</v>
      </c>
      <c r="G216" s="452">
        <f>IF($D$19&lt;I222,"Fehler",IF(AND($D$19&gt;=I222,$D$19&lt;I223),J222+(J223-J222)/(LOG(I223)-LOG(I222))*(LOG($D$19)-LOG(I222)),IF(AND($D$19&gt;=I223,$D$19&lt;I224),J223+(J224-J223)/(LOG(I224)-LOG(I223))*(LOG($D$19)-LOG(I223)),IF(AND($D$19&gt;=I224,$D$19&lt;I225),J224+(J225-J224)/(LOG(I225)-LOG(I224))*(LOG($D$19)-LOG(I224)),IF($D$19&gt;=I225,J225,"Fehler")))))</f>
        <v>1.08</v>
      </c>
      <c r="H216" s="531">
        <f>IF($D$19&lt;K222,"Fehler",IF(AND($D$19&gt;=K222,$D$19&lt;K223),L222+(L223-L222)/(LOG(K223)-LOG(K222))*(LOG($D$19)-LOG(K222)),IF(AND($D$19&gt;=K223,$D$19&lt;K224),L223+(L224-L223)/(LOG(K224)-LOG(K223))*(LOG($D$19)-LOG(K223)),IF(AND($D$19&gt;=K224,$D$19&lt;K225),L224+(L225-L224)/(LOG(K225)-LOG(K224))*(LOG($D$19)-LOG(K224)),IF($D$19&gt;=K225,L225,"Fehler")))))</f>
        <v>0.89</v>
      </c>
      <c r="I216" s="451">
        <f>IF($D$16&lt;C236,"Fehler",IF(AND($D$16&gt;=C236,$D$16&lt;C237),D236+(D237-D236)/(LOG(C237)-LOG(C236))*(LOG($D$16)-LOG(C236)),IF(AND($D$16&gt;=C237,$D$16&lt;C238),D237+(D238-D237)/(LOG(C238)-LOG(C237))*(LOG($D$16)-LOG(C237)),IF(AND($D$16&gt;=C238,$D$16&lt;C239),D238+(D239-D238)/(LOG(C239)-LOG(C238))*(LOG($D$16)-LOG(C238)),IF($D$16&gt;=C239,D239,"Fehler")))))</f>
        <v>1.05</v>
      </c>
      <c r="J216" s="452">
        <f>IF($D$16&lt;E236,"Fehler",IF(AND($D$16&gt;=E236,$D$16&lt;E237),F236+(F237-F236)/(LOG(E237)-LOG(E236))*(LOG($D$16)-LOG(E236)),IF(AND($D$16&gt;=E237,$D$16&lt;E238),F237+(F238-F237)/(LOG(E238)-LOG(E237))*(LOG($D$16)-LOG(E237)),IF(AND($D$16&gt;=E238,$D$16&lt;E239),F238+(F239-F238)/(LOG(E239)-LOG(E238))*(LOG($D$16)-LOG(E238)),IF($D$16&gt;=E239,F239,"Fehler")))))</f>
        <v>1</v>
      </c>
      <c r="K216" s="452">
        <f>IF($D$16&lt;G236,"Fehler",IF(AND($D$16&gt;=G236,$D$16&lt;G237),H236+(H237-H236)/(LOG(G237)-LOG(G236))*(LOG($D$16)-LOG(G236)),IF(AND($D$16&gt;=G237,$D$16&lt;G238),H237+(H238-H237)/(LOG(G238)-LOG(G237))*(LOG($D$16)-LOG(G237)),IF(AND($D$16&gt;=G238,$D$16&lt;G239),H238+(H239-H238)/(LOG(G239)-LOG(G238))*(LOG($D$16)-LOG(G238)),IF($D$16&gt;=G239,H239,"Fehler")))))</f>
        <v>1.64</v>
      </c>
      <c r="L216" s="452">
        <f>IF($D$16&lt;I236,"Fehler",IF(AND($D$16&gt;=I236,$D$16&lt;I237),J236+(J237-J236)/(LOG(I237)-LOG(I236))*(LOG($D$16)-LOG(I236)),IF(AND($D$16&gt;=I237,$D$16&lt;I238),J237+(J238-J237)/(LOG(I238)-LOG(I237))*(LOG($D$16)-LOG(I237)),IF(AND($D$16&gt;=I238,$D$16&lt;I239),J238+(J239-J238)/(LOG(I239)-LOG(I238))*(LOG($D$16)-LOG(I238)),IF($D$16&gt;=I239,J239,"Fehler")))))</f>
        <v>1.1399999999999999</v>
      </c>
      <c r="M216" s="453">
        <f>IF($D$16&lt;K236,"Fehler",IF(AND($D$16&gt;=K236,$D$16&lt;K237),L236+(L237-L236)/(LOG(K237)-LOG(K236))*(LOG($D$16)-LOG(K236)),IF(AND($D$16&gt;=K237,$D$16&lt;K238),L237+(L238-L237)/(LOG(K238)-LOG(K237))*(LOG($D$16)-LOG(K237)),IF(AND($D$16&gt;=K238,$D$16&lt;K239),L238+(L239-L238)/(LOG(K239)-LOG(K238))*(LOG($D$16)-LOG(K238)),IF($D$16&gt;=K239,L239,"Fehler")))))</f>
        <v>0.9</v>
      </c>
    </row>
    <row r="217" spans="2:17" ht="15" customHeight="1" thickBot="1" x14ac:dyDescent="0.25">
      <c r="B217" s="1724"/>
      <c r="C217" s="278" t="s">
        <v>43</v>
      </c>
      <c r="D217" s="447">
        <f>IF($D$19&lt;C228,"Fehler",IF(AND($D$19&gt;=C228,$D$19&lt;C229),D228+(D229-D228)/(LOG(C229)-LOG(C228))*(LOG($D$19)-LOG(C228)),IF(AND($D$19&gt;=C229,$D$19&lt;C230),D229+(D230-D229)/(LOG(C230)-LOG(C229))*(LOG($D$19)-LOG(C229)),IF(AND($D$19&gt;=C230,$D$19&lt;C231),D230+(D231-D230)/(LOG(C231)-LOG(C230))*(LOG($D$19)-LOG(C230)),IF($D$19&gt;=C231,D231,"Fehler")))))</f>
        <v>0.76048545378391907</v>
      </c>
      <c r="E217" s="448">
        <f>IF($D$19&lt;E228,"Fehler",IF(AND($D$19&gt;=E228,$D$19&lt;E229),F228+(F229-F228)/(LOG(E229)-LOG(E228))*(LOG($D$19)-LOG(E228)),IF(AND($D$19&gt;=E229,$D$19&lt;E230),F229+(F230-F229)/(LOG(E230)-LOG(E229))*(LOG($D$19)-LOG(E229)),IF(AND($D$19&gt;=E230,$D$19&lt;E231),F230+(F231-F230)/(LOG(E231)-LOG(E230))*(LOG($D$19)-LOG(E230)),IF($D$19&gt;=E231,F231,"Fehler")))))</f>
        <v>0.92</v>
      </c>
      <c r="F217" s="448">
        <f>IF($D$19&lt;G228,"Fehler",IF(AND($D$19&gt;=G228,$D$19&lt;G229),H228+(H229-H228)/(LOG(G229)-LOG(G228))*(LOG($D$19)-LOG(G228)),IF(AND($D$19&gt;=G229,$D$19&lt;G230),H229+(H230-H229)/(LOG(G230)-LOG(G229))*(LOG($D$19)-LOG(G229)),IF(AND($D$19&gt;=G230,$D$19&lt;G231),H230+(H231-H230)/(LOG(G231)-LOG(G230))*(LOG($D$19)-LOG(G230)),IF($D$19&gt;=G231,H231,"Fehler")))))</f>
        <v>1.84</v>
      </c>
      <c r="G217" s="448">
        <f>IF($D$19&lt;I228,"Fehler",IF(AND($D$19&gt;=I228,$D$19&lt;I229),J228+(J229-J228)/(LOG(I229)-LOG(I228))*(LOG($D$19)-LOG(I228)),IF(AND($D$19&gt;=I229,$D$19&lt;I230),J229+(J230-J229)/(LOG(I230)-LOG(I229))*(LOG($D$19)-LOG(I229)),IF(AND($D$19&gt;=I230,$D$19&lt;I231),J230+(J231-J230)/(LOG(I231)-LOG(I230))*(LOG($D$19)-LOG(I230)),IF($D$19&gt;=I231,J231,"Fehler")))))</f>
        <v>1.53</v>
      </c>
      <c r="H217" s="532">
        <f>IF($D$19&lt;K228,"Fehler",IF(AND($D$19&gt;=K228,$D$19&lt;K229),L228+(L229-L228)/(LOG(K229)-LOG(K228))*(LOG($D$19)-LOG(K228)),IF(AND($D$19&gt;=K229,$D$19&lt;K230),L229+(L230-L229)/(LOG(K230)-LOG(K229))*(LOG($D$19)-LOG(K229)),IF(AND($D$19&gt;=K230,$D$19&lt;K231),L230+(L231-L230)/(LOG(K231)-LOG(K230))*(LOG($D$19)-LOG(K230)),IF($D$19&gt;=K231,L231,"Fehler")))))</f>
        <v>1.1200000000000001</v>
      </c>
      <c r="I217" s="447">
        <f>IF($D$16&lt;C242,"Fehler",IF(AND($D$16&gt;=C242,$D$16&lt;C243),D242+(D243-D242)/(LOG(C243)-LOG(C242))*(LOG($D$16)-LOG(C242)),IF(AND($D$16&gt;=C243,$D$16&lt;C244),D243+(D244-D243)/(LOG(C244)-LOG(C243))*(LOG($D$16)-LOG(C243)),IF(AND($D$16&gt;=C244,$D$16&lt;C245),D244+(D245-D244)/(LOG(C245)-LOG(C244))*(LOG($D$16)-LOG(C244)),IF($D$16&gt;=C245,D245,"Fehler")))))</f>
        <v>0.81</v>
      </c>
      <c r="J217" s="448">
        <f>IF($D$16&lt;E242,"Fehler",IF(AND($D$16&gt;=E242,$D$16&lt;E243),F242+(F243-F242)/(LOG(E243)-LOG(E242))*(LOG($D$16)-LOG(E242)),IF(AND($D$16&gt;=E243,$D$16&lt;E244),F243+(F244-F243)/(LOG(E244)-LOG(E243))*(LOG($D$16)-LOG(E243)),IF(AND($D$16&gt;=E244,$D$16&lt;E245),F244+(F245-F244)/(LOG(E245)-LOG(E244))*(LOG($D$16)-LOG(E244)),IF($D$16&gt;=E245,F245,"Fehler")))))</f>
        <v>0.92</v>
      </c>
      <c r="K217" s="448">
        <f>IF($D$16&lt;G242,"Fehler",IF(AND($D$16&gt;=G242,$D$16&lt;G243),H242+(H243-H242)/(LOG(G243)-LOG(G242))*(LOG($D$16)-LOG(G242)),IF(AND($D$16&gt;=G243,$D$16&lt;G244),H243+(H244-H243)/(LOG(G244)-LOG(G243))*(LOG($D$16)-LOG(G243)),IF(AND($D$16&gt;=G244,$D$16&lt;G245),H244+(H245-H244)/(LOG(G245)-LOG(G244))*(LOG($D$16)-LOG(G244)),IF($D$16&gt;=G245,H245,"Fehler")))))</f>
        <v>1.96</v>
      </c>
      <c r="L217" s="448">
        <f>IF($D$16&lt;I242,"Fehler",IF(AND($D$16&gt;=I242,$D$16&lt;I243),J242+(J243-J242)/(LOG(I243)-LOG(I242))*(LOG($D$16)-LOG(I242)),IF(AND($D$16&gt;=I243,$D$16&lt;I244),J243+(J244-J243)/(LOG(I244)-LOG(I243))*(LOG($D$16)-LOG(I243)),IF(AND($D$16&gt;=I244,$D$16&lt;I245),J244+(J245-J244)/(LOG(I245)-LOG(I244))*(LOG($D$16)-LOG(I244)),IF($D$16&gt;=I245,J245,"Fehler")))))</f>
        <v>1.62</v>
      </c>
      <c r="M217" s="449">
        <f>IF($D$16&lt;K242,"Fehler",IF(AND($D$16&gt;=K242,$D$16&lt;K243),L242+(L243-L242)/(LOG(K243)-LOG(K242))*(LOG($D$16)-LOG(K242)),IF(AND($D$16&gt;=K243,$D$16&lt;K244),L243+(L244-L243)/(LOG(K244)-LOG(K243))*(LOG($D$16)-LOG(K243)),IF(AND($D$16&gt;=K244,$D$16&lt;K245),L244+(L245-L244)/(LOG(K245)-LOG(K244))*(LOG($D$16)-LOG(K244)),IF($D$16&gt;=K245,L245,"Fehler")))))</f>
        <v>1.1200000000000001</v>
      </c>
    </row>
    <row r="218" spans="2:17" ht="15" customHeight="1" thickBot="1" x14ac:dyDescent="0.3">
      <c r="B218" s="143"/>
    </row>
    <row r="219" spans="2:17" ht="15" customHeight="1" thickBot="1" x14ac:dyDescent="0.3">
      <c r="B219" s="534" t="str">
        <f>F23</f>
        <v>Sliding</v>
      </c>
      <c r="C219" s="1715" t="str">
        <f>$D$24</f>
        <v>Roof position 1</v>
      </c>
      <c r="D219" s="1716"/>
      <c r="E219" s="1715" t="str">
        <f>$E$24</f>
        <v>Roof position 2</v>
      </c>
      <c r="F219" s="1716"/>
      <c r="G219" s="1715" t="str">
        <f>$F$24</f>
        <v>Roof position 3</v>
      </c>
      <c r="H219" s="1716"/>
      <c r="I219" s="1715" t="str">
        <f>$G$24</f>
        <v>Roof position 4</v>
      </c>
      <c r="J219" s="1716"/>
      <c r="K219" s="1715" t="str">
        <f>$H$24</f>
        <v>Roof position 5</v>
      </c>
      <c r="L219" s="1716"/>
      <c r="N219" s="231"/>
      <c r="O219" s="231"/>
      <c r="P219" s="231"/>
      <c r="Q219" s="231"/>
    </row>
    <row r="220" spans="2:17" ht="15" customHeight="1" x14ac:dyDescent="0.25">
      <c r="B220" s="429"/>
      <c r="C220" s="440" t="s">
        <v>61</v>
      </c>
      <c r="D220" s="441" t="s">
        <v>41</v>
      </c>
      <c r="E220" s="440" t="str">
        <f>$C$220</f>
        <v>A i</v>
      </c>
      <c r="F220" s="441" t="str">
        <f>$D$220</f>
        <v>kp i</v>
      </c>
      <c r="G220" s="440" t="str">
        <f>$C$220</f>
        <v>A i</v>
      </c>
      <c r="H220" s="441" t="str">
        <f>$D$220</f>
        <v>kp i</v>
      </c>
      <c r="I220" s="440" t="str">
        <f>$C$220</f>
        <v>A i</v>
      </c>
      <c r="J220" s="441" t="str">
        <f>$D$220</f>
        <v>kp i</v>
      </c>
      <c r="K220" s="440" t="str">
        <f>$C$220</f>
        <v>A i</v>
      </c>
      <c r="L220" s="441" t="str">
        <f>$D$220</f>
        <v>kp i</v>
      </c>
      <c r="N220" s="231"/>
      <c r="O220" s="231"/>
      <c r="P220" s="231"/>
      <c r="Q220" s="231"/>
    </row>
    <row r="221" spans="2:17" ht="15" customHeight="1" thickBot="1" x14ac:dyDescent="0.3">
      <c r="B221" s="430"/>
      <c r="C221" s="1717" t="s">
        <v>48</v>
      </c>
      <c r="D221" s="1718">
        <v>0</v>
      </c>
      <c r="E221" s="1717" t="s">
        <v>49</v>
      </c>
      <c r="F221" s="1718">
        <v>0</v>
      </c>
      <c r="G221" s="1717" t="s">
        <v>50</v>
      </c>
      <c r="H221" s="1718">
        <v>0</v>
      </c>
      <c r="I221" s="1717" t="s">
        <v>51</v>
      </c>
      <c r="J221" s="1718">
        <v>0</v>
      </c>
      <c r="K221" s="1717" t="s">
        <v>52</v>
      </c>
      <c r="L221" s="1718">
        <v>0</v>
      </c>
      <c r="N221" s="231"/>
      <c r="O221" s="231"/>
      <c r="P221" s="231"/>
      <c r="Q221" s="231"/>
    </row>
    <row r="222" spans="2:17" ht="15" customHeight="1" x14ac:dyDescent="0.25">
      <c r="B222" s="503" t="s">
        <v>37</v>
      </c>
      <c r="C222" s="557">
        <v>1</v>
      </c>
      <c r="D222" s="558">
        <v>1.05</v>
      </c>
      <c r="E222" s="557">
        <v>1</v>
      </c>
      <c r="F222" s="558">
        <v>0.99</v>
      </c>
      <c r="G222" s="557">
        <v>1</v>
      </c>
      <c r="H222" s="558">
        <v>1.54</v>
      </c>
      <c r="I222" s="557">
        <v>1</v>
      </c>
      <c r="J222" s="558">
        <v>1.08</v>
      </c>
      <c r="K222" s="557">
        <v>1</v>
      </c>
      <c r="L222" s="558">
        <v>0.89</v>
      </c>
      <c r="N222" s="231"/>
      <c r="O222" s="231"/>
      <c r="P222" s="231"/>
      <c r="Q222" s="231"/>
    </row>
    <row r="223" spans="2:17" ht="15" customHeight="1" x14ac:dyDescent="0.25">
      <c r="B223" s="434" t="s">
        <v>38</v>
      </c>
      <c r="C223" s="559">
        <v>71</v>
      </c>
      <c r="D223" s="560">
        <v>1.05</v>
      </c>
      <c r="E223" s="559">
        <v>184</v>
      </c>
      <c r="F223" s="560">
        <v>0.99</v>
      </c>
      <c r="G223" s="559">
        <v>106</v>
      </c>
      <c r="H223" s="560">
        <v>1.54</v>
      </c>
      <c r="I223" s="559">
        <v>100</v>
      </c>
      <c r="J223" s="560">
        <v>1.08</v>
      </c>
      <c r="K223" s="559">
        <v>160</v>
      </c>
      <c r="L223" s="560">
        <v>0.89</v>
      </c>
      <c r="N223" s="231"/>
      <c r="O223" s="231"/>
      <c r="P223" s="231"/>
      <c r="Q223" s="231"/>
    </row>
    <row r="224" spans="2:17" ht="15" customHeight="1" x14ac:dyDescent="0.25">
      <c r="B224" s="434" t="s">
        <v>39</v>
      </c>
      <c r="C224" s="559">
        <v>368</v>
      </c>
      <c r="D224" s="560">
        <v>0.72</v>
      </c>
      <c r="E224" s="559">
        <v>368</v>
      </c>
      <c r="F224" s="560">
        <v>0.92</v>
      </c>
      <c r="G224" s="559">
        <v>368</v>
      </c>
      <c r="H224" s="560">
        <v>1.27</v>
      </c>
      <c r="I224" s="559">
        <v>366</v>
      </c>
      <c r="J224" s="560">
        <v>0.91</v>
      </c>
      <c r="K224" s="559">
        <v>366</v>
      </c>
      <c r="L224" s="560">
        <v>0.8</v>
      </c>
      <c r="N224" s="231"/>
      <c r="O224" s="231"/>
      <c r="P224" s="231"/>
      <c r="Q224" s="231"/>
    </row>
    <row r="225" spans="2:17" ht="15" customHeight="1" thickBot="1" x14ac:dyDescent="0.3">
      <c r="B225" s="435" t="s">
        <v>40</v>
      </c>
      <c r="C225" s="561">
        <v>1000</v>
      </c>
      <c r="D225" s="562">
        <v>0.72</v>
      </c>
      <c r="E225" s="561">
        <v>1000</v>
      </c>
      <c r="F225" s="562">
        <v>0.92</v>
      </c>
      <c r="G225" s="561">
        <v>1000</v>
      </c>
      <c r="H225" s="562">
        <v>1.27</v>
      </c>
      <c r="I225" s="561">
        <v>1000</v>
      </c>
      <c r="J225" s="562">
        <v>0.91</v>
      </c>
      <c r="K225" s="561">
        <v>1000</v>
      </c>
      <c r="L225" s="562">
        <v>0.8</v>
      </c>
      <c r="N225" s="231"/>
      <c r="O225" s="231"/>
      <c r="P225" s="231"/>
      <c r="Q225" s="231"/>
    </row>
    <row r="226" spans="2:17" ht="15" customHeight="1" x14ac:dyDescent="0.25">
      <c r="B226" s="429"/>
      <c r="C226" s="563" t="str">
        <f>$C$220</f>
        <v>A i</v>
      </c>
      <c r="D226" s="564" t="str">
        <f>$D$220</f>
        <v>kp i</v>
      </c>
      <c r="E226" s="563" t="str">
        <f>$C$220</f>
        <v>A i</v>
      </c>
      <c r="F226" s="564" t="str">
        <f>$D$220</f>
        <v>kp i</v>
      </c>
      <c r="G226" s="563" t="str">
        <f>$C$220</f>
        <v>A i</v>
      </c>
      <c r="H226" s="564" t="str">
        <f>$D$220</f>
        <v>kp i</v>
      </c>
      <c r="I226" s="563" t="str">
        <f>$C$220</f>
        <v>A i</v>
      </c>
      <c r="J226" s="564" t="str">
        <f>$D$220</f>
        <v>kp i</v>
      </c>
      <c r="K226" s="563" t="str">
        <f>$C$220</f>
        <v>A i</v>
      </c>
      <c r="L226" s="564" t="str">
        <f>$D$220</f>
        <v>kp i</v>
      </c>
      <c r="N226" s="231"/>
      <c r="O226" s="231"/>
      <c r="P226" s="231"/>
      <c r="Q226" s="231"/>
    </row>
    <row r="227" spans="2:17" ht="15" customHeight="1" thickBot="1" x14ac:dyDescent="0.3">
      <c r="B227" s="430"/>
      <c r="C227" s="1713" t="s">
        <v>53</v>
      </c>
      <c r="D227" s="1714">
        <v>0</v>
      </c>
      <c r="E227" s="1713" t="s">
        <v>54</v>
      </c>
      <c r="F227" s="1714">
        <v>0</v>
      </c>
      <c r="G227" s="1713" t="s">
        <v>55</v>
      </c>
      <c r="H227" s="1714">
        <v>0</v>
      </c>
      <c r="I227" s="1713" t="s">
        <v>56</v>
      </c>
      <c r="J227" s="1714">
        <v>0</v>
      </c>
      <c r="K227" s="1713" t="s">
        <v>57</v>
      </c>
      <c r="L227" s="1714">
        <v>0</v>
      </c>
      <c r="N227" s="231"/>
      <c r="O227" s="231"/>
      <c r="P227" s="231"/>
      <c r="Q227" s="231"/>
    </row>
    <row r="228" spans="2:17" ht="15" customHeight="1" x14ac:dyDescent="0.25">
      <c r="B228" s="503" t="str">
        <f>$B$222</f>
        <v>i = a</v>
      </c>
      <c r="C228" s="557">
        <v>1</v>
      </c>
      <c r="D228" s="558">
        <v>0.81</v>
      </c>
      <c r="E228" s="557">
        <v>1</v>
      </c>
      <c r="F228" s="558">
        <v>0.92</v>
      </c>
      <c r="G228" s="557">
        <v>1</v>
      </c>
      <c r="H228" s="558">
        <v>1.84</v>
      </c>
      <c r="I228" s="557">
        <v>1</v>
      </c>
      <c r="J228" s="558">
        <v>1.53</v>
      </c>
      <c r="K228" s="557">
        <v>1</v>
      </c>
      <c r="L228" s="558">
        <v>1.1200000000000001</v>
      </c>
      <c r="N228" s="231"/>
      <c r="O228" s="231"/>
      <c r="P228" s="231"/>
      <c r="Q228" s="231"/>
    </row>
    <row r="229" spans="2:17" ht="15" customHeight="1" x14ac:dyDescent="0.25">
      <c r="B229" s="434" t="str">
        <f>$B$223</f>
        <v>i = b</v>
      </c>
      <c r="C229" s="559">
        <v>33</v>
      </c>
      <c r="D229" s="560">
        <v>0.81</v>
      </c>
      <c r="E229" s="559">
        <v>184</v>
      </c>
      <c r="F229" s="560">
        <v>0.92</v>
      </c>
      <c r="G229" s="559">
        <v>98</v>
      </c>
      <c r="H229" s="560">
        <v>1.84</v>
      </c>
      <c r="I229" s="559">
        <v>142</v>
      </c>
      <c r="J229" s="560">
        <v>1.53</v>
      </c>
      <c r="K229" s="559">
        <v>106</v>
      </c>
      <c r="L229" s="560">
        <v>1.1200000000000001</v>
      </c>
      <c r="N229" s="231"/>
      <c r="O229" s="231"/>
      <c r="P229" s="231"/>
      <c r="Q229" s="231"/>
    </row>
    <row r="230" spans="2:17" ht="15" customHeight="1" x14ac:dyDescent="0.25">
      <c r="B230" s="434" t="str">
        <f>$B$224</f>
        <v>i = c</v>
      </c>
      <c r="C230" s="559">
        <v>368</v>
      </c>
      <c r="D230" s="560">
        <v>0.7</v>
      </c>
      <c r="E230" s="559">
        <v>368</v>
      </c>
      <c r="F230" s="560">
        <v>0.92</v>
      </c>
      <c r="G230" s="559">
        <v>368</v>
      </c>
      <c r="H230" s="560">
        <v>1.55</v>
      </c>
      <c r="I230" s="559">
        <v>366</v>
      </c>
      <c r="J230" s="560">
        <v>1.27</v>
      </c>
      <c r="K230" s="559">
        <v>366</v>
      </c>
      <c r="L230" s="560">
        <v>0.8</v>
      </c>
      <c r="N230" s="231"/>
      <c r="O230" s="231"/>
      <c r="P230" s="231"/>
      <c r="Q230" s="231"/>
    </row>
    <row r="231" spans="2:17" ht="15" customHeight="1" thickBot="1" x14ac:dyDescent="0.3">
      <c r="B231" s="435" t="str">
        <f>$B$225</f>
        <v>i = d</v>
      </c>
      <c r="C231" s="561">
        <v>1000</v>
      </c>
      <c r="D231" s="562">
        <v>0.7</v>
      </c>
      <c r="E231" s="561">
        <v>1000</v>
      </c>
      <c r="F231" s="562">
        <v>0.92</v>
      </c>
      <c r="G231" s="561">
        <v>1000</v>
      </c>
      <c r="H231" s="562">
        <v>1.55</v>
      </c>
      <c r="I231" s="561">
        <v>1000</v>
      </c>
      <c r="J231" s="562">
        <v>1.27</v>
      </c>
      <c r="K231" s="561">
        <v>1000</v>
      </c>
      <c r="L231" s="562">
        <v>0.8</v>
      </c>
      <c r="N231" s="231"/>
      <c r="O231" s="231"/>
      <c r="P231" s="231"/>
      <c r="Q231" s="231"/>
    </row>
    <row r="232" spans="2:17" ht="15" customHeight="1" thickBot="1" x14ac:dyDescent="0.3">
      <c r="M232" s="121"/>
    </row>
    <row r="233" spans="2:17" ht="15" customHeight="1" thickBot="1" x14ac:dyDescent="0.3">
      <c r="B233" s="534" t="str">
        <f>K23</f>
        <v>Uplift</v>
      </c>
      <c r="C233" s="1715" t="str">
        <f>$D$24</f>
        <v>Roof position 1</v>
      </c>
      <c r="D233" s="1716"/>
      <c r="E233" s="1715" t="str">
        <f>$E$24</f>
        <v>Roof position 2</v>
      </c>
      <c r="F233" s="1716"/>
      <c r="G233" s="1715" t="str">
        <f>$F$24</f>
        <v>Roof position 3</v>
      </c>
      <c r="H233" s="1716"/>
      <c r="I233" s="1715" t="str">
        <f>$G$24</f>
        <v>Roof position 4</v>
      </c>
      <c r="J233" s="1716"/>
      <c r="K233" s="1715" t="str">
        <f>$H$24</f>
        <v>Roof position 5</v>
      </c>
      <c r="L233" s="1716"/>
      <c r="N233" s="231"/>
      <c r="O233" s="231"/>
      <c r="P233" s="231"/>
      <c r="Q233" s="231"/>
    </row>
    <row r="234" spans="2:17" ht="15" customHeight="1" x14ac:dyDescent="0.25">
      <c r="B234" s="429"/>
      <c r="C234" s="563" t="s">
        <v>61</v>
      </c>
      <c r="D234" s="564" t="s">
        <v>41</v>
      </c>
      <c r="E234" s="563" t="str">
        <f>$C$220</f>
        <v>A i</v>
      </c>
      <c r="F234" s="564" t="str">
        <f>$D$220</f>
        <v>kp i</v>
      </c>
      <c r="G234" s="563" t="str">
        <f>$C$220</f>
        <v>A i</v>
      </c>
      <c r="H234" s="564" t="str">
        <f>$D$220</f>
        <v>kp i</v>
      </c>
      <c r="I234" s="563" t="str">
        <f>$C$220</f>
        <v>A i</v>
      </c>
      <c r="J234" s="564" t="str">
        <f>$D$220</f>
        <v>kp i</v>
      </c>
      <c r="K234" s="563" t="str">
        <f>$C$220</f>
        <v>A i</v>
      </c>
      <c r="L234" s="564" t="str">
        <f>$D$220</f>
        <v>kp i</v>
      </c>
      <c r="N234" s="231"/>
      <c r="O234" s="231"/>
      <c r="P234" s="231"/>
      <c r="Q234" s="231"/>
    </row>
    <row r="235" spans="2:17" ht="15" customHeight="1" thickBot="1" x14ac:dyDescent="0.3">
      <c r="B235" s="430"/>
      <c r="C235" s="1711" t="s">
        <v>48</v>
      </c>
      <c r="D235" s="1712">
        <v>0</v>
      </c>
      <c r="E235" s="1711" t="s">
        <v>49</v>
      </c>
      <c r="F235" s="1712">
        <v>0</v>
      </c>
      <c r="G235" s="1711" t="s">
        <v>50</v>
      </c>
      <c r="H235" s="1712">
        <v>0</v>
      </c>
      <c r="I235" s="1711" t="s">
        <v>51</v>
      </c>
      <c r="J235" s="1712">
        <v>0</v>
      </c>
      <c r="K235" s="1711" t="s">
        <v>52</v>
      </c>
      <c r="L235" s="1712">
        <v>0</v>
      </c>
      <c r="N235" s="231"/>
      <c r="O235" s="231"/>
      <c r="P235" s="231"/>
      <c r="Q235" s="231"/>
    </row>
    <row r="236" spans="2:17" ht="15" customHeight="1" x14ac:dyDescent="0.25">
      <c r="B236" s="503" t="str">
        <f>$B$222</f>
        <v>i = a</v>
      </c>
      <c r="C236" s="557">
        <v>1</v>
      </c>
      <c r="D236" s="558">
        <v>1.05</v>
      </c>
      <c r="E236" s="557">
        <v>1</v>
      </c>
      <c r="F236" s="558">
        <v>1</v>
      </c>
      <c r="G236" s="557">
        <v>1</v>
      </c>
      <c r="H236" s="558">
        <v>1.64</v>
      </c>
      <c r="I236" s="557">
        <v>1</v>
      </c>
      <c r="J236" s="558">
        <v>1.1399999999999999</v>
      </c>
      <c r="K236" s="557">
        <v>1</v>
      </c>
      <c r="L236" s="558">
        <v>0.9</v>
      </c>
      <c r="N236" s="231"/>
      <c r="O236" s="231"/>
      <c r="P236" s="231"/>
      <c r="Q236" s="231"/>
    </row>
    <row r="237" spans="2:17" ht="15" customHeight="1" x14ac:dyDescent="0.25">
      <c r="B237" s="434" t="str">
        <f>$B$223</f>
        <v>i = b</v>
      </c>
      <c r="C237" s="559">
        <v>71</v>
      </c>
      <c r="D237" s="560">
        <v>1.05</v>
      </c>
      <c r="E237" s="559">
        <v>184</v>
      </c>
      <c r="F237" s="560">
        <v>1</v>
      </c>
      <c r="G237" s="559">
        <v>106</v>
      </c>
      <c r="H237" s="560">
        <v>1.64</v>
      </c>
      <c r="I237" s="559">
        <v>100</v>
      </c>
      <c r="J237" s="560">
        <v>1.1399999999999999</v>
      </c>
      <c r="K237" s="559">
        <v>160</v>
      </c>
      <c r="L237" s="560">
        <v>0.9</v>
      </c>
      <c r="N237" s="231"/>
      <c r="O237" s="231"/>
      <c r="P237" s="231"/>
      <c r="Q237" s="231"/>
    </row>
    <row r="238" spans="2:17" ht="15" customHeight="1" x14ac:dyDescent="0.25">
      <c r="B238" s="434" t="str">
        <f>$B$224</f>
        <v>i = c</v>
      </c>
      <c r="C238" s="559">
        <v>368</v>
      </c>
      <c r="D238" s="560">
        <v>0.72</v>
      </c>
      <c r="E238" s="559">
        <v>368</v>
      </c>
      <c r="F238" s="560">
        <v>0.92</v>
      </c>
      <c r="G238" s="559">
        <v>368</v>
      </c>
      <c r="H238" s="560">
        <v>1.4</v>
      </c>
      <c r="I238" s="559">
        <v>366</v>
      </c>
      <c r="J238" s="560">
        <v>1</v>
      </c>
      <c r="K238" s="559">
        <v>366</v>
      </c>
      <c r="L238" s="560">
        <v>0.8</v>
      </c>
      <c r="N238" s="231"/>
      <c r="O238" s="231"/>
      <c r="P238" s="231"/>
      <c r="Q238" s="231"/>
    </row>
    <row r="239" spans="2:17" ht="15" customHeight="1" thickBot="1" x14ac:dyDescent="0.3">
      <c r="B239" s="435" t="str">
        <f>$B$225</f>
        <v>i = d</v>
      </c>
      <c r="C239" s="561">
        <v>1000</v>
      </c>
      <c r="D239" s="562">
        <v>0.72</v>
      </c>
      <c r="E239" s="561">
        <v>1000</v>
      </c>
      <c r="F239" s="562">
        <v>0.92</v>
      </c>
      <c r="G239" s="561">
        <v>1000</v>
      </c>
      <c r="H239" s="562">
        <v>1.4</v>
      </c>
      <c r="I239" s="561">
        <v>1000</v>
      </c>
      <c r="J239" s="562">
        <v>1</v>
      </c>
      <c r="K239" s="561">
        <v>1000</v>
      </c>
      <c r="L239" s="562">
        <v>0.8</v>
      </c>
      <c r="N239" s="231"/>
      <c r="O239" s="231"/>
      <c r="P239" s="231"/>
      <c r="Q239" s="231"/>
    </row>
    <row r="240" spans="2:17" ht="15" customHeight="1" x14ac:dyDescent="0.25">
      <c r="B240" s="429"/>
      <c r="C240" s="563" t="str">
        <f>$C$220</f>
        <v>A i</v>
      </c>
      <c r="D240" s="564" t="str">
        <f>$D$220</f>
        <v>kp i</v>
      </c>
      <c r="E240" s="563" t="str">
        <f>$C$220</f>
        <v>A i</v>
      </c>
      <c r="F240" s="564" t="str">
        <f>$D$220</f>
        <v>kp i</v>
      </c>
      <c r="G240" s="563" t="str">
        <f>$C$220</f>
        <v>A i</v>
      </c>
      <c r="H240" s="564" t="str">
        <f>$D$220</f>
        <v>kp i</v>
      </c>
      <c r="I240" s="563" t="str">
        <f>$C$220</f>
        <v>A i</v>
      </c>
      <c r="J240" s="564" t="str">
        <f>$D$220</f>
        <v>kp i</v>
      </c>
      <c r="K240" s="563" t="str">
        <f>$C$220</f>
        <v>A i</v>
      </c>
      <c r="L240" s="564" t="str">
        <f>$D$220</f>
        <v>kp i</v>
      </c>
      <c r="N240" s="231"/>
      <c r="O240" s="231"/>
      <c r="P240" s="231"/>
      <c r="Q240" s="231"/>
    </row>
    <row r="241" spans="2:17" ht="15" customHeight="1" thickBot="1" x14ac:dyDescent="0.3">
      <c r="B241" s="430"/>
      <c r="C241" s="1713" t="s">
        <v>53</v>
      </c>
      <c r="D241" s="1714">
        <v>0</v>
      </c>
      <c r="E241" s="1713" t="s">
        <v>54</v>
      </c>
      <c r="F241" s="1714">
        <v>0</v>
      </c>
      <c r="G241" s="1713" t="s">
        <v>55</v>
      </c>
      <c r="H241" s="1714">
        <v>0</v>
      </c>
      <c r="I241" s="1713" t="s">
        <v>56</v>
      </c>
      <c r="J241" s="1714">
        <v>0</v>
      </c>
      <c r="K241" s="1713" t="s">
        <v>57</v>
      </c>
      <c r="L241" s="1714">
        <v>0</v>
      </c>
      <c r="N241" s="231"/>
      <c r="O241" s="231"/>
      <c r="P241" s="231"/>
      <c r="Q241" s="231"/>
    </row>
    <row r="242" spans="2:17" ht="15" customHeight="1" x14ac:dyDescent="0.25">
      <c r="B242" s="503" t="str">
        <f>$B$222</f>
        <v>i = a</v>
      </c>
      <c r="C242" s="557">
        <v>1</v>
      </c>
      <c r="D242" s="558">
        <v>0.81</v>
      </c>
      <c r="E242" s="557">
        <v>1</v>
      </c>
      <c r="F242" s="558">
        <v>0.92</v>
      </c>
      <c r="G242" s="557">
        <v>1</v>
      </c>
      <c r="H242" s="558">
        <v>1.96</v>
      </c>
      <c r="I242" s="557">
        <v>1</v>
      </c>
      <c r="J242" s="558">
        <v>1.62</v>
      </c>
      <c r="K242" s="557">
        <v>1</v>
      </c>
      <c r="L242" s="558">
        <v>1.1200000000000001</v>
      </c>
      <c r="N242" s="231"/>
      <c r="O242" s="231"/>
      <c r="P242" s="231"/>
      <c r="Q242" s="231"/>
    </row>
    <row r="243" spans="2:17" ht="15" customHeight="1" x14ac:dyDescent="0.25">
      <c r="B243" s="434" t="str">
        <f>$B$223</f>
        <v>i = b</v>
      </c>
      <c r="C243" s="559">
        <v>33</v>
      </c>
      <c r="D243" s="560">
        <v>0.81</v>
      </c>
      <c r="E243" s="559">
        <v>184</v>
      </c>
      <c r="F243" s="560">
        <v>0.92</v>
      </c>
      <c r="G243" s="559">
        <v>98</v>
      </c>
      <c r="H243" s="560">
        <v>1.96</v>
      </c>
      <c r="I243" s="559">
        <v>142</v>
      </c>
      <c r="J243" s="560">
        <v>1.62</v>
      </c>
      <c r="K243" s="559">
        <v>106</v>
      </c>
      <c r="L243" s="560">
        <v>1.1200000000000001</v>
      </c>
      <c r="N243" s="231"/>
      <c r="O243" s="231"/>
      <c r="P243" s="231"/>
      <c r="Q243" s="231"/>
    </row>
    <row r="244" spans="2:17" ht="15" customHeight="1" x14ac:dyDescent="0.25">
      <c r="B244" s="434" t="str">
        <f>$B$224</f>
        <v>i = c</v>
      </c>
      <c r="C244" s="559">
        <v>368</v>
      </c>
      <c r="D244" s="560">
        <v>0.7</v>
      </c>
      <c r="E244" s="559">
        <v>368</v>
      </c>
      <c r="F244" s="560">
        <v>0.92</v>
      </c>
      <c r="G244" s="559">
        <v>368</v>
      </c>
      <c r="H244" s="560">
        <v>1.7</v>
      </c>
      <c r="I244" s="559">
        <v>366</v>
      </c>
      <c r="J244" s="560">
        <v>1.4</v>
      </c>
      <c r="K244" s="559">
        <v>366</v>
      </c>
      <c r="L244" s="560">
        <v>0.8</v>
      </c>
      <c r="N244" s="231"/>
      <c r="O244" s="231"/>
      <c r="P244" s="231"/>
      <c r="Q244" s="231"/>
    </row>
    <row r="245" spans="2:17" ht="15" customHeight="1" thickBot="1" x14ac:dyDescent="0.3">
      <c r="B245" s="435" t="str">
        <f>$B$225</f>
        <v>i = d</v>
      </c>
      <c r="C245" s="561">
        <v>1000</v>
      </c>
      <c r="D245" s="562">
        <v>0.7</v>
      </c>
      <c r="E245" s="561">
        <v>1000</v>
      </c>
      <c r="F245" s="562">
        <v>0.92</v>
      </c>
      <c r="G245" s="561">
        <v>1000</v>
      </c>
      <c r="H245" s="562">
        <v>1.7</v>
      </c>
      <c r="I245" s="561">
        <v>1000</v>
      </c>
      <c r="J245" s="562">
        <v>1.4</v>
      </c>
      <c r="K245" s="561">
        <v>1000</v>
      </c>
      <c r="L245" s="562">
        <v>0.8</v>
      </c>
      <c r="N245" s="231"/>
      <c r="O245" s="231"/>
      <c r="P245" s="231"/>
      <c r="Q245" s="231"/>
    </row>
  </sheetData>
  <mergeCells count="146">
    <mergeCell ref="B5:L5"/>
    <mergeCell ref="C9:D9"/>
    <mergeCell ref="C10:D10"/>
    <mergeCell ref="C11:D11"/>
    <mergeCell ref="C12:D12"/>
    <mergeCell ref="B26:B27"/>
    <mergeCell ref="B47:B48"/>
    <mergeCell ref="B55:B56"/>
    <mergeCell ref="B57:B58"/>
    <mergeCell ref="B59:B60"/>
    <mergeCell ref="B61:B62"/>
    <mergeCell ref="B69:B70"/>
    <mergeCell ref="B28:B29"/>
    <mergeCell ref="B30:B31"/>
    <mergeCell ref="B32:B33"/>
    <mergeCell ref="B41:B42"/>
    <mergeCell ref="B43:B44"/>
    <mergeCell ref="B45:B46"/>
    <mergeCell ref="B89:B90"/>
    <mergeCell ref="C93:E93"/>
    <mergeCell ref="F93:H93"/>
    <mergeCell ref="I93:K93"/>
    <mergeCell ref="L93:N93"/>
    <mergeCell ref="O93:Q93"/>
    <mergeCell ref="B71:B72"/>
    <mergeCell ref="B73:B74"/>
    <mergeCell ref="B75:B76"/>
    <mergeCell ref="B83:B84"/>
    <mergeCell ref="B85:B86"/>
    <mergeCell ref="B87:B88"/>
    <mergeCell ref="C94:E94"/>
    <mergeCell ref="F94:H94"/>
    <mergeCell ref="I94:K94"/>
    <mergeCell ref="L94:N94"/>
    <mergeCell ref="O94:Q94"/>
    <mergeCell ref="C101:E101"/>
    <mergeCell ref="F101:H101"/>
    <mergeCell ref="I101:K101"/>
    <mergeCell ref="L101:N101"/>
    <mergeCell ref="O101:Q101"/>
    <mergeCell ref="C108:E108"/>
    <mergeCell ref="F108:H108"/>
    <mergeCell ref="I108:K108"/>
    <mergeCell ref="L108:N108"/>
    <mergeCell ref="O108:Q108"/>
    <mergeCell ref="C115:E115"/>
    <mergeCell ref="F115:H115"/>
    <mergeCell ref="I115:K115"/>
    <mergeCell ref="L115:N115"/>
    <mergeCell ref="O115:Q115"/>
    <mergeCell ref="C122:E122"/>
    <mergeCell ref="F122:H122"/>
    <mergeCell ref="I122:K122"/>
    <mergeCell ref="L122:N122"/>
    <mergeCell ref="O122:Q122"/>
    <mergeCell ref="C129:E129"/>
    <mergeCell ref="F129:H129"/>
    <mergeCell ref="I129:K129"/>
    <mergeCell ref="L129:N129"/>
    <mergeCell ref="O129:Q129"/>
    <mergeCell ref="C136:E136"/>
    <mergeCell ref="F136:H136"/>
    <mergeCell ref="I136:K136"/>
    <mergeCell ref="L136:N136"/>
    <mergeCell ref="O136:Q136"/>
    <mergeCell ref="C143:E143"/>
    <mergeCell ref="F143:H143"/>
    <mergeCell ref="I143:K143"/>
    <mergeCell ref="L143:N143"/>
    <mergeCell ref="O143:Q143"/>
    <mergeCell ref="C151:E151"/>
    <mergeCell ref="F151:H151"/>
    <mergeCell ref="I151:K151"/>
    <mergeCell ref="L151:N151"/>
    <mergeCell ref="O151:Q151"/>
    <mergeCell ref="C152:E152"/>
    <mergeCell ref="F152:H152"/>
    <mergeCell ref="I152:K152"/>
    <mergeCell ref="L152:N152"/>
    <mergeCell ref="O152:Q152"/>
    <mergeCell ref="C159:E159"/>
    <mergeCell ref="F159:H159"/>
    <mergeCell ref="I159:K159"/>
    <mergeCell ref="L159:N159"/>
    <mergeCell ref="O159:Q159"/>
    <mergeCell ref="C166:E166"/>
    <mergeCell ref="F166:H166"/>
    <mergeCell ref="I166:K166"/>
    <mergeCell ref="L166:N166"/>
    <mergeCell ref="O166:Q166"/>
    <mergeCell ref="C173:E173"/>
    <mergeCell ref="F173:H173"/>
    <mergeCell ref="I173:K173"/>
    <mergeCell ref="L173:N173"/>
    <mergeCell ref="O173:Q173"/>
    <mergeCell ref="C180:E180"/>
    <mergeCell ref="F180:H180"/>
    <mergeCell ref="I180:K180"/>
    <mergeCell ref="L180:N180"/>
    <mergeCell ref="O180:Q180"/>
    <mergeCell ref="C201:E201"/>
    <mergeCell ref="F201:H201"/>
    <mergeCell ref="I201:K201"/>
    <mergeCell ref="L201:N201"/>
    <mergeCell ref="O201:Q201"/>
    <mergeCell ref="B215:B217"/>
    <mergeCell ref="C187:E187"/>
    <mergeCell ref="F187:H187"/>
    <mergeCell ref="I187:K187"/>
    <mergeCell ref="L187:N187"/>
    <mergeCell ref="O187:Q187"/>
    <mergeCell ref="C194:E194"/>
    <mergeCell ref="F194:H194"/>
    <mergeCell ref="I194:K194"/>
    <mergeCell ref="L194:N194"/>
    <mergeCell ref="O194:Q194"/>
    <mergeCell ref="C219:D219"/>
    <mergeCell ref="E219:F219"/>
    <mergeCell ref="G219:H219"/>
    <mergeCell ref="I219:J219"/>
    <mergeCell ref="K219:L219"/>
    <mergeCell ref="C221:D221"/>
    <mergeCell ref="E221:F221"/>
    <mergeCell ref="G221:H221"/>
    <mergeCell ref="I221:J221"/>
    <mergeCell ref="K221:L221"/>
    <mergeCell ref="C227:D227"/>
    <mergeCell ref="E227:F227"/>
    <mergeCell ref="G227:H227"/>
    <mergeCell ref="I227:J227"/>
    <mergeCell ref="K227:L227"/>
    <mergeCell ref="C233:D233"/>
    <mergeCell ref="E233:F233"/>
    <mergeCell ref="G233:H233"/>
    <mergeCell ref="I233:J233"/>
    <mergeCell ref="K233:L233"/>
    <mergeCell ref="C235:D235"/>
    <mergeCell ref="E235:F235"/>
    <mergeCell ref="G235:H235"/>
    <mergeCell ref="I235:J235"/>
    <mergeCell ref="K235:L235"/>
    <mergeCell ref="C241:D241"/>
    <mergeCell ref="E241:F241"/>
    <mergeCell ref="G241:H241"/>
    <mergeCell ref="I241:J241"/>
    <mergeCell ref="K241:L241"/>
  </mergeCells>
  <pageMargins left="0.75" right="0.75" top="1" bottom="1" header="0.4921259845" footer="0.4921259845"/>
  <pageSetup paperSize="9" scale="1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topLeftCell="A8" zoomScale="70" zoomScaleNormal="70" workbookViewId="0">
      <selection activeCell="D246" sqref="D246:H246"/>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398</v>
      </c>
      <c r="C4" s="128"/>
      <c r="D4" s="128"/>
      <c r="E4" s="128"/>
      <c r="F4" s="128"/>
      <c r="G4" s="128"/>
      <c r="H4" s="128"/>
      <c r="I4" s="128"/>
      <c r="J4" s="128"/>
      <c r="K4" s="128"/>
      <c r="L4" s="128"/>
      <c r="M4" s="128"/>
      <c r="N4" s="128"/>
      <c r="O4" s="128"/>
      <c r="P4" s="128"/>
      <c r="Q4" s="131"/>
    </row>
    <row r="5" spans="1:17" ht="15" customHeight="1" thickBot="1" x14ac:dyDescent="0.3">
      <c r="B5" s="1730" t="s">
        <v>458</v>
      </c>
      <c r="C5" s="1731"/>
      <c r="D5" s="1731"/>
      <c r="E5" s="1731"/>
      <c r="F5" s="1731"/>
      <c r="G5" s="1731"/>
      <c r="H5" s="1731"/>
      <c r="I5" s="1731"/>
      <c r="J5" s="1731"/>
      <c r="K5" s="1731"/>
      <c r="L5" s="1731"/>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32" t="str">
        <f>'building data'!C9</f>
        <v>807 E Main</v>
      </c>
      <c r="D9" s="1732"/>
      <c r="E9" s="134" t="s">
        <v>319</v>
      </c>
      <c r="F9" s="1413" t="str">
        <f>'building data'!H9</f>
        <v>English</v>
      </c>
      <c r="G9" s="1414"/>
    </row>
    <row r="10" spans="1:17" ht="15" customHeight="1" x14ac:dyDescent="0.25">
      <c r="B10" s="136" t="s">
        <v>311</v>
      </c>
      <c r="C10" s="1733">
        <f>'building data'!C10</f>
        <v>27332</v>
      </c>
      <c r="D10" s="1733"/>
      <c r="E10" s="137" t="s">
        <v>320</v>
      </c>
      <c r="F10" s="1737" t="str">
        <f>'building data'!H10</f>
        <v>807 E Main St</v>
      </c>
      <c r="G10" s="1738"/>
      <c r="H10" s="331"/>
      <c r="I10" s="331"/>
      <c r="J10" s="331"/>
    </row>
    <row r="11" spans="1:17" ht="15" customHeight="1" x14ac:dyDescent="0.25">
      <c r="B11" s="136" t="s">
        <v>312</v>
      </c>
      <c r="C11" s="1733" t="str">
        <f>'building data'!C11</f>
        <v>Ted Bleecker</v>
      </c>
      <c r="D11" s="1733"/>
      <c r="E11" s="139" t="s">
        <v>321</v>
      </c>
      <c r="F11" s="1737" t="str">
        <f>'building data'!H12</f>
        <v>ASCE/SEI 7-10</v>
      </c>
      <c r="G11" s="1738"/>
      <c r="H11" s="331"/>
      <c r="I11" s="331"/>
      <c r="J11" s="331"/>
    </row>
    <row r="12" spans="1:17" ht="15" customHeight="1" thickBot="1" x14ac:dyDescent="0.3">
      <c r="B12" s="140" t="s">
        <v>313</v>
      </c>
      <c r="C12" s="1734">
        <f ca="1">'building data'!C12</f>
        <v>42655</v>
      </c>
      <c r="D12" s="1734"/>
      <c r="E12" s="141" t="s">
        <v>322</v>
      </c>
      <c r="F12" s="1735" t="str">
        <f>'building data'!H11</f>
        <v>USA</v>
      </c>
      <c r="G12" s="1736"/>
      <c r="H12" s="331"/>
      <c r="I12" s="331"/>
      <c r="J12" s="331"/>
    </row>
    <row r="13" spans="1:17" ht="15" customHeight="1" x14ac:dyDescent="0.25">
      <c r="A13" s="456"/>
    </row>
    <row r="14" spans="1:17" ht="15" customHeight="1" x14ac:dyDescent="0.25">
      <c r="A14" s="456"/>
      <c r="E14" s="353"/>
      <c r="F14" s="428" t="s">
        <v>327</v>
      </c>
      <c r="G14" s="424">
        <f>'building data'!C20</f>
        <v>91.44</v>
      </c>
      <c r="H14" s="212" t="s">
        <v>0</v>
      </c>
    </row>
    <row r="15" spans="1:17" ht="15" customHeight="1" x14ac:dyDescent="0.25">
      <c r="A15" s="456"/>
      <c r="B15" s="143" t="s">
        <v>420</v>
      </c>
      <c r="C15" s="357"/>
      <c r="D15" s="445" t="s">
        <v>59</v>
      </c>
      <c r="E15" s="357"/>
      <c r="F15" s="213" t="s">
        <v>328</v>
      </c>
      <c r="G15" s="424">
        <f>'building data'!C21</f>
        <v>91.44</v>
      </c>
      <c r="H15" s="212" t="s">
        <v>0</v>
      </c>
    </row>
    <row r="16" spans="1:17" ht="15" customHeight="1" x14ac:dyDescent="0.25">
      <c r="A16" s="341"/>
      <c r="B16" s="209" t="s">
        <v>423</v>
      </c>
      <c r="C16" s="358" t="str">
        <f>'wind load calc_10d'!C39</f>
        <v>9</v>
      </c>
      <c r="D16" s="446">
        <f>(G17*G18*C16)</f>
        <v>17.947299589199996</v>
      </c>
      <c r="E16" s="357"/>
      <c r="F16" s="213" t="s">
        <v>324</v>
      </c>
      <c r="G16" s="424">
        <f>'building data'!C16</f>
        <v>7.3152000000000008</v>
      </c>
      <c r="H16" s="212" t="s">
        <v>0</v>
      </c>
    </row>
    <row r="17" spans="1:18" ht="15" customHeight="1" x14ac:dyDescent="0.25">
      <c r="A17" s="341"/>
      <c r="C17" s="215"/>
      <c r="D17" s="215"/>
      <c r="E17" s="215"/>
      <c r="F17" s="213" t="s">
        <v>405</v>
      </c>
      <c r="G17" s="424">
        <f>'wind load calc_10d'!F20</f>
        <v>1.9926299999999999</v>
      </c>
      <c r="H17" s="212" t="s">
        <v>0</v>
      </c>
    </row>
    <row r="18" spans="1:18" ht="15" customHeight="1" x14ac:dyDescent="0.25">
      <c r="A18" s="341"/>
      <c r="B18" s="143" t="s">
        <v>421</v>
      </c>
      <c r="C18" s="215"/>
      <c r="D18" s="445" t="s">
        <v>59</v>
      </c>
      <c r="E18" s="357"/>
      <c r="F18" s="213" t="s">
        <v>404</v>
      </c>
      <c r="G18" s="424">
        <f>'wind load calc_10d'!F19</f>
        <v>1.0007599999999999</v>
      </c>
      <c r="H18" s="212" t="s">
        <v>0</v>
      </c>
      <c r="K18" s="455"/>
    </row>
    <row r="19" spans="1:18" ht="15" customHeight="1" x14ac:dyDescent="0.25">
      <c r="A19" s="341"/>
      <c r="B19" s="209" t="s">
        <v>423</v>
      </c>
      <c r="C19" s="358" t="str">
        <f>'wind load calc_10d'!G40</f>
        <v>49</v>
      </c>
      <c r="D19" s="446">
        <f>(G17*G18*C19)</f>
        <v>97.713075541199984</v>
      </c>
      <c r="E19" s="357"/>
      <c r="F19" s="213" t="s">
        <v>45</v>
      </c>
      <c r="G19" s="424">
        <f>MIN('building data'!C18/'building data'!C16,0.2)</f>
        <v>1.7361111111111108E-2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22" t="s">
        <v>460</v>
      </c>
      <c r="C26" s="182" t="s">
        <v>461</v>
      </c>
      <c r="D26" s="460">
        <f ca="1">D50</f>
        <v>-0.11</v>
      </c>
      <c r="E26" s="480">
        <f t="shared" ref="E26:M33" ca="1" si="0">E50</f>
        <v>-0.14408012103265444</v>
      </c>
      <c r="F26" s="463">
        <f t="shared" ca="1" si="0"/>
        <v>-0.1</v>
      </c>
      <c r="G26" s="542">
        <f t="shared" ca="1" si="0"/>
        <v>-0.1</v>
      </c>
      <c r="H26" s="468">
        <f t="shared" ca="1" si="0"/>
        <v>-0.1</v>
      </c>
      <c r="I26" s="460">
        <f t="shared" ca="1" si="0"/>
        <v>-0.20073473691375782</v>
      </c>
      <c r="J26" s="480">
        <f t="shared" ca="1" si="0"/>
        <v>-0.24737916678832012</v>
      </c>
      <c r="K26" s="463">
        <f t="shared" ca="1" si="0"/>
        <v>-0.19384458798421367</v>
      </c>
      <c r="L26" s="542">
        <f t="shared" ca="1" si="0"/>
        <v>-0.19698884321952462</v>
      </c>
      <c r="M26" s="469">
        <f t="shared" ca="1" si="0"/>
        <v>-0.20004113560934605</v>
      </c>
      <c r="R26"/>
    </row>
    <row r="27" spans="1:18" ht="15" customHeight="1" thickBot="1" x14ac:dyDescent="0.3">
      <c r="B27" s="1724"/>
      <c r="C27" s="275" t="s">
        <v>462</v>
      </c>
      <c r="D27" s="461">
        <f t="shared" ref="D27:H33" ca="1" si="1">D51</f>
        <v>-0.11</v>
      </c>
      <c r="E27" s="482">
        <f t="shared" ca="1" si="1"/>
        <v>-0.14698466308734301</v>
      </c>
      <c r="F27" s="466">
        <f t="shared" ca="1" si="1"/>
        <v>-0.1</v>
      </c>
      <c r="G27" s="543">
        <f t="shared" ca="1" si="1"/>
        <v>-0.1</v>
      </c>
      <c r="H27" s="464">
        <f t="shared" ca="1" si="1"/>
        <v>-0.1</v>
      </c>
      <c r="I27" s="461">
        <f t="shared" ca="1" si="0"/>
        <v>-0.11</v>
      </c>
      <c r="J27" s="482">
        <f t="shared" ca="1" si="0"/>
        <v>-0.30607240983259854</v>
      </c>
      <c r="K27" s="466">
        <f t="shared" ca="1" si="0"/>
        <v>-0.15309125244409078</v>
      </c>
      <c r="L27" s="543">
        <f t="shared" ca="1" si="0"/>
        <v>-0.2030506459207449</v>
      </c>
      <c r="M27" s="471">
        <f t="shared" ca="1" si="0"/>
        <v>-0.20592590829224877</v>
      </c>
      <c r="R27"/>
    </row>
    <row r="28" spans="1:18" ht="15" customHeight="1" x14ac:dyDescent="0.25">
      <c r="B28" s="1722" t="s">
        <v>463</v>
      </c>
      <c r="C28" s="241" t="s">
        <v>461</v>
      </c>
      <c r="D28" s="460">
        <f t="shared" ca="1" si="1"/>
        <v>-0.11</v>
      </c>
      <c r="E28" s="480">
        <f t="shared" ca="1" si="1"/>
        <v>-0.13</v>
      </c>
      <c r="F28" s="463">
        <f t="shared" ca="1" si="1"/>
        <v>-0.1</v>
      </c>
      <c r="G28" s="542">
        <f t="shared" ca="1" si="1"/>
        <v>-0.1</v>
      </c>
      <c r="H28" s="468">
        <f t="shared" ca="1" si="1"/>
        <v>-0.1</v>
      </c>
      <c r="I28" s="460">
        <f t="shared" ca="1" si="0"/>
        <v>-0.22270858199526011</v>
      </c>
      <c r="J28" s="480">
        <f t="shared" ca="1" si="0"/>
        <v>-0.13</v>
      </c>
      <c r="K28" s="463">
        <f t="shared" ca="1" si="0"/>
        <v>-0.13492515979734299</v>
      </c>
      <c r="L28" s="542">
        <f t="shared" ca="1" si="0"/>
        <v>-0.1</v>
      </c>
      <c r="M28" s="469">
        <f t="shared" ca="1" si="0"/>
        <v>-0.11683035751012838</v>
      </c>
      <c r="R28"/>
    </row>
    <row r="29" spans="1:18" ht="15" customHeight="1" thickBot="1" x14ac:dyDescent="0.3">
      <c r="B29" s="1724"/>
      <c r="C29" s="276" t="s">
        <v>462</v>
      </c>
      <c r="D29" s="462">
        <f t="shared" ca="1" si="1"/>
        <v>-0.11</v>
      </c>
      <c r="E29" s="483">
        <f t="shared" ca="1" si="1"/>
        <v>-0.13</v>
      </c>
      <c r="F29" s="467">
        <f t="shared" ca="1" si="1"/>
        <v>-0.1</v>
      </c>
      <c r="G29" s="544">
        <f t="shared" ca="1" si="1"/>
        <v>-0.1</v>
      </c>
      <c r="H29" s="465">
        <f t="shared" ca="1" si="1"/>
        <v>-0.1</v>
      </c>
      <c r="I29" s="462">
        <f t="shared" ca="1" si="0"/>
        <v>-0.12456645424453808</v>
      </c>
      <c r="J29" s="483">
        <f t="shared" ca="1" si="0"/>
        <v>-0.17392900005393741</v>
      </c>
      <c r="K29" s="467">
        <f t="shared" ca="1" si="0"/>
        <v>-0.12127320172904266</v>
      </c>
      <c r="L29" s="544">
        <f t="shared" ca="1" si="0"/>
        <v>-0.1</v>
      </c>
      <c r="M29" s="470">
        <f t="shared" ca="1" si="0"/>
        <v>-0.12244047668017118</v>
      </c>
      <c r="R29"/>
    </row>
    <row r="30" spans="1:18" ht="15" customHeight="1" x14ac:dyDescent="0.25">
      <c r="B30" s="1722" t="s">
        <v>464</v>
      </c>
      <c r="C30" s="241" t="s">
        <v>461</v>
      </c>
      <c r="D30" s="460">
        <f t="shared" ca="1" si="1"/>
        <v>-0.11</v>
      </c>
      <c r="E30" s="480">
        <f t="shared" ca="1" si="1"/>
        <v>-0.13</v>
      </c>
      <c r="F30" s="463">
        <f t="shared" ca="1" si="1"/>
        <v>-0.1</v>
      </c>
      <c r="G30" s="542">
        <f t="shared" ca="1" si="1"/>
        <v>-0.1</v>
      </c>
      <c r="H30" s="468">
        <f t="shared" ca="1" si="1"/>
        <v>-0.1</v>
      </c>
      <c r="I30" s="460">
        <f t="shared" ca="1" si="0"/>
        <v>-0.20644675708516258</v>
      </c>
      <c r="J30" s="480">
        <f t="shared" ca="1" si="0"/>
        <v>-0.16074008648071891</v>
      </c>
      <c r="K30" s="463">
        <f t="shared" ca="1" si="0"/>
        <v>-0.15211280048223969</v>
      </c>
      <c r="L30" s="542">
        <f t="shared" ca="1" si="0"/>
        <v>-0.13519200528395842</v>
      </c>
      <c r="M30" s="469">
        <f t="shared" ca="1" si="0"/>
        <v>-0.13147974003463808</v>
      </c>
      <c r="R30"/>
    </row>
    <row r="31" spans="1:18" ht="15" customHeight="1" thickBot="1" x14ac:dyDescent="0.3">
      <c r="B31" s="1724"/>
      <c r="C31" s="276" t="s">
        <v>462</v>
      </c>
      <c r="D31" s="462">
        <f t="shared" ca="1" si="1"/>
        <v>-0.11</v>
      </c>
      <c r="E31" s="483">
        <f t="shared" ca="1" si="1"/>
        <v>-0.13</v>
      </c>
      <c r="F31" s="467">
        <f t="shared" ca="1" si="1"/>
        <v>-0.1</v>
      </c>
      <c r="G31" s="544">
        <f t="shared" ca="1" si="1"/>
        <v>-0.1</v>
      </c>
      <c r="H31" s="465">
        <f t="shared" ca="1" si="1"/>
        <v>-0.1</v>
      </c>
      <c r="I31" s="462">
        <f t="shared" ca="1" si="0"/>
        <v>-0.16786805425109758</v>
      </c>
      <c r="J31" s="483">
        <f t="shared" ca="1" si="0"/>
        <v>-0.19148017296143782</v>
      </c>
      <c r="K31" s="467">
        <f t="shared" ca="1" si="0"/>
        <v>-0.1278501600805052</v>
      </c>
      <c r="L31" s="544">
        <f t="shared" ca="1" si="0"/>
        <v>-0.12932667106996534</v>
      </c>
      <c r="M31" s="470">
        <f t="shared" ca="1" si="0"/>
        <v>-0.13398940166468667</v>
      </c>
      <c r="R31"/>
    </row>
    <row r="32" spans="1:18" ht="15" customHeight="1" x14ac:dyDescent="0.25">
      <c r="B32" s="1722" t="s">
        <v>465</v>
      </c>
      <c r="C32" s="241" t="s">
        <v>461</v>
      </c>
      <c r="D32" s="460">
        <f t="shared" ca="1" si="1"/>
        <v>-0.11</v>
      </c>
      <c r="E32" s="480">
        <f t="shared" ca="1" si="1"/>
        <v>-0.13</v>
      </c>
      <c r="F32" s="463">
        <f t="shared" ca="1" si="1"/>
        <v>-0.1</v>
      </c>
      <c r="G32" s="542">
        <f t="shared" ca="1" si="1"/>
        <v>-0.1</v>
      </c>
      <c r="H32" s="468">
        <f t="shared" ca="1" si="1"/>
        <v>-0.1</v>
      </c>
      <c r="I32" s="460">
        <f t="shared" ca="1" si="0"/>
        <v>-0.20708188831810281</v>
      </c>
      <c r="J32" s="480">
        <f t="shared" ca="1" si="0"/>
        <v>-0.13</v>
      </c>
      <c r="K32" s="463">
        <f t="shared" ca="1" si="0"/>
        <v>-0.15596404521636215</v>
      </c>
      <c r="L32" s="542">
        <f t="shared" ca="1" si="0"/>
        <v>-0.12264717302897619</v>
      </c>
      <c r="M32" s="469">
        <f t="shared" ca="1" si="0"/>
        <v>-0.10878580417367958</v>
      </c>
      <c r="R32"/>
    </row>
    <row r="33" spans="2:18" ht="15" customHeight="1" thickBot="1" x14ac:dyDescent="0.3">
      <c r="B33" s="1724"/>
      <c r="C33" s="276" t="s">
        <v>462</v>
      </c>
      <c r="D33" s="462">
        <f t="shared" ca="1" si="1"/>
        <v>-0.11</v>
      </c>
      <c r="E33" s="483">
        <f t="shared" ca="1" si="1"/>
        <v>-0.13</v>
      </c>
      <c r="F33" s="467">
        <f t="shared" ca="1" si="1"/>
        <v>-0.1</v>
      </c>
      <c r="G33" s="544">
        <f t="shared" ca="1" si="1"/>
        <v>-0.1</v>
      </c>
      <c r="H33" s="465">
        <f t="shared" ca="1" si="1"/>
        <v>-0.1</v>
      </c>
      <c r="I33" s="462">
        <f t="shared" ca="1" si="0"/>
        <v>-0.17795732182267196</v>
      </c>
      <c r="J33" s="483">
        <f t="shared" ca="1" si="0"/>
        <v>-0.1709867819742919</v>
      </c>
      <c r="K33" s="467">
        <f t="shared" ca="1" si="0"/>
        <v>-0.12726118935488345</v>
      </c>
      <c r="L33" s="544">
        <f t="shared" ca="1" si="0"/>
        <v>-0.10527148250420776</v>
      </c>
      <c r="M33" s="470">
        <f t="shared" ca="1" si="0"/>
        <v>-0.11321751729802004</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22" t="str">
        <f>$B$26</f>
        <v>North row</v>
      </c>
      <c r="C35" s="183" t="str">
        <f>$C$26</f>
        <v>1st-4th module</v>
      </c>
      <c r="D35" s="460">
        <f ca="1">D59</f>
        <v>-4.4811739066008538E-4</v>
      </c>
      <c r="E35" s="480">
        <f t="shared" ref="E35:M42" ca="1" si="2">E59</f>
        <v>4.6796336719804654E-2</v>
      </c>
      <c r="F35" s="463">
        <f t="shared" ca="1" si="2"/>
        <v>4.2513203219492673E-2</v>
      </c>
      <c r="G35" s="542">
        <f t="shared" ca="1" si="2"/>
        <v>4.2513203219492673E-2</v>
      </c>
      <c r="H35" s="468">
        <f t="shared" ca="1" si="2"/>
        <v>3.1533519281794542E-2</v>
      </c>
      <c r="I35" s="460">
        <f t="shared" ca="1" si="2"/>
        <v>4.4620583347887627E-2</v>
      </c>
      <c r="J35" s="480">
        <f t="shared" ca="1" si="2"/>
        <v>0.10782174674256081</v>
      </c>
      <c r="K35" s="463">
        <f t="shared" ca="1" si="2"/>
        <v>0.10940995624895659</v>
      </c>
      <c r="L35" s="542">
        <f t="shared" ca="1" si="2"/>
        <v>0.12152090339379783</v>
      </c>
      <c r="M35" s="469">
        <f ca="1">M59</f>
        <v>9.9501172779617897E-2</v>
      </c>
      <c r="R35"/>
    </row>
    <row r="36" spans="2:18" ht="15" customHeight="1" thickBot="1" x14ac:dyDescent="0.3">
      <c r="B36" s="1724"/>
      <c r="C36" s="277" t="str">
        <f>$C$27</f>
        <v>Interior modules</v>
      </c>
      <c r="D36" s="461">
        <f t="shared" ref="D36:H42" ca="1" si="3">D60</f>
        <v>-4.4811739066008538E-4</v>
      </c>
      <c r="E36" s="482">
        <f t="shared" ca="1" si="3"/>
        <v>4.6828473418091668E-2</v>
      </c>
      <c r="F36" s="466">
        <f t="shared" ca="1" si="3"/>
        <v>4.2513203219492673E-2</v>
      </c>
      <c r="G36" s="543">
        <f t="shared" ca="1" si="3"/>
        <v>4.2513203219492673E-2</v>
      </c>
      <c r="H36" s="464">
        <f t="shared" ca="1" si="3"/>
        <v>3.1533519281794542E-2</v>
      </c>
      <c r="I36" s="461">
        <f t="shared" ca="1" si="2"/>
        <v>5.64503958780131E-2</v>
      </c>
      <c r="J36" s="482">
        <f t="shared" ca="1" si="2"/>
        <v>7.7420952482335312E-2</v>
      </c>
      <c r="K36" s="466">
        <f t="shared" ca="1" si="2"/>
        <v>-1.9664321720559538E-2</v>
      </c>
      <c r="L36" s="543">
        <f t="shared" ca="1" si="2"/>
        <v>0.10069609923692578</v>
      </c>
      <c r="M36" s="471">
        <f t="shared" ca="1" si="2"/>
        <v>9.7541878258220291E-2</v>
      </c>
      <c r="R36"/>
    </row>
    <row r="37" spans="2:18" ht="15" customHeight="1" x14ac:dyDescent="0.25">
      <c r="B37" s="1722" t="str">
        <f>$B$28</f>
        <v>Inner rows, 2nd to 6th row from north</v>
      </c>
      <c r="C37" s="183" t="str">
        <f>$C$26</f>
        <v>1st-4th module</v>
      </c>
      <c r="D37" s="460">
        <f t="shared" ca="1" si="3"/>
        <v>-4.4811739066008538E-4</v>
      </c>
      <c r="E37" s="480">
        <f t="shared" ca="1" si="3"/>
        <v>3.4405764703713947E-2</v>
      </c>
      <c r="F37" s="463">
        <f t="shared" ca="1" si="3"/>
        <v>4.2513203219492673E-2</v>
      </c>
      <c r="G37" s="542">
        <f t="shared" ca="1" si="3"/>
        <v>4.2513203219492673E-2</v>
      </c>
      <c r="H37" s="468">
        <f t="shared" ca="1" si="3"/>
        <v>3.1533519281794542E-2</v>
      </c>
      <c r="I37" s="460">
        <f t="shared" ca="1" si="2"/>
        <v>0.11217155328085089</v>
      </c>
      <c r="J37" s="480">
        <f t="shared" ca="1" si="2"/>
        <v>4.9791533668803699E-2</v>
      </c>
      <c r="K37" s="463">
        <f t="shared" ca="1" si="2"/>
        <v>5.8987166125198352E-2</v>
      </c>
      <c r="L37" s="542">
        <f t="shared" ca="1" si="2"/>
        <v>5.9779826982617863E-2</v>
      </c>
      <c r="M37" s="469">
        <f t="shared" ca="1" si="2"/>
        <v>8.8986742469021898E-2</v>
      </c>
      <c r="R37"/>
    </row>
    <row r="38" spans="2:18" ht="15" customHeight="1" thickBot="1" x14ac:dyDescent="0.3">
      <c r="B38" s="1724"/>
      <c r="C38" s="277" t="str">
        <f>$C$27</f>
        <v>Interior modules</v>
      </c>
      <c r="D38" s="462">
        <f t="shared" ca="1" si="3"/>
        <v>-4.4811739066008538E-4</v>
      </c>
      <c r="E38" s="483">
        <f t="shared" ca="1" si="3"/>
        <v>3.4405764703713947E-2</v>
      </c>
      <c r="F38" s="467">
        <f t="shared" ca="1" si="3"/>
        <v>4.2513203219492673E-2</v>
      </c>
      <c r="G38" s="544">
        <f t="shared" ca="1" si="3"/>
        <v>4.2513203219492673E-2</v>
      </c>
      <c r="H38" s="465">
        <f t="shared" ca="1" si="3"/>
        <v>3.1533519281794542E-2</v>
      </c>
      <c r="I38" s="462">
        <f t="shared" ca="1" si="2"/>
        <v>5.1600595293456494E-2</v>
      </c>
      <c r="J38" s="483">
        <f t="shared" ca="1" si="2"/>
        <v>5.0308838027284579E-2</v>
      </c>
      <c r="K38" s="467">
        <f t="shared" ca="1" si="2"/>
        <v>2.4411562257489368E-2</v>
      </c>
      <c r="L38" s="544">
        <f t="shared" ca="1" si="2"/>
        <v>5.9779826982617863E-2</v>
      </c>
      <c r="M38" s="470">
        <f t="shared" ca="1" si="2"/>
        <v>3.4903191343511789E-2</v>
      </c>
      <c r="R38"/>
    </row>
    <row r="39" spans="2:18" ht="15" customHeight="1" x14ac:dyDescent="0.25">
      <c r="B39" s="1722" t="str">
        <f>$B$30</f>
        <v>Inner rows, from 7th row from north</v>
      </c>
      <c r="C39" s="183" t="str">
        <f>$C$26</f>
        <v>1st-4th module</v>
      </c>
      <c r="D39" s="460">
        <f t="shared" ca="1" si="3"/>
        <v>-4.4811739066008538E-4</v>
      </c>
      <c r="E39" s="480">
        <f t="shared" ca="1" si="3"/>
        <v>3.4405764703713947E-2</v>
      </c>
      <c r="F39" s="463">
        <f t="shared" ca="1" si="3"/>
        <v>4.2513203219492673E-2</v>
      </c>
      <c r="G39" s="542">
        <f t="shared" ca="1" si="3"/>
        <v>4.2513203219492673E-2</v>
      </c>
      <c r="H39" s="468">
        <f t="shared" ca="1" si="3"/>
        <v>3.1533519281794542E-2</v>
      </c>
      <c r="I39" s="460">
        <f t="shared" ca="1" si="2"/>
        <v>0.17395075893627907</v>
      </c>
      <c r="J39" s="480">
        <f t="shared" ca="1" si="2"/>
        <v>5.545187283853132E-2</v>
      </c>
      <c r="K39" s="463">
        <f t="shared" ca="1" si="2"/>
        <v>6.5526152834037135E-2</v>
      </c>
      <c r="L39" s="542">
        <f t="shared" ca="1" si="2"/>
        <v>4.8062891280035526E-2</v>
      </c>
      <c r="M39" s="469">
        <f t="shared" ca="1" si="2"/>
        <v>6.3251005700381155E-2</v>
      </c>
      <c r="R39"/>
    </row>
    <row r="40" spans="2:18" ht="15" customHeight="1" thickBot="1" x14ac:dyDescent="0.3">
      <c r="B40" s="1724"/>
      <c r="C40" s="277" t="str">
        <f>$C$27</f>
        <v>Interior modules</v>
      </c>
      <c r="D40" s="462">
        <f t="shared" ca="1" si="3"/>
        <v>-4.4811739066008538E-4</v>
      </c>
      <c r="E40" s="483">
        <f t="shared" ca="1" si="3"/>
        <v>3.4405764703713947E-2</v>
      </c>
      <c r="F40" s="467">
        <f t="shared" ca="1" si="3"/>
        <v>4.2513203219492673E-2</v>
      </c>
      <c r="G40" s="544">
        <f t="shared" ca="1" si="3"/>
        <v>4.2513203219492673E-2</v>
      </c>
      <c r="H40" s="465">
        <f t="shared" ca="1" si="3"/>
        <v>3.1533519281794542E-2</v>
      </c>
      <c r="I40" s="462">
        <f t="shared" ca="1" si="2"/>
        <v>3.718362589935767E-2</v>
      </c>
      <c r="J40" s="483">
        <f t="shared" ca="1" si="2"/>
        <v>9.2902290365141735E-2</v>
      </c>
      <c r="K40" s="467">
        <f t="shared" ca="1" si="2"/>
        <v>5.0507308058592423E-2</v>
      </c>
      <c r="L40" s="544">
        <f t="shared" ca="1" si="2"/>
        <v>5.0015713897132712E-2</v>
      </c>
      <c r="M40" s="470">
        <f t="shared" ca="1" si="2"/>
        <v>4.8463289869686892E-2</v>
      </c>
      <c r="R40"/>
    </row>
    <row r="41" spans="2:18" ht="15" customHeight="1" x14ac:dyDescent="0.25">
      <c r="B41" s="1722" t="str">
        <f>$B$32</f>
        <v>South row</v>
      </c>
      <c r="C41" s="183" t="str">
        <f>$C$26</f>
        <v>1st-4th module</v>
      </c>
      <c r="D41" s="460">
        <f t="shared" ca="1" si="3"/>
        <v>-4.4811739066008538E-4</v>
      </c>
      <c r="E41" s="480">
        <f t="shared" ca="1" si="3"/>
        <v>3.4405764703713947E-2</v>
      </c>
      <c r="F41" s="463">
        <f t="shared" ca="1" si="3"/>
        <v>4.2513203219492673E-2</v>
      </c>
      <c r="G41" s="542">
        <f t="shared" ca="1" si="3"/>
        <v>4.2513203219492673E-2</v>
      </c>
      <c r="H41" s="468">
        <f t="shared" ca="1" si="3"/>
        <v>3.1533519281794542E-2</v>
      </c>
      <c r="I41" s="460">
        <f t="shared" ca="1" si="2"/>
        <v>0.11448578074603311</v>
      </c>
      <c r="J41" s="480">
        <f t="shared" ca="1" si="2"/>
        <v>4.9791533668803699E-2</v>
      </c>
      <c r="K41" s="463">
        <f t="shared" ca="1" si="2"/>
        <v>5.4502894640768157E-2</v>
      </c>
      <c r="L41" s="542">
        <f t="shared" ca="1" si="2"/>
        <v>5.2239606751214168E-2</v>
      </c>
      <c r="M41" s="469">
        <f t="shared" ca="1" si="2"/>
        <v>5.1403113010777095E-2</v>
      </c>
      <c r="R41"/>
    </row>
    <row r="42" spans="2:18" ht="15" customHeight="1" thickBot="1" x14ac:dyDescent="0.3">
      <c r="B42" s="1724"/>
      <c r="C42" s="277" t="str">
        <f>$C$27</f>
        <v>Interior modules</v>
      </c>
      <c r="D42" s="462">
        <f t="shared" ca="1" si="3"/>
        <v>-4.4811739066008538E-4</v>
      </c>
      <c r="E42" s="483">
        <f t="shared" ca="1" si="3"/>
        <v>3.4405764703713947E-2</v>
      </c>
      <c r="F42" s="467">
        <f t="shared" ca="1" si="3"/>
        <v>4.2513203219492673E-2</v>
      </c>
      <c r="G42" s="544">
        <f t="shared" ca="1" si="3"/>
        <v>4.2513203219492673E-2</v>
      </c>
      <c r="H42" s="465">
        <f t="shared" ca="1" si="3"/>
        <v>3.1533519281794542E-2</v>
      </c>
      <c r="I42" s="462">
        <f t="shared" ca="1" si="2"/>
        <v>3.3824473771809277E-2</v>
      </c>
      <c r="J42" s="483">
        <f t="shared" ca="1" si="2"/>
        <v>5.2040306168959882E-2</v>
      </c>
      <c r="K42" s="467">
        <f t="shared" ca="1" si="2"/>
        <v>5.9161107473424228E-2</v>
      </c>
      <c r="L42" s="544">
        <f t="shared" ca="1" si="2"/>
        <v>4.1670100193851346E-2</v>
      </c>
      <c r="M42" s="470">
        <f t="shared" ca="1" si="2"/>
        <v>5.5379145660850039E-2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149" customFormat="1" ht="15" customHeight="1" thickBot="1" x14ac:dyDescent="0.3">
      <c r="B44" s="147"/>
      <c r="C44" s="148"/>
      <c r="D44" s="188"/>
      <c r="E44" s="188"/>
      <c r="F44" s="188"/>
      <c r="G44" s="188"/>
      <c r="H44" s="380"/>
      <c r="I44" s="380"/>
      <c r="J44" s="380"/>
      <c r="K44" s="380"/>
      <c r="L44" s="380"/>
      <c r="M44" s="380"/>
      <c r="N44" s="380"/>
      <c r="O44" s="380"/>
      <c r="P44" s="380"/>
      <c r="Q44" s="188"/>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22" t="str">
        <f>$B$26</f>
        <v>North row</v>
      </c>
      <c r="C50" s="183" t="str">
        <f>$C$26</f>
        <v>1st-4th module</v>
      </c>
      <c r="D50" s="189">
        <f ca="1">D101</f>
        <v>-0.11</v>
      </c>
      <c r="E50" s="190">
        <f t="shared" ref="E50:M57" ca="1" si="4">E101</f>
        <v>-0.14408012103265444</v>
      </c>
      <c r="F50" s="190">
        <f t="shared" ca="1" si="4"/>
        <v>-0.1</v>
      </c>
      <c r="G50" s="573">
        <f t="shared" ca="1" si="4"/>
        <v>-0.1</v>
      </c>
      <c r="H50" s="573">
        <f t="shared" ca="1" si="4"/>
        <v>-0.1</v>
      </c>
      <c r="I50" s="189">
        <f t="shared" ca="1" si="4"/>
        <v>-0.20073473691375782</v>
      </c>
      <c r="J50" s="190">
        <f t="shared" ca="1" si="4"/>
        <v>-0.24737916678832012</v>
      </c>
      <c r="K50" s="190">
        <f t="shared" ca="1" si="4"/>
        <v>-0.19384458798421367</v>
      </c>
      <c r="L50" s="190">
        <f t="shared" ca="1" si="4"/>
        <v>-0.19698884321952462</v>
      </c>
      <c r="M50" s="191">
        <f t="shared" ca="1" si="4"/>
        <v>-0.20004113560934605</v>
      </c>
      <c r="R50"/>
    </row>
    <row r="51" spans="2:18" ht="15" customHeight="1" thickBot="1" x14ac:dyDescent="0.3">
      <c r="B51" s="1724"/>
      <c r="C51" s="277" t="str">
        <f>$C$27</f>
        <v>Interior modules</v>
      </c>
      <c r="D51" s="578">
        <f t="shared" ref="D51:D57" ca="1" si="5">D102</f>
        <v>-0.11</v>
      </c>
      <c r="E51" s="579">
        <f t="shared" ca="1" si="4"/>
        <v>-0.14698466308734301</v>
      </c>
      <c r="F51" s="579">
        <f t="shared" ca="1" si="4"/>
        <v>-0.1</v>
      </c>
      <c r="G51" s="580">
        <f t="shared" ca="1" si="4"/>
        <v>-0.1</v>
      </c>
      <c r="H51" s="580">
        <f t="shared" ca="1" si="4"/>
        <v>-0.1</v>
      </c>
      <c r="I51" s="578">
        <f t="shared" ca="1" si="4"/>
        <v>-0.11</v>
      </c>
      <c r="J51" s="579">
        <f t="shared" ca="1" si="4"/>
        <v>-0.30607240983259854</v>
      </c>
      <c r="K51" s="579">
        <f t="shared" ca="1" si="4"/>
        <v>-0.15309125244409078</v>
      </c>
      <c r="L51" s="579">
        <f t="shared" ca="1" si="4"/>
        <v>-0.2030506459207449</v>
      </c>
      <c r="M51" s="581">
        <f t="shared" ca="1" si="4"/>
        <v>-0.20592590829224877</v>
      </c>
      <c r="R51"/>
    </row>
    <row r="52" spans="2:18" ht="15" customHeight="1" x14ac:dyDescent="0.25">
      <c r="B52" s="1722" t="str">
        <f>$B$28</f>
        <v>Inner rows, 2nd to 6th row from north</v>
      </c>
      <c r="C52" s="183" t="str">
        <f>$C$26</f>
        <v>1st-4th module</v>
      </c>
      <c r="D52" s="189">
        <f t="shared" ca="1" si="5"/>
        <v>-0.11</v>
      </c>
      <c r="E52" s="190">
        <f t="shared" ca="1" si="4"/>
        <v>-0.13</v>
      </c>
      <c r="F52" s="190">
        <f t="shared" ca="1" si="4"/>
        <v>-0.1</v>
      </c>
      <c r="G52" s="573">
        <f t="shared" ca="1" si="4"/>
        <v>-0.1</v>
      </c>
      <c r="H52" s="573">
        <f t="shared" ca="1" si="4"/>
        <v>-0.1</v>
      </c>
      <c r="I52" s="189">
        <f t="shared" ca="1" si="4"/>
        <v>-0.22270858199526011</v>
      </c>
      <c r="J52" s="190">
        <f t="shared" ca="1" si="4"/>
        <v>-0.13</v>
      </c>
      <c r="K52" s="190">
        <f t="shared" ca="1" si="4"/>
        <v>-0.13492515979734299</v>
      </c>
      <c r="L52" s="190">
        <f t="shared" ca="1" si="4"/>
        <v>-0.1</v>
      </c>
      <c r="M52" s="191">
        <f t="shared" ca="1" si="4"/>
        <v>-0.11683035751012838</v>
      </c>
      <c r="R52"/>
    </row>
    <row r="53" spans="2:18" ht="15" customHeight="1" thickBot="1" x14ac:dyDescent="0.3">
      <c r="B53" s="1724"/>
      <c r="C53" s="277" t="str">
        <f>$C$27</f>
        <v>Interior modules</v>
      </c>
      <c r="D53" s="578">
        <f t="shared" ca="1" si="5"/>
        <v>-0.11</v>
      </c>
      <c r="E53" s="579">
        <f t="shared" ca="1" si="4"/>
        <v>-0.13</v>
      </c>
      <c r="F53" s="579">
        <f t="shared" ca="1" si="4"/>
        <v>-0.1</v>
      </c>
      <c r="G53" s="580">
        <f t="shared" ca="1" si="4"/>
        <v>-0.1</v>
      </c>
      <c r="H53" s="580">
        <f t="shared" ca="1" si="4"/>
        <v>-0.1</v>
      </c>
      <c r="I53" s="578">
        <f t="shared" ca="1" si="4"/>
        <v>-0.12456645424453808</v>
      </c>
      <c r="J53" s="579">
        <f t="shared" ca="1" si="4"/>
        <v>-0.17392900005393741</v>
      </c>
      <c r="K53" s="579">
        <f t="shared" ca="1" si="4"/>
        <v>-0.12127320172904266</v>
      </c>
      <c r="L53" s="579">
        <f t="shared" ca="1" si="4"/>
        <v>-0.1</v>
      </c>
      <c r="M53" s="581">
        <f t="shared" ca="1" si="4"/>
        <v>-0.12244047668017118</v>
      </c>
      <c r="R53"/>
    </row>
    <row r="54" spans="2:18" ht="15" customHeight="1" x14ac:dyDescent="0.25">
      <c r="B54" s="1722" t="str">
        <f>$B$30</f>
        <v>Inner rows, from 7th row from north</v>
      </c>
      <c r="C54" s="183" t="str">
        <f>$C$26</f>
        <v>1st-4th module</v>
      </c>
      <c r="D54" s="189">
        <f t="shared" ca="1" si="5"/>
        <v>-0.11</v>
      </c>
      <c r="E54" s="190">
        <f t="shared" ca="1" si="4"/>
        <v>-0.13</v>
      </c>
      <c r="F54" s="190">
        <f t="shared" ca="1" si="4"/>
        <v>-0.1</v>
      </c>
      <c r="G54" s="573">
        <f t="shared" ca="1" si="4"/>
        <v>-0.1</v>
      </c>
      <c r="H54" s="573">
        <f t="shared" ca="1" si="4"/>
        <v>-0.1</v>
      </c>
      <c r="I54" s="189">
        <f t="shared" ca="1" si="4"/>
        <v>-0.20644675708516258</v>
      </c>
      <c r="J54" s="190">
        <f t="shared" ca="1" si="4"/>
        <v>-0.16074008648071891</v>
      </c>
      <c r="K54" s="190">
        <f t="shared" ca="1" si="4"/>
        <v>-0.15211280048223969</v>
      </c>
      <c r="L54" s="190">
        <f t="shared" ca="1" si="4"/>
        <v>-0.13519200528395842</v>
      </c>
      <c r="M54" s="191">
        <f t="shared" ca="1" si="4"/>
        <v>-0.13147974003463808</v>
      </c>
      <c r="R54"/>
    </row>
    <row r="55" spans="2:18" ht="15" customHeight="1" thickBot="1" x14ac:dyDescent="0.3">
      <c r="B55" s="1724"/>
      <c r="C55" s="277" t="str">
        <f>$C$27</f>
        <v>Interior modules</v>
      </c>
      <c r="D55" s="582">
        <f t="shared" ca="1" si="5"/>
        <v>-0.11</v>
      </c>
      <c r="E55" s="583">
        <f t="shared" ca="1" si="4"/>
        <v>-0.13</v>
      </c>
      <c r="F55" s="583">
        <f t="shared" ca="1" si="4"/>
        <v>-0.1</v>
      </c>
      <c r="G55" s="584">
        <f t="shared" ca="1" si="4"/>
        <v>-0.1</v>
      </c>
      <c r="H55" s="584">
        <f t="shared" ca="1" si="4"/>
        <v>-0.1</v>
      </c>
      <c r="I55" s="582">
        <f t="shared" ca="1" si="4"/>
        <v>-0.16786805425109758</v>
      </c>
      <c r="J55" s="583">
        <f t="shared" ca="1" si="4"/>
        <v>-0.19148017296143782</v>
      </c>
      <c r="K55" s="583">
        <f t="shared" ca="1" si="4"/>
        <v>-0.1278501600805052</v>
      </c>
      <c r="L55" s="583">
        <f t="shared" ca="1" si="4"/>
        <v>-0.12932667106996534</v>
      </c>
      <c r="M55" s="585">
        <f t="shared" ca="1" si="4"/>
        <v>-0.13398940166468667</v>
      </c>
      <c r="R55"/>
    </row>
    <row r="56" spans="2:18" ht="15" customHeight="1" x14ac:dyDescent="0.25">
      <c r="B56" s="1722" t="str">
        <f>$B$32</f>
        <v>South row</v>
      </c>
      <c r="C56" s="183" t="str">
        <f>$C$26</f>
        <v>1st-4th module</v>
      </c>
      <c r="D56" s="189">
        <f t="shared" ca="1" si="5"/>
        <v>-0.11</v>
      </c>
      <c r="E56" s="190">
        <f t="shared" ca="1" si="4"/>
        <v>-0.13</v>
      </c>
      <c r="F56" s="190">
        <f t="shared" ca="1" si="4"/>
        <v>-0.1</v>
      </c>
      <c r="G56" s="573">
        <f t="shared" ca="1" si="4"/>
        <v>-0.1</v>
      </c>
      <c r="H56" s="573">
        <f t="shared" ca="1" si="4"/>
        <v>-0.1</v>
      </c>
      <c r="I56" s="189">
        <f t="shared" ca="1" si="4"/>
        <v>-0.20708188831810281</v>
      </c>
      <c r="J56" s="190">
        <f t="shared" ca="1" si="4"/>
        <v>-0.13</v>
      </c>
      <c r="K56" s="190">
        <f t="shared" ca="1" si="4"/>
        <v>-0.15596404521636215</v>
      </c>
      <c r="L56" s="190">
        <f t="shared" ca="1" si="4"/>
        <v>-0.12264717302897619</v>
      </c>
      <c r="M56" s="191">
        <f t="shared" ca="1" si="4"/>
        <v>-0.10878580417367958</v>
      </c>
      <c r="R56"/>
    </row>
    <row r="57" spans="2:18" ht="15" customHeight="1" thickBot="1" x14ac:dyDescent="0.3">
      <c r="B57" s="1724"/>
      <c r="C57" s="277" t="str">
        <f>$C$27</f>
        <v>Interior modules</v>
      </c>
      <c r="D57" s="578">
        <f t="shared" ca="1" si="5"/>
        <v>-0.11</v>
      </c>
      <c r="E57" s="579">
        <f t="shared" ca="1" si="4"/>
        <v>-0.13</v>
      </c>
      <c r="F57" s="579">
        <f t="shared" ca="1" si="4"/>
        <v>-0.1</v>
      </c>
      <c r="G57" s="580">
        <f t="shared" ca="1" si="4"/>
        <v>-0.1</v>
      </c>
      <c r="H57" s="580">
        <f t="shared" ca="1" si="4"/>
        <v>-0.1</v>
      </c>
      <c r="I57" s="578">
        <f t="shared" ca="1" si="4"/>
        <v>-0.17795732182267196</v>
      </c>
      <c r="J57" s="579">
        <f t="shared" ca="1" si="4"/>
        <v>-0.1709867819742919</v>
      </c>
      <c r="K57" s="579">
        <f t="shared" ca="1" si="4"/>
        <v>-0.12726118935488345</v>
      </c>
      <c r="L57" s="579">
        <f t="shared" ca="1" si="4"/>
        <v>-0.10527148250420776</v>
      </c>
      <c r="M57" s="581">
        <f t="shared" ca="1" si="4"/>
        <v>-0.11321751729802004</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22" t="str">
        <f>$B$26</f>
        <v>North row</v>
      </c>
      <c r="C59" s="183" t="str">
        <f>$C$26</f>
        <v>1st-4th module</v>
      </c>
      <c r="D59" s="189">
        <f ca="1">D73</f>
        <v>-4.4811739066008538E-4</v>
      </c>
      <c r="E59" s="190">
        <f t="shared" ref="E59:M66" ca="1" si="6">E73</f>
        <v>4.6796336719804654E-2</v>
      </c>
      <c r="F59" s="190">
        <f t="shared" ca="1" si="6"/>
        <v>4.2513203219492673E-2</v>
      </c>
      <c r="G59" s="573">
        <f t="shared" ca="1" si="6"/>
        <v>4.2513203219492673E-2</v>
      </c>
      <c r="H59" s="573">
        <f t="shared" ca="1" si="6"/>
        <v>3.1533519281794542E-2</v>
      </c>
      <c r="I59" s="189">
        <f t="shared" ca="1" si="6"/>
        <v>4.4620583347887627E-2</v>
      </c>
      <c r="J59" s="190">
        <f t="shared" ca="1" si="6"/>
        <v>0.10782174674256081</v>
      </c>
      <c r="K59" s="190">
        <f t="shared" ca="1" si="6"/>
        <v>0.10940995624895659</v>
      </c>
      <c r="L59" s="190">
        <f t="shared" ca="1" si="6"/>
        <v>0.12152090339379783</v>
      </c>
      <c r="M59" s="191">
        <f t="shared" ca="1" si="6"/>
        <v>9.9501172779617897E-2</v>
      </c>
      <c r="R59"/>
    </row>
    <row r="60" spans="2:18" ht="15" customHeight="1" thickBot="1" x14ac:dyDescent="0.3">
      <c r="B60" s="1724"/>
      <c r="C60" s="277" t="str">
        <f>$C$27</f>
        <v>Interior modules</v>
      </c>
      <c r="D60" s="578">
        <f t="shared" ref="D60:H66" ca="1" si="7">D74</f>
        <v>-4.4811739066008538E-4</v>
      </c>
      <c r="E60" s="579">
        <f t="shared" ca="1" si="7"/>
        <v>4.6828473418091668E-2</v>
      </c>
      <c r="F60" s="579">
        <f t="shared" ca="1" si="7"/>
        <v>4.2513203219492673E-2</v>
      </c>
      <c r="G60" s="580">
        <f t="shared" ca="1" si="7"/>
        <v>4.2513203219492673E-2</v>
      </c>
      <c r="H60" s="580">
        <f t="shared" ca="1" si="7"/>
        <v>3.1533519281794542E-2</v>
      </c>
      <c r="I60" s="578">
        <f t="shared" ca="1" si="6"/>
        <v>5.64503958780131E-2</v>
      </c>
      <c r="J60" s="579">
        <f t="shared" ca="1" si="6"/>
        <v>7.7420952482335312E-2</v>
      </c>
      <c r="K60" s="579">
        <f t="shared" ca="1" si="6"/>
        <v>-1.9664321720559538E-2</v>
      </c>
      <c r="L60" s="579">
        <f t="shared" ca="1" si="6"/>
        <v>0.10069609923692578</v>
      </c>
      <c r="M60" s="581">
        <f t="shared" ca="1" si="6"/>
        <v>9.7541878258220291E-2</v>
      </c>
      <c r="R60"/>
    </row>
    <row r="61" spans="2:18" ht="15" customHeight="1" x14ac:dyDescent="0.25">
      <c r="B61" s="1722" t="str">
        <f>$B$28</f>
        <v>Inner rows, 2nd to 6th row from north</v>
      </c>
      <c r="C61" s="183" t="str">
        <f>$C$26</f>
        <v>1st-4th module</v>
      </c>
      <c r="D61" s="189">
        <f t="shared" ca="1" si="7"/>
        <v>-4.4811739066008538E-4</v>
      </c>
      <c r="E61" s="190">
        <f t="shared" ca="1" si="7"/>
        <v>3.4405764703713947E-2</v>
      </c>
      <c r="F61" s="190">
        <f t="shared" ca="1" si="7"/>
        <v>4.2513203219492673E-2</v>
      </c>
      <c r="G61" s="573">
        <f t="shared" ca="1" si="7"/>
        <v>4.2513203219492673E-2</v>
      </c>
      <c r="H61" s="573">
        <f t="shared" ca="1" si="7"/>
        <v>3.1533519281794542E-2</v>
      </c>
      <c r="I61" s="189">
        <f t="shared" ca="1" si="6"/>
        <v>0.11217155328085089</v>
      </c>
      <c r="J61" s="190">
        <f t="shared" ca="1" si="6"/>
        <v>4.9791533668803699E-2</v>
      </c>
      <c r="K61" s="190">
        <f t="shared" ca="1" si="6"/>
        <v>5.8987166125198352E-2</v>
      </c>
      <c r="L61" s="190">
        <f t="shared" ca="1" si="6"/>
        <v>5.9779826982617863E-2</v>
      </c>
      <c r="M61" s="191">
        <f t="shared" ca="1" si="6"/>
        <v>8.8986742469021898E-2</v>
      </c>
      <c r="R61"/>
    </row>
    <row r="62" spans="2:18" ht="15" customHeight="1" thickBot="1" x14ac:dyDescent="0.3">
      <c r="B62" s="1724"/>
      <c r="C62" s="277" t="str">
        <f>$C$27</f>
        <v>Interior modules</v>
      </c>
      <c r="D62" s="578">
        <f t="shared" ca="1" si="7"/>
        <v>-4.4811739066008538E-4</v>
      </c>
      <c r="E62" s="579">
        <f t="shared" ca="1" si="7"/>
        <v>3.4405764703713947E-2</v>
      </c>
      <c r="F62" s="579">
        <f t="shared" ca="1" si="7"/>
        <v>4.2513203219492673E-2</v>
      </c>
      <c r="G62" s="580">
        <f t="shared" ca="1" si="7"/>
        <v>4.2513203219492673E-2</v>
      </c>
      <c r="H62" s="580">
        <f t="shared" ca="1" si="7"/>
        <v>3.1533519281794542E-2</v>
      </c>
      <c r="I62" s="578">
        <f t="shared" ca="1" si="6"/>
        <v>5.1600595293456494E-2</v>
      </c>
      <c r="J62" s="579">
        <f t="shared" ca="1" si="6"/>
        <v>5.0308838027284579E-2</v>
      </c>
      <c r="K62" s="579">
        <f t="shared" ca="1" si="6"/>
        <v>2.4411562257489368E-2</v>
      </c>
      <c r="L62" s="579">
        <f t="shared" ca="1" si="6"/>
        <v>5.9779826982617863E-2</v>
      </c>
      <c r="M62" s="581">
        <f t="shared" ca="1" si="6"/>
        <v>3.4903191343511789E-2</v>
      </c>
      <c r="R62"/>
    </row>
    <row r="63" spans="2:18" ht="15" customHeight="1" x14ac:dyDescent="0.25">
      <c r="B63" s="1722" t="str">
        <f>$B$30</f>
        <v>Inner rows, from 7th row from north</v>
      </c>
      <c r="C63" s="183" t="str">
        <f>$C$26</f>
        <v>1st-4th module</v>
      </c>
      <c r="D63" s="189">
        <f t="shared" ca="1" si="7"/>
        <v>-4.4811739066008538E-4</v>
      </c>
      <c r="E63" s="190">
        <f t="shared" ca="1" si="7"/>
        <v>3.4405764703713947E-2</v>
      </c>
      <c r="F63" s="190">
        <f t="shared" ca="1" si="7"/>
        <v>4.2513203219492673E-2</v>
      </c>
      <c r="G63" s="573">
        <f t="shared" ca="1" si="7"/>
        <v>4.2513203219492673E-2</v>
      </c>
      <c r="H63" s="573">
        <f t="shared" ca="1" si="7"/>
        <v>3.1533519281794542E-2</v>
      </c>
      <c r="I63" s="189">
        <f t="shared" ca="1" si="6"/>
        <v>0.17395075893627907</v>
      </c>
      <c r="J63" s="190">
        <f t="shared" ca="1" si="6"/>
        <v>5.545187283853132E-2</v>
      </c>
      <c r="K63" s="190">
        <f t="shared" ca="1" si="6"/>
        <v>6.5526152834037135E-2</v>
      </c>
      <c r="L63" s="190">
        <f t="shared" ca="1" si="6"/>
        <v>4.8062891280035526E-2</v>
      </c>
      <c r="M63" s="191">
        <f t="shared" ca="1" si="6"/>
        <v>6.3251005700381155E-2</v>
      </c>
      <c r="R63"/>
    </row>
    <row r="64" spans="2:18" ht="15" customHeight="1" thickBot="1" x14ac:dyDescent="0.3">
      <c r="B64" s="1724"/>
      <c r="C64" s="277" t="str">
        <f>$C$27</f>
        <v>Interior modules</v>
      </c>
      <c r="D64" s="582">
        <f t="shared" ca="1" si="7"/>
        <v>-4.4811739066008538E-4</v>
      </c>
      <c r="E64" s="583">
        <f t="shared" ca="1" si="7"/>
        <v>3.4405764703713947E-2</v>
      </c>
      <c r="F64" s="583">
        <f t="shared" ca="1" si="7"/>
        <v>4.2513203219492673E-2</v>
      </c>
      <c r="G64" s="584">
        <f t="shared" ca="1" si="7"/>
        <v>4.2513203219492673E-2</v>
      </c>
      <c r="H64" s="584">
        <f t="shared" ca="1" si="7"/>
        <v>3.1533519281794542E-2</v>
      </c>
      <c r="I64" s="582">
        <f t="shared" ca="1" si="6"/>
        <v>3.718362589935767E-2</v>
      </c>
      <c r="J64" s="583">
        <f t="shared" ca="1" si="6"/>
        <v>9.2902290365141735E-2</v>
      </c>
      <c r="K64" s="583">
        <f t="shared" ca="1" si="6"/>
        <v>5.0507308058592423E-2</v>
      </c>
      <c r="L64" s="583">
        <f t="shared" ca="1" si="6"/>
        <v>5.0015713897132712E-2</v>
      </c>
      <c r="M64" s="585">
        <f t="shared" ca="1" si="6"/>
        <v>4.8463289869686892E-2</v>
      </c>
      <c r="R64"/>
    </row>
    <row r="65" spans="2:18" ht="15" customHeight="1" x14ac:dyDescent="0.25">
      <c r="B65" s="1722" t="str">
        <f>$B$32</f>
        <v>South row</v>
      </c>
      <c r="C65" s="183" t="str">
        <f>$C$26</f>
        <v>1st-4th module</v>
      </c>
      <c r="D65" s="189">
        <f t="shared" ca="1" si="7"/>
        <v>-4.4811739066008538E-4</v>
      </c>
      <c r="E65" s="190">
        <f t="shared" ca="1" si="7"/>
        <v>3.4405764703713947E-2</v>
      </c>
      <c r="F65" s="190">
        <f t="shared" ca="1" si="7"/>
        <v>4.2513203219492673E-2</v>
      </c>
      <c r="G65" s="573">
        <f t="shared" ca="1" si="7"/>
        <v>4.2513203219492673E-2</v>
      </c>
      <c r="H65" s="573">
        <f t="shared" ca="1" si="7"/>
        <v>3.1533519281794542E-2</v>
      </c>
      <c r="I65" s="189">
        <f t="shared" ca="1" si="6"/>
        <v>0.11448578074603311</v>
      </c>
      <c r="J65" s="190">
        <f t="shared" ca="1" si="6"/>
        <v>4.9791533668803699E-2</v>
      </c>
      <c r="K65" s="190">
        <f t="shared" ca="1" si="6"/>
        <v>5.4502894640768157E-2</v>
      </c>
      <c r="L65" s="190">
        <f t="shared" ca="1" si="6"/>
        <v>5.2239606751214168E-2</v>
      </c>
      <c r="M65" s="191">
        <f t="shared" ca="1" si="6"/>
        <v>5.1403113010777095E-2</v>
      </c>
      <c r="R65"/>
    </row>
    <row r="66" spans="2:18" ht="15" customHeight="1" thickBot="1" x14ac:dyDescent="0.3">
      <c r="B66" s="1724"/>
      <c r="C66" s="277" t="str">
        <f>$C$27</f>
        <v>Interior modules</v>
      </c>
      <c r="D66" s="578">
        <f t="shared" ca="1" si="7"/>
        <v>-4.4811739066008538E-4</v>
      </c>
      <c r="E66" s="579">
        <f t="shared" ca="1" si="7"/>
        <v>3.4405764703713947E-2</v>
      </c>
      <c r="F66" s="579">
        <f t="shared" ca="1" si="7"/>
        <v>4.2513203219492673E-2</v>
      </c>
      <c r="G66" s="580">
        <f t="shared" ca="1" si="7"/>
        <v>4.2513203219492673E-2</v>
      </c>
      <c r="H66" s="580">
        <f t="shared" ca="1" si="7"/>
        <v>3.1533519281794542E-2</v>
      </c>
      <c r="I66" s="578">
        <f t="shared" ca="1" si="6"/>
        <v>3.3824473771809277E-2</v>
      </c>
      <c r="J66" s="579">
        <f t="shared" ca="1" si="6"/>
        <v>5.2040306168959882E-2</v>
      </c>
      <c r="K66" s="579">
        <f t="shared" ca="1" si="6"/>
        <v>5.9161107473424228E-2</v>
      </c>
      <c r="L66" s="579">
        <f t="shared" ca="1" si="6"/>
        <v>4.1670100193851346E-2</v>
      </c>
      <c r="M66" s="581">
        <f t="shared" ca="1" si="6"/>
        <v>5.5379145660850039E-2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22" t="str">
        <f>$B$26</f>
        <v>North row</v>
      </c>
      <c r="C73" s="183" t="str">
        <f>$C$26</f>
        <v>1st-4th module</v>
      </c>
      <c r="D73" s="586">
        <f ca="1">(9.81*(D115+20)/1000/1.5+D101*(SIN(PI()/180*10)*1.921/0.5+COS(PI()/180*10)*1.921))/(SIN(PI()/180*62.4)*0.455/0.5-COS(PI()/180*62.4)*0.455)</f>
        <v>-4.4811739066008538E-4</v>
      </c>
      <c r="E73" s="190">
        <f t="shared" ref="E73:H73" ca="1" si="8">(9.81*(E115+20)/1000/1.5+E101*(SIN(PI()/180*10)*1.921/0.5+COS(PI()/180*10)*1.921))/(SIN(PI()/180*62.4)*0.455/0.5-COS(PI()/180*62.4)*0.455)</f>
        <v>4.6796336719804654E-2</v>
      </c>
      <c r="F73" s="190">
        <f t="shared" ca="1" si="8"/>
        <v>4.2513203219492673E-2</v>
      </c>
      <c r="G73" s="190">
        <f t="shared" ca="1" si="8"/>
        <v>4.2513203219492673E-2</v>
      </c>
      <c r="H73" s="573">
        <f t="shared" ca="1" si="8"/>
        <v>3.1533519281794542E-2</v>
      </c>
      <c r="I73" s="189">
        <f ca="1">(-9.81*(I115+20)/1000/1.5-I101*COS(PI()/180*10)*1.921)/(COS(PI()/180*62.4)*0.455)</f>
        <v>4.4620583347887627E-2</v>
      </c>
      <c r="J73" s="190">
        <f t="shared" ref="J73:M73" ca="1" si="9">(-9.81*(J115+20)/1000/1.5-J101*COS(PI()/180*10)*1.921)/(COS(PI()/180*62.4)*0.455)</f>
        <v>0.10782174674256081</v>
      </c>
      <c r="K73" s="190">
        <f t="shared" ca="1" si="9"/>
        <v>0.10940995624895659</v>
      </c>
      <c r="L73" s="190">
        <f t="shared" ca="1" si="9"/>
        <v>0.12152090339379783</v>
      </c>
      <c r="M73" s="191">
        <f t="shared" ca="1" si="9"/>
        <v>9.9501172779617897E-2</v>
      </c>
    </row>
    <row r="74" spans="2:18" ht="15" customHeight="1" thickBot="1" x14ac:dyDescent="0.25">
      <c r="B74" s="1724"/>
      <c r="C74" s="277" t="str">
        <f>$C$27</f>
        <v>Interior modules</v>
      </c>
      <c r="D74" s="574">
        <f t="shared" ref="D74:H80" ca="1" si="10">(9.81*(D116+20)/1000/1.5+D102*(SIN(PI()/180*10)*1.921/0.5+COS(PI()/180*10)*1.921))/(SIN(PI()/180*62.4)*0.455/0.5-COS(PI()/180*62.4)*0.455)</f>
        <v>-4.4811739066008538E-4</v>
      </c>
      <c r="E74" s="575">
        <f t="shared" ca="1" si="10"/>
        <v>4.6828473418091668E-2</v>
      </c>
      <c r="F74" s="575">
        <f t="shared" ca="1" si="10"/>
        <v>4.2513203219492673E-2</v>
      </c>
      <c r="G74" s="575">
        <f t="shared" ca="1" si="10"/>
        <v>4.2513203219492673E-2</v>
      </c>
      <c r="H74" s="576">
        <f t="shared" ca="1" si="10"/>
        <v>3.1533519281794542E-2</v>
      </c>
      <c r="I74" s="574">
        <f t="shared" ref="I74:M80" ca="1" si="11">(-9.81*(I116+20)/1000/1.5-I102*COS(PI()/180*10)*1.921)/(COS(PI()/180*62.4)*0.455)</f>
        <v>5.64503958780131E-2</v>
      </c>
      <c r="J74" s="575">
        <f t="shared" ca="1" si="11"/>
        <v>7.7420952482335312E-2</v>
      </c>
      <c r="K74" s="575">
        <f t="shared" ca="1" si="11"/>
        <v>-1.9664321720559538E-2</v>
      </c>
      <c r="L74" s="575">
        <f t="shared" ca="1" si="11"/>
        <v>0.10069609923692578</v>
      </c>
      <c r="M74" s="577">
        <f t="shared" ca="1" si="11"/>
        <v>9.7541878258220291E-2</v>
      </c>
    </row>
    <row r="75" spans="2:18" ht="15" customHeight="1" x14ac:dyDescent="0.2">
      <c r="B75" s="1722" t="str">
        <f>$B$28</f>
        <v>Inner rows, 2nd to 6th row from north</v>
      </c>
      <c r="C75" s="183" t="str">
        <f>$C$26</f>
        <v>1st-4th module</v>
      </c>
      <c r="D75" s="189">
        <f t="shared" ca="1" si="10"/>
        <v>-4.4811739066008538E-4</v>
      </c>
      <c r="E75" s="190">
        <f t="shared" ca="1" si="10"/>
        <v>3.4405764703713947E-2</v>
      </c>
      <c r="F75" s="190">
        <f t="shared" ca="1" si="10"/>
        <v>4.2513203219492673E-2</v>
      </c>
      <c r="G75" s="190">
        <f t="shared" ca="1" si="10"/>
        <v>4.2513203219492673E-2</v>
      </c>
      <c r="H75" s="573">
        <f t="shared" ca="1" si="10"/>
        <v>3.1533519281794542E-2</v>
      </c>
      <c r="I75" s="189">
        <f t="shared" ca="1" si="11"/>
        <v>0.11217155328085089</v>
      </c>
      <c r="J75" s="190">
        <f t="shared" ca="1" si="11"/>
        <v>4.9791533668803699E-2</v>
      </c>
      <c r="K75" s="190">
        <f t="shared" ca="1" si="11"/>
        <v>5.8987166125198352E-2</v>
      </c>
      <c r="L75" s="190">
        <f t="shared" ca="1" si="11"/>
        <v>5.9779826982617863E-2</v>
      </c>
      <c r="M75" s="191">
        <f t="shared" ca="1" si="11"/>
        <v>8.8986742469021898E-2</v>
      </c>
    </row>
    <row r="76" spans="2:18" ht="15" customHeight="1" thickBot="1" x14ac:dyDescent="0.25">
      <c r="B76" s="1724"/>
      <c r="C76" s="278" t="str">
        <f>$C$27</f>
        <v>Interior modules</v>
      </c>
      <c r="D76" s="578">
        <f t="shared" ca="1" si="10"/>
        <v>-4.4811739066008538E-4</v>
      </c>
      <c r="E76" s="579">
        <f t="shared" ca="1" si="10"/>
        <v>3.4405764703713947E-2</v>
      </c>
      <c r="F76" s="579">
        <f t="shared" ca="1" si="10"/>
        <v>4.2513203219492673E-2</v>
      </c>
      <c r="G76" s="579">
        <f t="shared" ca="1" si="10"/>
        <v>4.2513203219492673E-2</v>
      </c>
      <c r="H76" s="580">
        <f t="shared" ca="1" si="10"/>
        <v>3.1533519281794542E-2</v>
      </c>
      <c r="I76" s="578">
        <f t="shared" ca="1" si="11"/>
        <v>5.1600595293456494E-2</v>
      </c>
      <c r="J76" s="579">
        <f t="shared" ca="1" si="11"/>
        <v>5.0308838027284579E-2</v>
      </c>
      <c r="K76" s="579">
        <f t="shared" ca="1" si="11"/>
        <v>2.4411562257489368E-2</v>
      </c>
      <c r="L76" s="579">
        <f t="shared" ca="1" si="11"/>
        <v>5.9779826982617863E-2</v>
      </c>
      <c r="M76" s="581">
        <f t="shared" ca="1" si="11"/>
        <v>3.4903191343511789E-2</v>
      </c>
    </row>
    <row r="77" spans="2:18" ht="15" customHeight="1" x14ac:dyDescent="0.2">
      <c r="B77" s="1722" t="str">
        <f>$B$30</f>
        <v>Inner rows, from 7th row from north</v>
      </c>
      <c r="C77" s="183" t="str">
        <f>$C$26</f>
        <v>1st-4th module</v>
      </c>
      <c r="D77" s="189">
        <f t="shared" ca="1" si="10"/>
        <v>-4.4811739066008538E-4</v>
      </c>
      <c r="E77" s="190">
        <f t="shared" ca="1" si="10"/>
        <v>3.4405764703713947E-2</v>
      </c>
      <c r="F77" s="190">
        <f t="shared" ca="1" si="10"/>
        <v>4.2513203219492673E-2</v>
      </c>
      <c r="G77" s="190">
        <f t="shared" ca="1" si="10"/>
        <v>4.2513203219492673E-2</v>
      </c>
      <c r="H77" s="190">
        <f t="shared" ca="1" si="10"/>
        <v>3.1533519281794542E-2</v>
      </c>
      <c r="I77" s="189">
        <f t="shared" ca="1" si="11"/>
        <v>0.17395075893627907</v>
      </c>
      <c r="J77" s="190">
        <f t="shared" ca="1" si="11"/>
        <v>5.545187283853132E-2</v>
      </c>
      <c r="K77" s="190">
        <f t="shared" ca="1" si="11"/>
        <v>6.5526152834037135E-2</v>
      </c>
      <c r="L77" s="190">
        <f t="shared" ca="1" si="11"/>
        <v>4.8062891280035526E-2</v>
      </c>
      <c r="M77" s="191">
        <f t="shared" ca="1" si="11"/>
        <v>6.3251005700381155E-2</v>
      </c>
    </row>
    <row r="78" spans="2:18" ht="15" customHeight="1" thickBot="1" x14ac:dyDescent="0.25">
      <c r="B78" s="1724"/>
      <c r="C78" s="277" t="str">
        <f>$C$27</f>
        <v>Interior modules</v>
      </c>
      <c r="D78" s="582">
        <f t="shared" ca="1" si="10"/>
        <v>-4.4811739066008538E-4</v>
      </c>
      <c r="E78" s="583">
        <f t="shared" ca="1" si="10"/>
        <v>3.4405764703713947E-2</v>
      </c>
      <c r="F78" s="583">
        <f t="shared" ca="1" si="10"/>
        <v>4.2513203219492673E-2</v>
      </c>
      <c r="G78" s="583">
        <f t="shared" ca="1" si="10"/>
        <v>4.2513203219492673E-2</v>
      </c>
      <c r="H78" s="583">
        <f t="shared" ca="1" si="10"/>
        <v>3.1533519281794542E-2</v>
      </c>
      <c r="I78" s="582">
        <f t="shared" ca="1" si="11"/>
        <v>3.718362589935767E-2</v>
      </c>
      <c r="J78" s="583">
        <f t="shared" ca="1" si="11"/>
        <v>9.2902290365141735E-2</v>
      </c>
      <c r="K78" s="583">
        <f t="shared" ca="1" si="11"/>
        <v>5.0507308058592423E-2</v>
      </c>
      <c r="L78" s="583">
        <f t="shared" ca="1" si="11"/>
        <v>5.0015713897132712E-2</v>
      </c>
      <c r="M78" s="585">
        <f t="shared" ca="1" si="11"/>
        <v>4.8463289869686892E-2</v>
      </c>
    </row>
    <row r="79" spans="2:18" ht="15" customHeight="1" x14ac:dyDescent="0.2">
      <c r="B79" s="1722" t="str">
        <f>$B$32</f>
        <v>South row</v>
      </c>
      <c r="C79" s="183" t="str">
        <f>$C$26</f>
        <v>1st-4th module</v>
      </c>
      <c r="D79" s="189">
        <f t="shared" ca="1" si="10"/>
        <v>-4.4811739066008538E-4</v>
      </c>
      <c r="E79" s="190">
        <f t="shared" ca="1" si="10"/>
        <v>3.4405764703713947E-2</v>
      </c>
      <c r="F79" s="190">
        <f t="shared" ca="1" si="10"/>
        <v>4.2513203219492673E-2</v>
      </c>
      <c r="G79" s="190">
        <f t="shared" ca="1" si="10"/>
        <v>4.2513203219492673E-2</v>
      </c>
      <c r="H79" s="573">
        <f t="shared" ca="1" si="10"/>
        <v>3.1533519281794542E-2</v>
      </c>
      <c r="I79" s="189">
        <f t="shared" ca="1" si="11"/>
        <v>0.11448578074603311</v>
      </c>
      <c r="J79" s="190">
        <f t="shared" ca="1" si="11"/>
        <v>4.9791533668803699E-2</v>
      </c>
      <c r="K79" s="190">
        <f t="shared" ca="1" si="11"/>
        <v>5.4502894640768157E-2</v>
      </c>
      <c r="L79" s="190">
        <f t="shared" ca="1" si="11"/>
        <v>5.2239606751214168E-2</v>
      </c>
      <c r="M79" s="191">
        <f t="shared" ca="1" si="11"/>
        <v>5.1403113010777095E-2</v>
      </c>
    </row>
    <row r="80" spans="2:18" ht="15" customHeight="1" thickBot="1" x14ac:dyDescent="0.25">
      <c r="B80" s="1724"/>
      <c r="C80" s="277" t="str">
        <f>$C$27</f>
        <v>Interior modules</v>
      </c>
      <c r="D80" s="578">
        <f t="shared" ca="1" si="10"/>
        <v>-4.4811739066008538E-4</v>
      </c>
      <c r="E80" s="579">
        <f t="shared" ca="1" si="10"/>
        <v>3.4405764703713947E-2</v>
      </c>
      <c r="F80" s="579">
        <f t="shared" ca="1" si="10"/>
        <v>4.2513203219492673E-2</v>
      </c>
      <c r="G80" s="579">
        <f t="shared" ca="1" si="10"/>
        <v>4.2513203219492673E-2</v>
      </c>
      <c r="H80" s="580">
        <f ca="1">(9.81*(H122+20)/1000/1.5+H108*(SIN(PI()/180*10)*1.921/0.5+COS(PI()/180*10)*1.921))/(SIN(PI()/180*62.4)*0.455/0.5-COS(PI()/180*62.4)*0.455)</f>
        <v>3.1533519281794542E-2</v>
      </c>
      <c r="I80" s="578">
        <f t="shared" ca="1" si="11"/>
        <v>3.3824473771809277E-2</v>
      </c>
      <c r="J80" s="579">
        <f t="shared" ca="1" si="11"/>
        <v>5.2040306168959882E-2</v>
      </c>
      <c r="K80" s="579">
        <f t="shared" ca="1" si="11"/>
        <v>5.9161107473424228E-2</v>
      </c>
      <c r="L80" s="579">
        <f t="shared" ca="1" si="11"/>
        <v>4.1670100193851346E-2</v>
      </c>
      <c r="M80" s="581">
        <f ca="1">(-9.81*(M122+20)/1000/1.5-M108*COS(PI()/180*10)*1.921)/(COS(PI()/180*62.4)*0.455)</f>
        <v>5.5379145660850039E-2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952"/>
      <c r="O84" s="956"/>
      <c r="P84" s="956" t="s">
        <v>62</v>
      </c>
      <c r="Q84" s="956"/>
      <c r="R84" s="957"/>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22" t="str">
        <f>$B$26</f>
        <v>North row</v>
      </c>
      <c r="C87" s="183" t="str">
        <f>$C$26</f>
        <v>1st-4th module</v>
      </c>
      <c r="D87" s="189">
        <f>IF(N87=-2,1000*($G$17*$G$18*$C$19)/625,1000*($G$17*$G$18*$C$19)/(MAX(150,MIN($G$16*MAX($G$14:$G$15),4*$G$16^2,4*(MIN($G$14:$G$15))^2))*(MAX(6.12,$G$16)/12.5)^N87))</f>
        <v>349.21941349421598</v>
      </c>
      <c r="E87" s="190">
        <f t="shared" ref="E87:H94" si="12">IF(O87=-2,1000*($G$17*$G$18*$C$19)/625,1000*($G$17*$G$18*$C$19)/(MAX(150,MIN($G$16*MAX($G$14:$G$15),4*$G$16^2,4*(MIN($G$14:$G$15))^2))*(MAX(6.12,$G$16)/12.5)^O87))</f>
        <v>233.66061861157138</v>
      </c>
      <c r="F87" s="190">
        <f t="shared" si="12"/>
        <v>204.36878828743113</v>
      </c>
      <c r="G87" s="190">
        <f t="shared" si="12"/>
        <v>156.34092086591997</v>
      </c>
      <c r="H87" s="573">
        <f>IF(R87=-2,1000*($G$17*$G$18*$C$19)/625,1000*($G$17*$G$18*$C$19)/(MAX(150,MIN($G$16*MAX($G$14:$G$15),4*$G$16^2,4*(MIN($G$14:$G$15))^2))*(MAX(6.12,$G$16)/12.5)^R87))</f>
        <v>156.34092086591997</v>
      </c>
      <c r="I87" s="189">
        <f>IF(N87=-2,1000*($G$17*$G$18*$C$16)/625,1000*($G$17*$G$18*$C$16)/(MAX(150,MIN($G$16*MAX($G$14:$G$15),4*$G$16^2,4*(MIN($G$14:$G$15))^2))*(MAX(6.12,$G$16)/12.5)^N87))</f>
        <v>64.142341254039664</v>
      </c>
      <c r="J87" s="190">
        <f t="shared" ref="J87:M94" si="13">IF(O87=-2,1000*($G$17*$G$18*$C$16)/625,1000*($G$17*$G$18*$C$16)/(MAX(150,MIN($G$16*MAX($G$14:$G$15),4*$G$16^2,4*(MIN($G$14:$G$15))^2))*(MAX(6.12,$G$16)/12.5)^O87))</f>
        <v>42.917256479676368</v>
      </c>
      <c r="K87" s="190">
        <f t="shared" si="13"/>
        <v>37.537124379324084</v>
      </c>
      <c r="L87" s="190">
        <f t="shared" si="13"/>
        <v>28.715679342719994</v>
      </c>
      <c r="M87" s="573">
        <f t="shared" si="13"/>
        <v>28.715679342719994</v>
      </c>
      <c r="N87" s="189">
        <v>-0.5</v>
      </c>
      <c r="O87" s="190">
        <v>-1.25</v>
      </c>
      <c r="P87" s="190">
        <v>-1.5</v>
      </c>
      <c r="Q87" s="190">
        <v>-2</v>
      </c>
      <c r="R87" s="191">
        <v>-2</v>
      </c>
    </row>
    <row r="88" spans="2:31" ht="15" customHeight="1" thickBot="1" x14ac:dyDescent="0.25">
      <c r="B88" s="1724"/>
      <c r="C88" s="277" t="str">
        <f>$C$27</f>
        <v>Interior modules</v>
      </c>
      <c r="D88" s="574">
        <f t="shared" ref="D88:D94" si="14">IF(N88=-2,1000*($G$17*$G$18*$C$19)/625,1000*($G$17*$G$18*$C$19)/(MAX(150,MIN($G$16*MAX($G$14:$G$15),4*$G$16^2,4*(MIN($G$14:$G$15))^2))*(MAX(6.12,$G$16)/12.5)^N88))</f>
        <v>349.21941349421598</v>
      </c>
      <c r="E88" s="575">
        <f t="shared" si="12"/>
        <v>233.66061861157138</v>
      </c>
      <c r="F88" s="575">
        <f t="shared" si="12"/>
        <v>204.36878828743113</v>
      </c>
      <c r="G88" s="575">
        <f t="shared" si="12"/>
        <v>156.34092086591997</v>
      </c>
      <c r="H88" s="576">
        <f t="shared" si="12"/>
        <v>156.34092086591997</v>
      </c>
      <c r="I88" s="574">
        <f t="shared" ref="I88:I94" si="15">IF(N88=-2,1000*($G$17*$G$18*$C$16)/625,1000*($G$17*$G$18*$C$16)/(MAX(150,MIN($G$16*MAX($G$14:$G$15),4*$G$16^2,4*(MIN($G$14:$G$15))^2))*(MAX(6.12,$G$16)/12.5)^N88))</f>
        <v>64.142341254039664</v>
      </c>
      <c r="J88" s="575">
        <f t="shared" si="13"/>
        <v>42.917256479676368</v>
      </c>
      <c r="K88" s="575">
        <f t="shared" si="13"/>
        <v>37.537124379324084</v>
      </c>
      <c r="L88" s="575">
        <f t="shared" si="13"/>
        <v>28.715679342719994</v>
      </c>
      <c r="M88" s="576">
        <f t="shared" si="13"/>
        <v>28.715679342719994</v>
      </c>
      <c r="N88" s="574">
        <v>-0.5</v>
      </c>
      <c r="O88" s="575">
        <v>-1.25</v>
      </c>
      <c r="P88" s="575">
        <v>-1.5</v>
      </c>
      <c r="Q88" s="575">
        <v>-2</v>
      </c>
      <c r="R88" s="577">
        <v>-2</v>
      </c>
    </row>
    <row r="89" spans="2:31" ht="15" customHeight="1" x14ac:dyDescent="0.2">
      <c r="B89" s="1722" t="str">
        <f>$B$28</f>
        <v>Inner rows, 2nd to 6th row from north</v>
      </c>
      <c r="C89" s="241" t="str">
        <f>$C$26</f>
        <v>1st-4th module</v>
      </c>
      <c r="D89" s="190">
        <f t="shared" si="14"/>
        <v>456.49947554976836</v>
      </c>
      <c r="E89" s="190">
        <f t="shared" si="12"/>
        <v>305.44106579167436</v>
      </c>
      <c r="F89" s="190">
        <f t="shared" si="12"/>
        <v>305.44106579167436</v>
      </c>
      <c r="G89" s="190">
        <f t="shared" si="12"/>
        <v>178.74899875834058</v>
      </c>
      <c r="H89" s="573">
        <f t="shared" si="12"/>
        <v>178.74899875834058</v>
      </c>
      <c r="I89" s="189">
        <f t="shared" si="15"/>
        <v>83.846842447916629</v>
      </c>
      <c r="J89" s="190">
        <f t="shared" si="13"/>
        <v>56.101420247450392</v>
      </c>
      <c r="K89" s="190">
        <f t="shared" si="13"/>
        <v>56.101420247450392</v>
      </c>
      <c r="L89" s="190">
        <f t="shared" si="13"/>
        <v>32.831448751531937</v>
      </c>
      <c r="M89" s="573">
        <f t="shared" si="13"/>
        <v>32.831448751531937</v>
      </c>
      <c r="N89" s="189">
        <v>0</v>
      </c>
      <c r="O89" s="190">
        <v>-0.75</v>
      </c>
      <c r="P89" s="190">
        <v>-0.75</v>
      </c>
      <c r="Q89" s="190">
        <v>-1.75</v>
      </c>
      <c r="R89" s="191">
        <v>-1.75</v>
      </c>
    </row>
    <row r="90" spans="2:31" ht="15" customHeight="1" thickBot="1" x14ac:dyDescent="0.25">
      <c r="B90" s="1724"/>
      <c r="C90" s="524" t="str">
        <f>$C$27</f>
        <v>Interior modules</v>
      </c>
      <c r="D90" s="578">
        <f t="shared" si="14"/>
        <v>456.49947554976836</v>
      </c>
      <c r="E90" s="579">
        <f t="shared" si="12"/>
        <v>305.44106579167436</v>
      </c>
      <c r="F90" s="579">
        <f t="shared" si="12"/>
        <v>305.44106579167436</v>
      </c>
      <c r="G90" s="579">
        <f t="shared" si="12"/>
        <v>178.74899875834058</v>
      </c>
      <c r="H90" s="580">
        <f t="shared" si="12"/>
        <v>178.74899875834058</v>
      </c>
      <c r="I90" s="578">
        <f t="shared" si="15"/>
        <v>83.846842447916629</v>
      </c>
      <c r="J90" s="579">
        <f t="shared" si="13"/>
        <v>56.101420247450392</v>
      </c>
      <c r="K90" s="579">
        <f t="shared" si="13"/>
        <v>56.101420247450392</v>
      </c>
      <c r="L90" s="579">
        <f t="shared" si="13"/>
        <v>32.831448751531937</v>
      </c>
      <c r="M90" s="580">
        <f t="shared" si="13"/>
        <v>32.831448751531937</v>
      </c>
      <c r="N90" s="578">
        <v>0</v>
      </c>
      <c r="O90" s="579">
        <v>-0.75</v>
      </c>
      <c r="P90" s="579">
        <v>-0.75</v>
      </c>
      <c r="Q90" s="579">
        <v>-1.75</v>
      </c>
      <c r="R90" s="581">
        <v>-1.75</v>
      </c>
    </row>
    <row r="91" spans="2:31" ht="15" customHeight="1" x14ac:dyDescent="0.2">
      <c r="B91" s="1722" t="str">
        <f>$B$30</f>
        <v>Inner rows, from 7th row from north</v>
      </c>
      <c r="C91" s="183" t="str">
        <f>$C$26</f>
        <v>1st-4th module</v>
      </c>
      <c r="D91" s="189">
        <f t="shared" si="14"/>
        <v>456.49947554976836</v>
      </c>
      <c r="E91" s="190">
        <f t="shared" si="12"/>
        <v>305.44106579167436</v>
      </c>
      <c r="F91" s="190">
        <f t="shared" si="12"/>
        <v>305.44106579167436</v>
      </c>
      <c r="G91" s="190">
        <f t="shared" si="12"/>
        <v>178.74899875834058</v>
      </c>
      <c r="H91" s="573">
        <f t="shared" si="12"/>
        <v>178.74899875834058</v>
      </c>
      <c r="I91" s="189">
        <f t="shared" si="15"/>
        <v>83.846842447916629</v>
      </c>
      <c r="J91" s="190">
        <f t="shared" si="13"/>
        <v>56.101420247450392</v>
      </c>
      <c r="K91" s="190">
        <f t="shared" si="13"/>
        <v>56.101420247450392</v>
      </c>
      <c r="L91" s="190">
        <f t="shared" si="13"/>
        <v>32.831448751531937</v>
      </c>
      <c r="M91" s="573">
        <f t="shared" si="13"/>
        <v>32.831448751531937</v>
      </c>
      <c r="N91" s="189">
        <v>0</v>
      </c>
      <c r="O91" s="190">
        <v>-0.75</v>
      </c>
      <c r="P91" s="190">
        <v>-0.75</v>
      </c>
      <c r="Q91" s="190">
        <v>-1.75</v>
      </c>
      <c r="R91" s="191">
        <v>-1.75</v>
      </c>
    </row>
    <row r="92" spans="2:31" ht="15" customHeight="1" thickBot="1" x14ac:dyDescent="0.25">
      <c r="B92" s="1724"/>
      <c r="C92" s="277" t="str">
        <f>$C$27</f>
        <v>Interior modules</v>
      </c>
      <c r="D92" s="582">
        <f t="shared" si="14"/>
        <v>456.49947554976836</v>
      </c>
      <c r="E92" s="583">
        <f t="shared" si="12"/>
        <v>305.44106579167436</v>
      </c>
      <c r="F92" s="583">
        <f t="shared" si="12"/>
        <v>305.44106579167436</v>
      </c>
      <c r="G92" s="583">
        <f t="shared" si="12"/>
        <v>178.74899875834058</v>
      </c>
      <c r="H92" s="584">
        <f t="shared" si="12"/>
        <v>178.74899875834058</v>
      </c>
      <c r="I92" s="582">
        <f t="shared" si="15"/>
        <v>83.846842447916629</v>
      </c>
      <c r="J92" s="583">
        <f t="shared" si="13"/>
        <v>56.101420247450392</v>
      </c>
      <c r="K92" s="583">
        <f t="shared" si="13"/>
        <v>56.101420247450392</v>
      </c>
      <c r="L92" s="583">
        <f t="shared" si="13"/>
        <v>32.831448751531937</v>
      </c>
      <c r="M92" s="584">
        <f t="shared" si="13"/>
        <v>32.831448751531937</v>
      </c>
      <c r="N92" s="582">
        <v>0</v>
      </c>
      <c r="O92" s="583">
        <v>-0.75</v>
      </c>
      <c r="P92" s="583">
        <v>-0.75</v>
      </c>
      <c r="Q92" s="583">
        <v>-1.75</v>
      </c>
      <c r="R92" s="585">
        <v>-1.75</v>
      </c>
    </row>
    <row r="93" spans="2:31" ht="15" customHeight="1" x14ac:dyDescent="0.2">
      <c r="B93" s="1722" t="str">
        <f>$B$32</f>
        <v>South row</v>
      </c>
      <c r="C93" s="183" t="str">
        <f>$C$26</f>
        <v>1st-4th module</v>
      </c>
      <c r="D93" s="189">
        <f t="shared" si="14"/>
        <v>456.49947554976836</v>
      </c>
      <c r="E93" s="190">
        <f t="shared" si="12"/>
        <v>305.44106579167436</v>
      </c>
      <c r="F93" s="190">
        <f t="shared" si="12"/>
        <v>305.44106579167436</v>
      </c>
      <c r="G93" s="190">
        <f t="shared" si="12"/>
        <v>178.74899875834058</v>
      </c>
      <c r="H93" s="573">
        <f t="shared" si="12"/>
        <v>178.74899875834058</v>
      </c>
      <c r="I93" s="189">
        <f t="shared" si="15"/>
        <v>83.846842447916629</v>
      </c>
      <c r="J93" s="190">
        <f t="shared" si="13"/>
        <v>56.101420247450392</v>
      </c>
      <c r="K93" s="190">
        <f t="shared" si="13"/>
        <v>56.101420247450392</v>
      </c>
      <c r="L93" s="190">
        <f t="shared" si="13"/>
        <v>32.831448751531937</v>
      </c>
      <c r="M93" s="573">
        <f t="shared" si="13"/>
        <v>32.831448751531937</v>
      </c>
      <c r="N93" s="189">
        <v>0</v>
      </c>
      <c r="O93" s="190">
        <v>-0.75</v>
      </c>
      <c r="P93" s="190">
        <v>-0.75</v>
      </c>
      <c r="Q93" s="190">
        <v>-1.75</v>
      </c>
      <c r="R93" s="191">
        <v>-1.75</v>
      </c>
    </row>
    <row r="94" spans="2:31" ht="15" customHeight="1" thickBot="1" x14ac:dyDescent="0.25">
      <c r="B94" s="1724"/>
      <c r="C94" s="277" t="str">
        <f>$C$27</f>
        <v>Interior modules</v>
      </c>
      <c r="D94" s="578">
        <f t="shared" si="14"/>
        <v>456.49947554976836</v>
      </c>
      <c r="E94" s="579">
        <f t="shared" si="12"/>
        <v>305.44106579167436</v>
      </c>
      <c r="F94" s="579">
        <f t="shared" si="12"/>
        <v>305.44106579167436</v>
      </c>
      <c r="G94" s="579">
        <f t="shared" si="12"/>
        <v>178.74899875834058</v>
      </c>
      <c r="H94" s="580">
        <f t="shared" si="12"/>
        <v>178.74899875834058</v>
      </c>
      <c r="I94" s="578">
        <f t="shared" si="15"/>
        <v>83.846842447916629</v>
      </c>
      <c r="J94" s="579">
        <f t="shared" si="13"/>
        <v>56.101420247450392</v>
      </c>
      <c r="K94" s="579">
        <f t="shared" si="13"/>
        <v>56.101420247450392</v>
      </c>
      <c r="L94" s="579">
        <f t="shared" si="13"/>
        <v>32.831448751531937</v>
      </c>
      <c r="M94" s="580">
        <f>IF(R94=-2,1000*($G$17*$G$18*$C$16)/625,1000*($G$17*$G$18*$C$16)/(MAX(150,MIN($G$16*MAX($G$14:$G$15),4*$G$16^2,4*(MIN($G$14:$G$15))^2))*(MAX(6.12,$G$16)/12.5)^R94))</f>
        <v>32.831448751531937</v>
      </c>
      <c r="N94" s="578">
        <v>0</v>
      </c>
      <c r="O94" s="579">
        <v>-0.75</v>
      </c>
      <c r="P94" s="579">
        <v>-0.75</v>
      </c>
      <c r="Q94" s="579">
        <v>-1.75</v>
      </c>
      <c r="R94" s="581">
        <v>-1.75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69</v>
      </c>
      <c r="J100" s="438" t="s">
        <v>69</v>
      </c>
      <c r="K100" s="438" t="s">
        <v>69</v>
      </c>
      <c r="L100" s="438" t="s">
        <v>69</v>
      </c>
      <c r="M100" s="439" t="s">
        <v>69</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22" t="str">
        <f>$B$26</f>
        <v>North row</v>
      </c>
      <c r="C101" s="183" t="str">
        <f>$C$26</f>
        <v>1st-4th module</v>
      </c>
      <c r="D101" s="189">
        <f ca="1">AF101+(AP101-AF101)/(LOG(BJ101)-LOG(AZ101))*(LOG(D87)-LOG(AZ101))</f>
        <v>-0.11</v>
      </c>
      <c r="E101" s="190">
        <f t="shared" ref="E101:M101" ca="1" si="16">AG101+(AQ101-AG101)/(LOG(BK101)-LOG(BA101))*(LOG(E87)-LOG(BA101))</f>
        <v>-0.14408012103265444</v>
      </c>
      <c r="F101" s="190">
        <f t="shared" ca="1" si="16"/>
        <v>-0.1</v>
      </c>
      <c r="G101" s="190">
        <f t="shared" ca="1" si="16"/>
        <v>-0.1</v>
      </c>
      <c r="H101" s="573">
        <f t="shared" ca="1" si="16"/>
        <v>-0.1</v>
      </c>
      <c r="I101" s="189">
        <f t="shared" ca="1" si="16"/>
        <v>-0.20073473691375782</v>
      </c>
      <c r="J101" s="190">
        <f t="shared" ca="1" si="16"/>
        <v>-0.24737916678832012</v>
      </c>
      <c r="K101" s="190">
        <f t="shared" ca="1" si="16"/>
        <v>-0.19384458798421367</v>
      </c>
      <c r="L101" s="190">
        <f t="shared" ca="1" si="16"/>
        <v>-0.19698884321952462</v>
      </c>
      <c r="M101" s="191">
        <f t="shared" ca="1" si="16"/>
        <v>-0.20004113560934605</v>
      </c>
      <c r="S101">
        <v>0</v>
      </c>
      <c r="T101" s="954" t="str">
        <f>$B$26</f>
        <v>North row</v>
      </c>
      <c r="U101" s="183" t="str">
        <f>$C$26</f>
        <v>1st-4th module</v>
      </c>
      <c r="V101" s="189" t="str">
        <f t="shared" ref="V101:AE108" si="17">CONCATENATE(ADDRESS(ROW($C$128)+V$96+$S101,COLUMN($C$128)+V$97,4),":",ADDRESS(ROW($C$128)+V$96+$S101+4,COLUMN($C$128)+V$97,4))</f>
        <v>C128:C132</v>
      </c>
      <c r="W101" s="190" t="str">
        <f t="shared" si="17"/>
        <v>F128:F132</v>
      </c>
      <c r="X101" s="190" t="str">
        <f t="shared" si="17"/>
        <v>I128:I132</v>
      </c>
      <c r="Y101" s="190" t="str">
        <f t="shared" si="17"/>
        <v>L128:L132</v>
      </c>
      <c r="Z101" s="573" t="str">
        <f t="shared" si="17"/>
        <v>O128:O132</v>
      </c>
      <c r="AA101" s="189" t="str">
        <f t="shared" si="17"/>
        <v>C186:C190</v>
      </c>
      <c r="AB101" s="190" t="str">
        <f t="shared" si="17"/>
        <v>F186:F190</v>
      </c>
      <c r="AC101" s="190" t="str">
        <f t="shared" si="17"/>
        <v>I186:I190</v>
      </c>
      <c r="AD101" s="190" t="str">
        <f t="shared" si="17"/>
        <v>L186:L190</v>
      </c>
      <c r="AE101" s="191" t="str">
        <f t="shared" si="17"/>
        <v>O186:O190</v>
      </c>
      <c r="AF101" s="189">
        <f ca="1">INDEX(OFFSET(INDIRECT(V101),0,1),MATCH(D87,INDIRECT(V101),1))</f>
        <v>-0.11</v>
      </c>
      <c r="AG101" s="190">
        <f t="shared" ref="AG101:AO101" ca="1" si="18">INDEX(OFFSET(INDIRECT(W101),0,1),MATCH(E87,INDIRECT(W101),1))</f>
        <v>-0.27</v>
      </c>
      <c r="AH101" s="190">
        <f t="shared" ca="1" si="18"/>
        <v>-0.1</v>
      </c>
      <c r="AI101" s="190">
        <f t="shared" ca="1" si="18"/>
        <v>-0.1</v>
      </c>
      <c r="AJ101" s="573">
        <f t="shared" ca="1" si="18"/>
        <v>-0.1</v>
      </c>
      <c r="AK101" s="189">
        <f t="shared" ca="1" si="18"/>
        <v>-0.32</v>
      </c>
      <c r="AL101" s="190">
        <f t="shared" ca="1" si="18"/>
        <v>-0.28000000000000003</v>
      </c>
      <c r="AM101" s="190">
        <f t="shared" ca="1" si="18"/>
        <v>-0.28000000000000003</v>
      </c>
      <c r="AN101" s="190">
        <f t="shared" ca="1" si="18"/>
        <v>-0.26</v>
      </c>
      <c r="AO101" s="191">
        <f t="shared" ca="1" si="18"/>
        <v>-0.27</v>
      </c>
      <c r="AP101" s="189">
        <f ca="1">INDEX(OFFSET(INDIRECT(V101),0,1),MATCH(D87,INDIRECT(V101),1)+1)</f>
        <v>-0.11</v>
      </c>
      <c r="AQ101" s="190">
        <f t="shared" ref="AQ101:AY101" ca="1" si="19">INDEX(OFFSET(INDIRECT(W101),0,1),MATCH(E87,INDIRECT(W101),1)+1)</f>
        <v>-0.13</v>
      </c>
      <c r="AR101" s="190">
        <f t="shared" ca="1" si="19"/>
        <v>-0.1</v>
      </c>
      <c r="AS101" s="190">
        <f t="shared" ca="1" si="19"/>
        <v>-0.1</v>
      </c>
      <c r="AT101" s="573">
        <f t="shared" ca="1" si="19"/>
        <v>-0.1</v>
      </c>
      <c r="AU101" s="189">
        <f t="shared" ca="1" si="19"/>
        <v>-0.18</v>
      </c>
      <c r="AV101" s="190">
        <f t="shared" ca="1" si="19"/>
        <v>-0.13</v>
      </c>
      <c r="AW101" s="190">
        <f t="shared" ca="1" si="19"/>
        <v>-0.1</v>
      </c>
      <c r="AX101" s="190">
        <f t="shared" ca="1" si="19"/>
        <v>-0.1</v>
      </c>
      <c r="AY101" s="191">
        <f t="shared" ca="1" si="19"/>
        <v>-0.1</v>
      </c>
      <c r="AZ101" s="641">
        <f ca="1">INDEX(OFFSET(INDIRECT(V101),0,0),MATCH(D87,INDIRECT(V101),1))</f>
        <v>300</v>
      </c>
      <c r="BA101" s="642">
        <f t="shared" ref="BA101:BI101" ca="1" si="20">INDEX(OFFSET(INDIRECT(W101),0,0),MATCH(E87,INDIRECT(W101),1))</f>
        <v>25</v>
      </c>
      <c r="BB101" s="642">
        <f t="shared" ca="1" si="20"/>
        <v>130</v>
      </c>
      <c r="BC101" s="642">
        <f t="shared" ca="1" si="20"/>
        <v>110</v>
      </c>
      <c r="BD101" s="643">
        <f t="shared" ca="1" si="20"/>
        <v>100</v>
      </c>
      <c r="BE101" s="641">
        <f t="shared" ca="1" si="20"/>
        <v>18</v>
      </c>
      <c r="BF101" s="642">
        <f t="shared" ca="1" si="20"/>
        <v>25</v>
      </c>
      <c r="BG101" s="642">
        <f t="shared" ca="1" si="20"/>
        <v>12</v>
      </c>
      <c r="BH101" s="642">
        <f t="shared" ca="1" si="20"/>
        <v>12</v>
      </c>
      <c r="BI101" s="644">
        <f t="shared" ca="1" si="20"/>
        <v>12</v>
      </c>
      <c r="BJ101" s="641">
        <f ca="1">INDEX(OFFSET(INDIRECT(V101),0,0),MATCH(D87,INDIRECT(V101),1)+1)</f>
        <v>10000</v>
      </c>
      <c r="BK101" s="642">
        <f t="shared" ref="BK101:BS101" ca="1" si="21">INDEX(OFFSET(INDIRECT(W101),0,0),MATCH(E87,INDIRECT(W101),1)+1)</f>
        <v>300</v>
      </c>
      <c r="BL101" s="642">
        <f t="shared" ca="1" si="21"/>
        <v>10000</v>
      </c>
      <c r="BM101" s="642">
        <f t="shared" ca="1" si="21"/>
        <v>10000</v>
      </c>
      <c r="BN101" s="643">
        <f t="shared" ca="1" si="21"/>
        <v>10000</v>
      </c>
      <c r="BO101" s="641">
        <f t="shared" ca="1" si="21"/>
        <v>80</v>
      </c>
      <c r="BP101" s="642">
        <f t="shared" ca="1" si="21"/>
        <v>300</v>
      </c>
      <c r="BQ101" s="642">
        <f t="shared" ca="1" si="21"/>
        <v>130</v>
      </c>
      <c r="BR101" s="642">
        <f t="shared" ca="1" si="21"/>
        <v>110</v>
      </c>
      <c r="BS101" s="644">
        <f t="shared" ca="1" si="21"/>
        <v>100</v>
      </c>
    </row>
    <row r="102" spans="2:71" ht="15" customHeight="1" thickBot="1" x14ac:dyDescent="0.3">
      <c r="B102" s="1724"/>
      <c r="C102" s="277" t="str">
        <f>$C$27</f>
        <v>Interior modules</v>
      </c>
      <c r="D102" s="574">
        <f t="shared" ref="D102:M108" ca="1" si="22">AF102+(AP102-AF102)/(LOG(BJ102)-LOG(AZ102))*(LOG(D88)-LOG(AZ102))</f>
        <v>-0.11</v>
      </c>
      <c r="E102" s="575">
        <f t="shared" ca="1" si="22"/>
        <v>-0.14698466308734301</v>
      </c>
      <c r="F102" s="575">
        <f t="shared" ca="1" si="22"/>
        <v>-0.1</v>
      </c>
      <c r="G102" s="575">
        <f t="shared" ca="1" si="22"/>
        <v>-0.1</v>
      </c>
      <c r="H102" s="576">
        <f t="shared" ca="1" si="22"/>
        <v>-0.1</v>
      </c>
      <c r="I102" s="574">
        <f t="shared" ca="1" si="22"/>
        <v>-0.11</v>
      </c>
      <c r="J102" s="575">
        <f t="shared" ca="1" si="22"/>
        <v>-0.30607240983259854</v>
      </c>
      <c r="K102" s="575">
        <f t="shared" ca="1" si="22"/>
        <v>-0.15309125244409078</v>
      </c>
      <c r="L102" s="575">
        <f t="shared" ca="1" si="22"/>
        <v>-0.2030506459207449</v>
      </c>
      <c r="M102" s="577">
        <f t="shared" ca="1" si="22"/>
        <v>-0.20592590829224877</v>
      </c>
      <c r="S102">
        <v>7</v>
      </c>
      <c r="T102" s="955"/>
      <c r="U102" s="277" t="str">
        <f>$C$27</f>
        <v>Interior modules</v>
      </c>
      <c r="V102" s="574" t="str">
        <f t="shared" si="17"/>
        <v>C135:C139</v>
      </c>
      <c r="W102" s="575" t="str">
        <f t="shared" si="17"/>
        <v>F135:F139</v>
      </c>
      <c r="X102" s="575" t="str">
        <f t="shared" si="17"/>
        <v>I135:I139</v>
      </c>
      <c r="Y102" s="575" t="str">
        <f t="shared" si="17"/>
        <v>L135:L139</v>
      </c>
      <c r="Z102" s="576" t="str">
        <f t="shared" si="17"/>
        <v>O135:O139</v>
      </c>
      <c r="AA102" s="574" t="str">
        <f t="shared" si="17"/>
        <v>C193:C197</v>
      </c>
      <c r="AB102" s="575" t="str">
        <f t="shared" si="17"/>
        <v>F193:F197</v>
      </c>
      <c r="AC102" s="575" t="str">
        <f t="shared" si="17"/>
        <v>I193:I197</v>
      </c>
      <c r="AD102" s="575" t="str">
        <f t="shared" si="17"/>
        <v>L193:L197</v>
      </c>
      <c r="AE102" s="577" t="str">
        <f t="shared" si="17"/>
        <v>O193:O197</v>
      </c>
      <c r="AF102" s="574">
        <f t="shared" ref="AF102:AO108" ca="1" si="23">INDEX(OFFSET(INDIRECT(V102),0,1),MATCH(D88,INDIRECT(V102),1))</f>
        <v>-0.11</v>
      </c>
      <c r="AG102" s="575">
        <f t="shared" ca="1" si="23"/>
        <v>-0.32</v>
      </c>
      <c r="AH102" s="575">
        <f t="shared" ca="1" si="23"/>
        <v>-0.1</v>
      </c>
      <c r="AI102" s="575">
        <f t="shared" ca="1" si="23"/>
        <v>-0.1</v>
      </c>
      <c r="AJ102" s="576">
        <f t="shared" ca="1" si="23"/>
        <v>-0.1</v>
      </c>
      <c r="AK102" s="574">
        <f t="shared" ca="1" si="23"/>
        <v>-0.11</v>
      </c>
      <c r="AL102" s="575">
        <f t="shared" ca="1" si="23"/>
        <v>-0.32</v>
      </c>
      <c r="AM102" s="575">
        <f t="shared" ca="1" si="23"/>
        <v>-0.18</v>
      </c>
      <c r="AN102" s="575">
        <f t="shared" ca="1" si="23"/>
        <v>-0.27</v>
      </c>
      <c r="AO102" s="577">
        <f t="shared" ca="1" si="23"/>
        <v>-0.28000000000000003</v>
      </c>
      <c r="AP102" s="574">
        <f t="shared" ref="AP102:AY108" ca="1" si="24">INDEX(OFFSET(INDIRECT(V102),0,1),MATCH(D88,INDIRECT(V102),1)+1)</f>
        <v>-0.11</v>
      </c>
      <c r="AQ102" s="575">
        <f t="shared" ca="1" si="24"/>
        <v>-0.13</v>
      </c>
      <c r="AR102" s="575">
        <f t="shared" ca="1" si="24"/>
        <v>-0.1</v>
      </c>
      <c r="AS102" s="575">
        <f t="shared" ca="1" si="24"/>
        <v>-0.1</v>
      </c>
      <c r="AT102" s="576">
        <f t="shared" ca="1" si="24"/>
        <v>-0.1</v>
      </c>
      <c r="AU102" s="574">
        <f t="shared" ca="1" si="24"/>
        <v>-0.11</v>
      </c>
      <c r="AV102" s="575">
        <f t="shared" ca="1" si="24"/>
        <v>-0.13</v>
      </c>
      <c r="AW102" s="575">
        <f t="shared" ca="1" si="24"/>
        <v>-0.1</v>
      </c>
      <c r="AX102" s="575">
        <f t="shared" ca="1" si="24"/>
        <v>-0.1</v>
      </c>
      <c r="AY102" s="577">
        <f t="shared" ca="1" si="24"/>
        <v>-0.1</v>
      </c>
      <c r="AZ102" s="645">
        <f t="shared" ref="AZ102:BI108" ca="1" si="25">INDEX(OFFSET(INDIRECT(V102),0,0),MATCH(D88,INDIRECT(V102),1))</f>
        <v>60</v>
      </c>
      <c r="BA102" s="646">
        <f t="shared" ca="1" si="25"/>
        <v>37</v>
      </c>
      <c r="BB102" s="646">
        <f t="shared" ca="1" si="25"/>
        <v>130</v>
      </c>
      <c r="BC102" s="646">
        <f t="shared" ca="1" si="25"/>
        <v>110</v>
      </c>
      <c r="BD102" s="647">
        <f t="shared" ca="1" si="25"/>
        <v>100</v>
      </c>
      <c r="BE102" s="645">
        <f t="shared" ca="1" si="25"/>
        <v>60</v>
      </c>
      <c r="BF102" s="646">
        <f t="shared" ca="1" si="25"/>
        <v>37</v>
      </c>
      <c r="BG102" s="646">
        <f t="shared" ca="1" si="25"/>
        <v>20</v>
      </c>
      <c r="BH102" s="646">
        <f t="shared" ca="1" si="25"/>
        <v>12</v>
      </c>
      <c r="BI102" s="648">
        <f t="shared" ca="1" si="25"/>
        <v>12</v>
      </c>
      <c r="BJ102" s="645">
        <f t="shared" ref="BJ102:BS108" ca="1" si="26">INDEX(OFFSET(INDIRECT(V102),0,0),MATCH(D88,INDIRECT(V102),1)+1)</f>
        <v>10000</v>
      </c>
      <c r="BK102" s="646">
        <f t="shared" ca="1" si="26"/>
        <v>280</v>
      </c>
      <c r="BL102" s="646">
        <f t="shared" ca="1" si="26"/>
        <v>10000</v>
      </c>
      <c r="BM102" s="646">
        <f t="shared" ca="1" si="26"/>
        <v>10000</v>
      </c>
      <c r="BN102" s="647">
        <f t="shared" ca="1" si="26"/>
        <v>10000</v>
      </c>
      <c r="BO102" s="645">
        <f t="shared" ca="1" si="26"/>
        <v>10000</v>
      </c>
      <c r="BP102" s="646">
        <f t="shared" ca="1" si="26"/>
        <v>280</v>
      </c>
      <c r="BQ102" s="646">
        <f t="shared" ca="1" si="26"/>
        <v>130</v>
      </c>
      <c r="BR102" s="646">
        <f t="shared" ca="1" si="26"/>
        <v>110</v>
      </c>
      <c r="BS102" s="648">
        <f t="shared" ca="1" si="26"/>
        <v>100</v>
      </c>
    </row>
    <row r="103" spans="2:71" ht="15" customHeight="1" x14ac:dyDescent="0.25">
      <c r="B103" s="1722" t="str">
        <f>$B$28</f>
        <v>Inner rows, 2nd to 6th row from north</v>
      </c>
      <c r="C103" s="183" t="str">
        <f>$C$26</f>
        <v>1st-4th module</v>
      </c>
      <c r="D103" s="189">
        <f t="shared" ca="1" si="22"/>
        <v>-0.11</v>
      </c>
      <c r="E103" s="190">
        <f t="shared" ca="1" si="22"/>
        <v>-0.13</v>
      </c>
      <c r="F103" s="190">
        <f t="shared" ca="1" si="22"/>
        <v>-0.1</v>
      </c>
      <c r="G103" s="190">
        <f t="shared" ca="1" si="22"/>
        <v>-0.1</v>
      </c>
      <c r="H103" s="573">
        <f t="shared" ca="1" si="22"/>
        <v>-0.1</v>
      </c>
      <c r="I103" s="189">
        <f t="shared" ca="1" si="22"/>
        <v>-0.22270858199526011</v>
      </c>
      <c r="J103" s="190">
        <f t="shared" ca="1" si="22"/>
        <v>-0.13</v>
      </c>
      <c r="K103" s="190">
        <f t="shared" ca="1" si="22"/>
        <v>-0.13492515979734299</v>
      </c>
      <c r="L103" s="190">
        <f t="shared" ca="1" si="22"/>
        <v>-0.1</v>
      </c>
      <c r="M103" s="191">
        <f t="shared" ca="1" si="22"/>
        <v>-0.11683035751012838</v>
      </c>
      <c r="S103">
        <v>14</v>
      </c>
      <c r="T103" s="954" t="str">
        <f>$B$28</f>
        <v>Inner rows, 2nd to 6th row from north</v>
      </c>
      <c r="U103" s="183" t="str">
        <f>$C$26</f>
        <v>1st-4th module</v>
      </c>
      <c r="V103" s="189" t="str">
        <f t="shared" si="17"/>
        <v>C142:C146</v>
      </c>
      <c r="W103" s="190" t="str">
        <f t="shared" si="17"/>
        <v>F142:F146</v>
      </c>
      <c r="X103" s="190" t="str">
        <f t="shared" si="17"/>
        <v>I142:I146</v>
      </c>
      <c r="Y103" s="190" t="str">
        <f t="shared" si="17"/>
        <v>L142:L146</v>
      </c>
      <c r="Z103" s="573" t="str">
        <f t="shared" si="17"/>
        <v>O142:O146</v>
      </c>
      <c r="AA103" s="189" t="str">
        <f t="shared" si="17"/>
        <v>C200:C204</v>
      </c>
      <c r="AB103" s="190" t="str">
        <f t="shared" si="17"/>
        <v>F200:F204</v>
      </c>
      <c r="AC103" s="190" t="str">
        <f t="shared" si="17"/>
        <v>I200:I204</v>
      </c>
      <c r="AD103" s="190" t="str">
        <f t="shared" si="17"/>
        <v>L200:L204</v>
      </c>
      <c r="AE103" s="191" t="str">
        <f t="shared" si="17"/>
        <v>O200:O204</v>
      </c>
      <c r="AF103" s="189">
        <f t="shared" ca="1" si="23"/>
        <v>-0.11</v>
      </c>
      <c r="AG103" s="190">
        <f t="shared" ca="1" si="23"/>
        <v>-0.13</v>
      </c>
      <c r="AH103" s="190">
        <f t="shared" ca="1" si="23"/>
        <v>-0.1</v>
      </c>
      <c r="AI103" s="190">
        <f t="shared" ca="1" si="23"/>
        <v>-0.1</v>
      </c>
      <c r="AJ103" s="573">
        <f t="shared" ca="1" si="23"/>
        <v>-0.1</v>
      </c>
      <c r="AK103" s="189">
        <f t="shared" ca="1" si="23"/>
        <v>-0.26</v>
      </c>
      <c r="AL103" s="190">
        <f t="shared" ca="1" si="23"/>
        <v>-0.13</v>
      </c>
      <c r="AM103" s="190">
        <f t="shared" ca="1" si="23"/>
        <v>-0.2</v>
      </c>
      <c r="AN103" s="190">
        <f t="shared" ca="1" si="23"/>
        <v>-0.1</v>
      </c>
      <c r="AO103" s="191">
        <f t="shared" ca="1" si="23"/>
        <v>-0.13</v>
      </c>
      <c r="AP103" s="189">
        <f t="shared" ca="1" si="24"/>
        <v>-0.11</v>
      </c>
      <c r="AQ103" s="190">
        <f t="shared" ca="1" si="24"/>
        <v>-0.13</v>
      </c>
      <c r="AR103" s="190">
        <f t="shared" ca="1" si="24"/>
        <v>-0.1</v>
      </c>
      <c r="AS103" s="190">
        <f t="shared" ca="1" si="24"/>
        <v>-0.1</v>
      </c>
      <c r="AT103" s="573">
        <f t="shared" ca="1" si="24"/>
        <v>-0.1</v>
      </c>
      <c r="AU103" s="189">
        <f t="shared" ca="1" si="24"/>
        <v>-0.11</v>
      </c>
      <c r="AV103" s="190">
        <f t="shared" ca="1" si="24"/>
        <v>-0.13</v>
      </c>
      <c r="AW103" s="190">
        <f t="shared" ca="1" si="24"/>
        <v>-0.1</v>
      </c>
      <c r="AX103" s="190">
        <f t="shared" ca="1" si="24"/>
        <v>-0.1</v>
      </c>
      <c r="AY103" s="191">
        <f t="shared" ca="1" si="24"/>
        <v>-0.1</v>
      </c>
      <c r="AZ103" s="641">
        <f t="shared" ca="1" si="25"/>
        <v>400</v>
      </c>
      <c r="BA103" s="642">
        <f t="shared" ca="1" si="25"/>
        <v>36</v>
      </c>
      <c r="BB103" s="642">
        <f t="shared" ca="1" si="25"/>
        <v>110</v>
      </c>
      <c r="BC103" s="642">
        <f t="shared" ca="1" si="25"/>
        <v>30</v>
      </c>
      <c r="BD103" s="643">
        <f t="shared" ca="1" si="25"/>
        <v>150</v>
      </c>
      <c r="BE103" s="641">
        <f t="shared" ca="1" si="25"/>
        <v>50</v>
      </c>
      <c r="BF103" s="642">
        <f t="shared" ca="1" si="25"/>
        <v>36</v>
      </c>
      <c r="BG103" s="642">
        <f t="shared" ca="1" si="25"/>
        <v>16</v>
      </c>
      <c r="BH103" s="642">
        <f t="shared" ca="1" si="25"/>
        <v>30</v>
      </c>
      <c r="BI103" s="644">
        <f t="shared" ca="1" si="25"/>
        <v>10</v>
      </c>
      <c r="BJ103" s="641">
        <f t="shared" ca="1" si="26"/>
        <v>10000</v>
      </c>
      <c r="BK103" s="642">
        <f t="shared" ca="1" si="26"/>
        <v>10000</v>
      </c>
      <c r="BL103" s="642">
        <f t="shared" ca="1" si="26"/>
        <v>10000</v>
      </c>
      <c r="BM103" s="642">
        <f t="shared" ca="1" si="26"/>
        <v>10000</v>
      </c>
      <c r="BN103" s="643">
        <f t="shared" ca="1" si="26"/>
        <v>10000</v>
      </c>
      <c r="BO103" s="641">
        <f t="shared" ca="1" si="26"/>
        <v>400</v>
      </c>
      <c r="BP103" s="642">
        <f t="shared" ca="1" si="26"/>
        <v>10000</v>
      </c>
      <c r="BQ103" s="642">
        <f t="shared" ca="1" si="26"/>
        <v>110</v>
      </c>
      <c r="BR103" s="642">
        <f t="shared" ca="1" si="26"/>
        <v>10000</v>
      </c>
      <c r="BS103" s="644">
        <f t="shared" ca="1" si="26"/>
        <v>150</v>
      </c>
    </row>
    <row r="104" spans="2:71" ht="15" customHeight="1" thickBot="1" x14ac:dyDescent="0.3">
      <c r="B104" s="1724"/>
      <c r="C104" s="278" t="str">
        <f>$C$27</f>
        <v>Interior modules</v>
      </c>
      <c r="D104" s="578">
        <f t="shared" ca="1" si="22"/>
        <v>-0.11</v>
      </c>
      <c r="E104" s="579">
        <f t="shared" ca="1" si="22"/>
        <v>-0.13</v>
      </c>
      <c r="F104" s="579">
        <f t="shared" ca="1" si="22"/>
        <v>-0.1</v>
      </c>
      <c r="G104" s="579">
        <f t="shared" ca="1" si="22"/>
        <v>-0.1</v>
      </c>
      <c r="H104" s="580">
        <f t="shared" ca="1" si="22"/>
        <v>-0.1</v>
      </c>
      <c r="I104" s="578">
        <f t="shared" ca="1" si="22"/>
        <v>-0.12456645424453808</v>
      </c>
      <c r="J104" s="579">
        <f t="shared" ca="1" si="22"/>
        <v>-0.17392900005393741</v>
      </c>
      <c r="K104" s="579">
        <f t="shared" ca="1" si="22"/>
        <v>-0.12127320172904266</v>
      </c>
      <c r="L104" s="579">
        <f t="shared" ca="1" si="22"/>
        <v>-0.1</v>
      </c>
      <c r="M104" s="581">
        <f t="shared" ca="1" si="22"/>
        <v>-0.12244047668017118</v>
      </c>
      <c r="S104">
        <v>21</v>
      </c>
      <c r="T104" s="955"/>
      <c r="U104" s="278" t="str">
        <f>$C$27</f>
        <v>Interior modules</v>
      </c>
      <c r="V104" s="578" t="str">
        <f t="shared" si="17"/>
        <v>C149:C153</v>
      </c>
      <c r="W104" s="579" t="str">
        <f t="shared" si="17"/>
        <v>F149:F153</v>
      </c>
      <c r="X104" s="579" t="str">
        <f t="shared" si="17"/>
        <v>I149:I153</v>
      </c>
      <c r="Y104" s="579" t="str">
        <f t="shared" si="17"/>
        <v>L149:L153</v>
      </c>
      <c r="Z104" s="580" t="str">
        <f t="shared" si="17"/>
        <v>O149:O153</v>
      </c>
      <c r="AA104" s="578" t="str">
        <f t="shared" si="17"/>
        <v>C207:C211</v>
      </c>
      <c r="AB104" s="579" t="str">
        <f t="shared" si="17"/>
        <v>F207:F211</v>
      </c>
      <c r="AC104" s="579" t="str">
        <f t="shared" si="17"/>
        <v>I207:I211</v>
      </c>
      <c r="AD104" s="579" t="str">
        <f t="shared" si="17"/>
        <v>L207:L211</v>
      </c>
      <c r="AE104" s="581" t="str">
        <f t="shared" si="17"/>
        <v>O207:O211</v>
      </c>
      <c r="AF104" s="578">
        <f t="shared" ca="1" si="23"/>
        <v>-0.11</v>
      </c>
      <c r="AG104" s="579">
        <f t="shared" ca="1" si="23"/>
        <v>-0.13</v>
      </c>
      <c r="AH104" s="579">
        <f t="shared" ca="1" si="23"/>
        <v>-0.1</v>
      </c>
      <c r="AI104" s="579">
        <f t="shared" ca="1" si="23"/>
        <v>-0.1</v>
      </c>
      <c r="AJ104" s="580">
        <f t="shared" ca="1" si="23"/>
        <v>-0.1</v>
      </c>
      <c r="AK104" s="578">
        <f t="shared" ca="1" si="23"/>
        <v>-0.19</v>
      </c>
      <c r="AL104" s="579">
        <f t="shared" ca="1" si="23"/>
        <v>-0.22</v>
      </c>
      <c r="AM104" s="579">
        <f t="shared" ca="1" si="23"/>
        <v>-0.17</v>
      </c>
      <c r="AN104" s="579">
        <f t="shared" ca="1" si="23"/>
        <v>-0.1</v>
      </c>
      <c r="AO104" s="581">
        <f t="shared" ca="1" si="23"/>
        <v>-0.14000000000000001</v>
      </c>
      <c r="AP104" s="578">
        <f t="shared" ca="1" si="24"/>
        <v>-0.11</v>
      </c>
      <c r="AQ104" s="579">
        <f t="shared" ca="1" si="24"/>
        <v>-0.13</v>
      </c>
      <c r="AR104" s="579">
        <f t="shared" ca="1" si="24"/>
        <v>-0.1</v>
      </c>
      <c r="AS104" s="579">
        <f t="shared" ca="1" si="24"/>
        <v>-0.1</v>
      </c>
      <c r="AT104" s="580">
        <f t="shared" ca="1" si="24"/>
        <v>-0.1</v>
      </c>
      <c r="AU104" s="578">
        <f t="shared" ca="1" si="24"/>
        <v>-0.11</v>
      </c>
      <c r="AV104" s="579">
        <f t="shared" ca="1" si="24"/>
        <v>-0.13</v>
      </c>
      <c r="AW104" s="579">
        <f t="shared" ca="1" si="24"/>
        <v>-0.1</v>
      </c>
      <c r="AX104" s="579">
        <f t="shared" ca="1" si="24"/>
        <v>-0.1</v>
      </c>
      <c r="AY104" s="581">
        <f t="shared" ca="1" si="24"/>
        <v>-0.1</v>
      </c>
      <c r="AZ104" s="649">
        <f t="shared" ca="1" si="25"/>
        <v>100</v>
      </c>
      <c r="BA104" s="650">
        <f t="shared" ca="1" si="25"/>
        <v>150</v>
      </c>
      <c r="BB104" s="650">
        <f t="shared" ca="1" si="25"/>
        <v>110</v>
      </c>
      <c r="BC104" s="650">
        <f t="shared" ca="1" si="25"/>
        <v>30</v>
      </c>
      <c r="BD104" s="651">
        <f t="shared" ca="1" si="25"/>
        <v>150</v>
      </c>
      <c r="BE104" s="649">
        <f t="shared" ca="1" si="25"/>
        <v>38</v>
      </c>
      <c r="BF104" s="650">
        <f t="shared" ca="1" si="25"/>
        <v>20</v>
      </c>
      <c r="BG104" s="650">
        <f t="shared" ca="1" si="25"/>
        <v>12</v>
      </c>
      <c r="BH104" s="650">
        <f t="shared" ca="1" si="25"/>
        <v>30</v>
      </c>
      <c r="BI104" s="652">
        <f t="shared" ca="1" si="25"/>
        <v>10</v>
      </c>
      <c r="BJ104" s="649">
        <f t="shared" ca="1" si="26"/>
        <v>10000</v>
      </c>
      <c r="BK104" s="650">
        <f t="shared" ca="1" si="26"/>
        <v>10000</v>
      </c>
      <c r="BL104" s="650">
        <f t="shared" ca="1" si="26"/>
        <v>10000</v>
      </c>
      <c r="BM104" s="650">
        <f t="shared" ca="1" si="26"/>
        <v>10000</v>
      </c>
      <c r="BN104" s="651">
        <f t="shared" ca="1" si="26"/>
        <v>10000</v>
      </c>
      <c r="BO104" s="649">
        <f t="shared" ca="1" si="26"/>
        <v>100</v>
      </c>
      <c r="BP104" s="650">
        <f t="shared" ca="1" si="26"/>
        <v>150</v>
      </c>
      <c r="BQ104" s="650">
        <f t="shared" ca="1" si="26"/>
        <v>110</v>
      </c>
      <c r="BR104" s="650">
        <f t="shared" ca="1" si="26"/>
        <v>10000</v>
      </c>
      <c r="BS104" s="652">
        <f t="shared" ca="1" si="26"/>
        <v>150</v>
      </c>
    </row>
    <row r="105" spans="2:71" ht="15" customHeight="1" x14ac:dyDescent="0.25">
      <c r="B105" s="1722" t="str">
        <f>$B$30</f>
        <v>Inner rows, from 7th row from north</v>
      </c>
      <c r="C105" s="183" t="str">
        <f>$C$26</f>
        <v>1st-4th module</v>
      </c>
      <c r="D105" s="189">
        <f t="shared" ca="1" si="22"/>
        <v>-0.11</v>
      </c>
      <c r="E105" s="190">
        <f t="shared" ca="1" si="22"/>
        <v>-0.13</v>
      </c>
      <c r="F105" s="190">
        <f t="shared" ca="1" si="22"/>
        <v>-0.1</v>
      </c>
      <c r="G105" s="190">
        <f t="shared" ca="1" si="22"/>
        <v>-0.1</v>
      </c>
      <c r="H105" s="190">
        <f t="shared" ca="1" si="22"/>
        <v>-0.1</v>
      </c>
      <c r="I105" s="189">
        <f t="shared" ca="1" si="22"/>
        <v>-0.20644675708516258</v>
      </c>
      <c r="J105" s="190">
        <f t="shared" ca="1" si="22"/>
        <v>-0.16074008648071891</v>
      </c>
      <c r="K105" s="190">
        <f t="shared" ca="1" si="22"/>
        <v>-0.15211280048223969</v>
      </c>
      <c r="L105" s="190">
        <f t="shared" ca="1" si="22"/>
        <v>-0.13519200528395842</v>
      </c>
      <c r="M105" s="191">
        <f t="shared" ca="1" si="22"/>
        <v>-0.13147974003463808</v>
      </c>
      <c r="S105">
        <v>28</v>
      </c>
      <c r="T105" s="954" t="str">
        <f>$B$30</f>
        <v>Inner rows, from 7th row from north</v>
      </c>
      <c r="U105" s="183" t="str">
        <f>$C$26</f>
        <v>1st-4th module</v>
      </c>
      <c r="V105" s="189" t="str">
        <f t="shared" si="17"/>
        <v>C156:C160</v>
      </c>
      <c r="W105" s="190" t="str">
        <f t="shared" si="17"/>
        <v>F156:F160</v>
      </c>
      <c r="X105" s="190" t="str">
        <f t="shared" si="17"/>
        <v>I156:I160</v>
      </c>
      <c r="Y105" s="190" t="str">
        <f t="shared" si="17"/>
        <v>L156:L160</v>
      </c>
      <c r="Z105" s="190" t="str">
        <f t="shared" si="17"/>
        <v>O156:O160</v>
      </c>
      <c r="AA105" s="189" t="str">
        <f t="shared" si="17"/>
        <v>C214:C218</v>
      </c>
      <c r="AB105" s="190" t="str">
        <f t="shared" si="17"/>
        <v>F214:F218</v>
      </c>
      <c r="AC105" s="190" t="str">
        <f t="shared" si="17"/>
        <v>I214:I218</v>
      </c>
      <c r="AD105" s="190" t="str">
        <f t="shared" si="17"/>
        <v>L214:L218</v>
      </c>
      <c r="AE105" s="191" t="str">
        <f t="shared" si="17"/>
        <v>O214:O218</v>
      </c>
      <c r="AF105" s="189">
        <f t="shared" ca="1" si="23"/>
        <v>-0.11</v>
      </c>
      <c r="AG105" s="190">
        <f t="shared" ca="1" si="23"/>
        <v>-0.13</v>
      </c>
      <c r="AH105" s="190">
        <f t="shared" ca="1" si="23"/>
        <v>-0.1</v>
      </c>
      <c r="AI105" s="190">
        <f t="shared" ca="1" si="23"/>
        <v>-0.1</v>
      </c>
      <c r="AJ105" s="190">
        <f t="shared" ca="1" si="23"/>
        <v>-0.1</v>
      </c>
      <c r="AK105" s="189">
        <f t="shared" ca="1" si="23"/>
        <v>-0.21</v>
      </c>
      <c r="AL105" s="190">
        <f t="shared" ca="1" si="23"/>
        <v>-0.19</v>
      </c>
      <c r="AM105" s="190">
        <f t="shared" ca="1" si="23"/>
        <v>-0.24</v>
      </c>
      <c r="AN105" s="190">
        <f t="shared" ca="1" si="23"/>
        <v>-0.16</v>
      </c>
      <c r="AO105" s="191">
        <f t="shared" ca="1" si="23"/>
        <v>-0.17</v>
      </c>
      <c r="AP105" s="189">
        <f t="shared" ca="1" si="24"/>
        <v>-0.11</v>
      </c>
      <c r="AQ105" s="190">
        <f t="shared" ca="1" si="24"/>
        <v>-0.13</v>
      </c>
      <c r="AR105" s="190">
        <f t="shared" ca="1" si="24"/>
        <v>-0.1</v>
      </c>
      <c r="AS105" s="190">
        <f t="shared" ca="1" si="24"/>
        <v>-0.1</v>
      </c>
      <c r="AT105" s="190">
        <f t="shared" ca="1" si="24"/>
        <v>-0.1</v>
      </c>
      <c r="AU105" s="189">
        <f t="shared" ca="1" si="24"/>
        <v>-0.11</v>
      </c>
      <c r="AV105" s="190">
        <f t="shared" ca="1" si="24"/>
        <v>-0.13</v>
      </c>
      <c r="AW105" s="190">
        <f t="shared" ca="1" si="24"/>
        <v>-0.1</v>
      </c>
      <c r="AX105" s="190">
        <f t="shared" ca="1" si="24"/>
        <v>-0.1</v>
      </c>
      <c r="AY105" s="191">
        <f t="shared" ca="1" si="24"/>
        <v>-0.1</v>
      </c>
      <c r="AZ105" s="641">
        <f t="shared" ca="1" si="25"/>
        <v>300</v>
      </c>
      <c r="BA105" s="642">
        <f t="shared" ca="1" si="25"/>
        <v>150</v>
      </c>
      <c r="BB105" s="642">
        <f t="shared" ca="1" si="25"/>
        <v>140</v>
      </c>
      <c r="BC105" s="642">
        <f t="shared" ca="1" si="25"/>
        <v>110</v>
      </c>
      <c r="BD105" s="642">
        <f t="shared" ca="1" si="25"/>
        <v>70</v>
      </c>
      <c r="BE105" s="641">
        <f t="shared" ca="1" si="25"/>
        <v>80</v>
      </c>
      <c r="BF105" s="642">
        <f t="shared" ca="1" si="25"/>
        <v>22</v>
      </c>
      <c r="BG105" s="642">
        <f t="shared" ca="1" si="25"/>
        <v>12</v>
      </c>
      <c r="BH105" s="642">
        <f t="shared" ca="1" si="25"/>
        <v>14</v>
      </c>
      <c r="BI105" s="644">
        <f t="shared" ca="1" si="25"/>
        <v>13</v>
      </c>
      <c r="BJ105" s="641">
        <f t="shared" ca="1" si="26"/>
        <v>10000</v>
      </c>
      <c r="BK105" s="642">
        <f t="shared" ca="1" si="26"/>
        <v>10000</v>
      </c>
      <c r="BL105" s="642">
        <f t="shared" ca="1" si="26"/>
        <v>10000</v>
      </c>
      <c r="BM105" s="642">
        <f t="shared" ca="1" si="26"/>
        <v>10000</v>
      </c>
      <c r="BN105" s="642">
        <f t="shared" ca="1" si="26"/>
        <v>10000</v>
      </c>
      <c r="BO105" s="641">
        <f t="shared" ca="1" si="26"/>
        <v>300</v>
      </c>
      <c r="BP105" s="642">
        <f t="shared" ca="1" si="26"/>
        <v>150</v>
      </c>
      <c r="BQ105" s="642">
        <f t="shared" ca="1" si="26"/>
        <v>140</v>
      </c>
      <c r="BR105" s="642">
        <f t="shared" ca="1" si="26"/>
        <v>110</v>
      </c>
      <c r="BS105" s="644">
        <f t="shared" ca="1" si="26"/>
        <v>70</v>
      </c>
    </row>
    <row r="106" spans="2:71" ht="15" customHeight="1" thickBot="1" x14ac:dyDescent="0.3">
      <c r="B106" s="1724"/>
      <c r="C106" s="277" t="str">
        <f>$C$27</f>
        <v>Interior modules</v>
      </c>
      <c r="D106" s="582">
        <f t="shared" ca="1" si="22"/>
        <v>-0.11</v>
      </c>
      <c r="E106" s="583">
        <f t="shared" ca="1" si="22"/>
        <v>-0.13</v>
      </c>
      <c r="F106" s="583">
        <f t="shared" ca="1" si="22"/>
        <v>-0.1</v>
      </c>
      <c r="G106" s="583">
        <f t="shared" ca="1" si="22"/>
        <v>-0.1</v>
      </c>
      <c r="H106" s="583">
        <f t="shared" ca="1" si="22"/>
        <v>-0.1</v>
      </c>
      <c r="I106" s="582">
        <f t="shared" ca="1" si="22"/>
        <v>-0.16786805425109758</v>
      </c>
      <c r="J106" s="583">
        <f t="shared" ca="1" si="22"/>
        <v>-0.19148017296143782</v>
      </c>
      <c r="K106" s="583">
        <f t="shared" ca="1" si="22"/>
        <v>-0.1278501600805052</v>
      </c>
      <c r="L106" s="583">
        <f t="shared" ca="1" si="22"/>
        <v>-0.12932667106996534</v>
      </c>
      <c r="M106" s="585">
        <f t="shared" ca="1" si="22"/>
        <v>-0.13398940166468667</v>
      </c>
      <c r="S106">
        <v>35</v>
      </c>
      <c r="T106" s="955"/>
      <c r="U106" s="277" t="str">
        <f>$C$27</f>
        <v>Interior modules</v>
      </c>
      <c r="V106" s="582" t="str">
        <f t="shared" si="17"/>
        <v>C163:C167</v>
      </c>
      <c r="W106" s="583" t="str">
        <f t="shared" si="17"/>
        <v>F163:F167</v>
      </c>
      <c r="X106" s="583" t="str">
        <f t="shared" si="17"/>
        <v>I163:I167</v>
      </c>
      <c r="Y106" s="583" t="str">
        <f t="shared" si="17"/>
        <v>L163:L167</v>
      </c>
      <c r="Z106" s="583" t="str">
        <f t="shared" si="17"/>
        <v>O163:O167</v>
      </c>
      <c r="AA106" s="582" t="str">
        <f t="shared" si="17"/>
        <v>C221:C225</v>
      </c>
      <c r="AB106" s="583" t="str">
        <f t="shared" si="17"/>
        <v>F221:F225</v>
      </c>
      <c r="AC106" s="583" t="str">
        <f t="shared" si="17"/>
        <v>I221:I225</v>
      </c>
      <c r="AD106" s="583" t="str">
        <f t="shared" si="17"/>
        <v>L221:L225</v>
      </c>
      <c r="AE106" s="585" t="str">
        <f t="shared" si="17"/>
        <v>O221:O225</v>
      </c>
      <c r="AF106" s="582">
        <f t="shared" ca="1" si="23"/>
        <v>-0.11</v>
      </c>
      <c r="AG106" s="583">
        <f t="shared" ca="1" si="23"/>
        <v>-0.13</v>
      </c>
      <c r="AH106" s="583">
        <f t="shared" ca="1" si="23"/>
        <v>-0.1</v>
      </c>
      <c r="AI106" s="583">
        <f t="shared" ca="1" si="23"/>
        <v>-0.1</v>
      </c>
      <c r="AJ106" s="583">
        <f t="shared" ca="1" si="23"/>
        <v>-0.1</v>
      </c>
      <c r="AK106" s="582">
        <f t="shared" ca="1" si="23"/>
        <v>-0.17</v>
      </c>
      <c r="AL106" s="583">
        <f t="shared" ca="1" si="23"/>
        <v>-0.25</v>
      </c>
      <c r="AM106" s="583">
        <f t="shared" ca="1" si="23"/>
        <v>-0.13</v>
      </c>
      <c r="AN106" s="583">
        <f t="shared" ca="1" si="23"/>
        <v>-0.15</v>
      </c>
      <c r="AO106" s="585">
        <f t="shared" ca="1" si="23"/>
        <v>-0.16</v>
      </c>
      <c r="AP106" s="582">
        <f t="shared" ca="1" si="24"/>
        <v>-0.11</v>
      </c>
      <c r="AQ106" s="583">
        <f t="shared" ca="1" si="24"/>
        <v>-0.13</v>
      </c>
      <c r="AR106" s="583">
        <f t="shared" ca="1" si="24"/>
        <v>-0.1</v>
      </c>
      <c r="AS106" s="583">
        <f t="shared" ca="1" si="24"/>
        <v>-0.1</v>
      </c>
      <c r="AT106" s="583">
        <f t="shared" ca="1" si="24"/>
        <v>-0.1</v>
      </c>
      <c r="AU106" s="582">
        <f t="shared" ca="1" si="24"/>
        <v>-0.11</v>
      </c>
      <c r="AV106" s="583">
        <f t="shared" ca="1" si="24"/>
        <v>-0.13</v>
      </c>
      <c r="AW106" s="583">
        <f t="shared" ca="1" si="24"/>
        <v>-0.1</v>
      </c>
      <c r="AX106" s="583">
        <f t="shared" ca="1" si="24"/>
        <v>-0.1</v>
      </c>
      <c r="AY106" s="585">
        <f t="shared" ca="1" si="24"/>
        <v>-0.1</v>
      </c>
      <c r="AZ106" s="653">
        <f t="shared" ca="1" si="25"/>
        <v>300</v>
      </c>
      <c r="BA106" s="654">
        <f t="shared" ca="1" si="25"/>
        <v>150</v>
      </c>
      <c r="BB106" s="654">
        <f t="shared" ca="1" si="25"/>
        <v>150</v>
      </c>
      <c r="BC106" s="654">
        <f t="shared" ca="1" si="25"/>
        <v>110</v>
      </c>
      <c r="BD106" s="654">
        <f t="shared" ca="1" si="25"/>
        <v>100</v>
      </c>
      <c r="BE106" s="653">
        <f t="shared" ca="1" si="25"/>
        <v>80</v>
      </c>
      <c r="BF106" s="654">
        <f t="shared" ca="1" si="25"/>
        <v>22</v>
      </c>
      <c r="BG106" s="654">
        <f t="shared" ca="1" si="25"/>
        <v>52</v>
      </c>
      <c r="BH106" s="654">
        <f t="shared" ca="1" si="25"/>
        <v>14</v>
      </c>
      <c r="BI106" s="655">
        <f t="shared" ca="1" si="25"/>
        <v>14</v>
      </c>
      <c r="BJ106" s="653">
        <f t="shared" ca="1" si="26"/>
        <v>10000</v>
      </c>
      <c r="BK106" s="654">
        <f t="shared" ca="1" si="26"/>
        <v>10000</v>
      </c>
      <c r="BL106" s="654">
        <f t="shared" ca="1" si="26"/>
        <v>10000</v>
      </c>
      <c r="BM106" s="654">
        <f t="shared" ca="1" si="26"/>
        <v>10000</v>
      </c>
      <c r="BN106" s="654">
        <f t="shared" ca="1" si="26"/>
        <v>10000</v>
      </c>
      <c r="BO106" s="653">
        <f t="shared" ca="1" si="26"/>
        <v>300</v>
      </c>
      <c r="BP106" s="654">
        <f t="shared" ca="1" si="26"/>
        <v>150</v>
      </c>
      <c r="BQ106" s="654">
        <f t="shared" ca="1" si="26"/>
        <v>150</v>
      </c>
      <c r="BR106" s="654">
        <f t="shared" ca="1" si="26"/>
        <v>110</v>
      </c>
      <c r="BS106" s="655">
        <f t="shared" ca="1" si="26"/>
        <v>100</v>
      </c>
    </row>
    <row r="107" spans="2:71" ht="15" customHeight="1" x14ac:dyDescent="0.25">
      <c r="B107" s="1722" t="str">
        <f>$B$32</f>
        <v>South row</v>
      </c>
      <c r="C107" s="183" t="str">
        <f>$C$26</f>
        <v>1st-4th module</v>
      </c>
      <c r="D107" s="189">
        <f t="shared" ca="1" si="22"/>
        <v>-0.11</v>
      </c>
      <c r="E107" s="190">
        <f t="shared" ca="1" si="22"/>
        <v>-0.13</v>
      </c>
      <c r="F107" s="190">
        <f t="shared" ca="1" si="22"/>
        <v>-0.1</v>
      </c>
      <c r="G107" s="190">
        <f t="shared" ca="1" si="22"/>
        <v>-0.1</v>
      </c>
      <c r="H107" s="573">
        <f t="shared" ca="1" si="22"/>
        <v>-0.1</v>
      </c>
      <c r="I107" s="189">
        <f t="shared" ca="1" si="22"/>
        <v>-0.20708188831810281</v>
      </c>
      <c r="J107" s="190">
        <f t="shared" ca="1" si="22"/>
        <v>-0.13</v>
      </c>
      <c r="K107" s="190">
        <f t="shared" ca="1" si="22"/>
        <v>-0.15596404521636215</v>
      </c>
      <c r="L107" s="190">
        <f t="shared" ca="1" si="22"/>
        <v>-0.12264717302897619</v>
      </c>
      <c r="M107" s="191">
        <f t="shared" ca="1" si="22"/>
        <v>-0.10878580417367958</v>
      </c>
      <c r="S107">
        <v>42</v>
      </c>
      <c r="T107" s="954" t="str">
        <f>$B$32</f>
        <v>South row</v>
      </c>
      <c r="U107" s="183" t="str">
        <f>$C$26</f>
        <v>1st-4th module</v>
      </c>
      <c r="V107" s="189" t="str">
        <f t="shared" si="17"/>
        <v>C170:C174</v>
      </c>
      <c r="W107" s="190" t="str">
        <f t="shared" si="17"/>
        <v>F170:F174</v>
      </c>
      <c r="X107" s="190" t="str">
        <f t="shared" si="17"/>
        <v>I170:I174</v>
      </c>
      <c r="Y107" s="190" t="str">
        <f t="shared" si="17"/>
        <v>L170:L174</v>
      </c>
      <c r="Z107" s="573" t="str">
        <f t="shared" si="17"/>
        <v>O170:O174</v>
      </c>
      <c r="AA107" s="189" t="str">
        <f t="shared" si="17"/>
        <v>C228:C232</v>
      </c>
      <c r="AB107" s="190" t="str">
        <f t="shared" si="17"/>
        <v>F228:F232</v>
      </c>
      <c r="AC107" s="190" t="str">
        <f t="shared" si="17"/>
        <v>I228:I232</v>
      </c>
      <c r="AD107" s="190" t="str">
        <f t="shared" si="17"/>
        <v>L228:L232</v>
      </c>
      <c r="AE107" s="191" t="str">
        <f t="shared" si="17"/>
        <v>O228:O232</v>
      </c>
      <c r="AF107" s="189">
        <f t="shared" ca="1" si="23"/>
        <v>-0.11</v>
      </c>
      <c r="AG107" s="190">
        <f t="shared" ca="1" si="23"/>
        <v>-0.13</v>
      </c>
      <c r="AH107" s="190">
        <f t="shared" ca="1" si="23"/>
        <v>-0.1</v>
      </c>
      <c r="AI107" s="190">
        <f t="shared" ca="1" si="23"/>
        <v>-0.1</v>
      </c>
      <c r="AJ107" s="573">
        <f t="shared" ca="1" si="23"/>
        <v>-0.1</v>
      </c>
      <c r="AK107" s="189">
        <f t="shared" ca="1" si="23"/>
        <v>-0.21</v>
      </c>
      <c r="AL107" s="190">
        <f t="shared" ca="1" si="23"/>
        <v>-0.13</v>
      </c>
      <c r="AM107" s="190">
        <f t="shared" ca="1" si="23"/>
        <v>-0.23</v>
      </c>
      <c r="AN107" s="190">
        <f t="shared" ca="1" si="23"/>
        <v>-0.14000000000000001</v>
      </c>
      <c r="AO107" s="191">
        <f t="shared" ca="1" si="23"/>
        <v>-0.15</v>
      </c>
      <c r="AP107" s="189">
        <f t="shared" ca="1" si="24"/>
        <v>-0.11</v>
      </c>
      <c r="AQ107" s="190">
        <f t="shared" ca="1" si="24"/>
        <v>-0.13</v>
      </c>
      <c r="AR107" s="190">
        <f t="shared" ca="1" si="24"/>
        <v>-0.1</v>
      </c>
      <c r="AS107" s="190">
        <f t="shared" ca="1" si="24"/>
        <v>-0.1</v>
      </c>
      <c r="AT107" s="573">
        <f t="shared" ca="1" si="24"/>
        <v>-0.1</v>
      </c>
      <c r="AU107" s="189">
        <f t="shared" ca="1" si="24"/>
        <v>-0.11</v>
      </c>
      <c r="AV107" s="190">
        <f t="shared" ca="1" si="24"/>
        <v>-0.13</v>
      </c>
      <c r="AW107" s="190">
        <f t="shared" ca="1" si="24"/>
        <v>-0.1</v>
      </c>
      <c r="AX107" s="190">
        <f t="shared" ca="1" si="24"/>
        <v>-0.1</v>
      </c>
      <c r="AY107" s="191">
        <f t="shared" ca="1" si="24"/>
        <v>-0.1</v>
      </c>
      <c r="AZ107" s="641">
        <f t="shared" ca="1" si="25"/>
        <v>400</v>
      </c>
      <c r="BA107" s="642">
        <f t="shared" ca="1" si="25"/>
        <v>36</v>
      </c>
      <c r="BB107" s="642">
        <f t="shared" ca="1" si="25"/>
        <v>180</v>
      </c>
      <c r="BC107" s="642">
        <f t="shared" ca="1" si="25"/>
        <v>110</v>
      </c>
      <c r="BD107" s="643">
        <f t="shared" ca="1" si="25"/>
        <v>40</v>
      </c>
      <c r="BE107" s="641">
        <f t="shared" ca="1" si="25"/>
        <v>80</v>
      </c>
      <c r="BF107" s="642">
        <f t="shared" ca="1" si="25"/>
        <v>36</v>
      </c>
      <c r="BG107" s="642">
        <f t="shared" ca="1" si="25"/>
        <v>12</v>
      </c>
      <c r="BH107" s="642">
        <f t="shared" ca="1" si="25"/>
        <v>13</v>
      </c>
      <c r="BI107" s="644">
        <f t="shared" ca="1" si="25"/>
        <v>13</v>
      </c>
      <c r="BJ107" s="641">
        <f t="shared" ca="1" si="26"/>
        <v>10000</v>
      </c>
      <c r="BK107" s="642">
        <f t="shared" ca="1" si="26"/>
        <v>10000</v>
      </c>
      <c r="BL107" s="642">
        <f t="shared" ca="1" si="26"/>
        <v>10000</v>
      </c>
      <c r="BM107" s="642">
        <f t="shared" ca="1" si="26"/>
        <v>10000</v>
      </c>
      <c r="BN107" s="643">
        <f t="shared" ca="1" si="26"/>
        <v>10000</v>
      </c>
      <c r="BO107" s="641">
        <f t="shared" ca="1" si="26"/>
        <v>400</v>
      </c>
      <c r="BP107" s="642">
        <f t="shared" ca="1" si="26"/>
        <v>10000</v>
      </c>
      <c r="BQ107" s="642">
        <f t="shared" ca="1" si="26"/>
        <v>180</v>
      </c>
      <c r="BR107" s="642">
        <f t="shared" ca="1" si="26"/>
        <v>110</v>
      </c>
      <c r="BS107" s="644">
        <f t="shared" ca="1" si="26"/>
        <v>40</v>
      </c>
    </row>
    <row r="108" spans="2:71" ht="15" customHeight="1" thickBot="1" x14ac:dyDescent="0.3">
      <c r="B108" s="1724"/>
      <c r="C108" s="277" t="str">
        <f>$C$27</f>
        <v>Interior modules</v>
      </c>
      <c r="D108" s="578">
        <f t="shared" ca="1" si="22"/>
        <v>-0.11</v>
      </c>
      <c r="E108" s="579">
        <f t="shared" ca="1" si="22"/>
        <v>-0.13</v>
      </c>
      <c r="F108" s="579">
        <f t="shared" ca="1" si="22"/>
        <v>-0.1</v>
      </c>
      <c r="G108" s="579">
        <f t="shared" ca="1" si="22"/>
        <v>-0.1</v>
      </c>
      <c r="H108" s="580">
        <f t="shared" ca="1" si="22"/>
        <v>-0.1</v>
      </c>
      <c r="I108" s="578">
        <f t="shared" ca="1" si="22"/>
        <v>-0.17795732182267196</v>
      </c>
      <c r="J108" s="579">
        <f t="shared" ca="1" si="22"/>
        <v>-0.1709867819742919</v>
      </c>
      <c r="K108" s="579">
        <f t="shared" ca="1" si="22"/>
        <v>-0.12726118935488345</v>
      </c>
      <c r="L108" s="579">
        <f t="shared" ca="1" si="22"/>
        <v>-0.10527148250420776</v>
      </c>
      <c r="M108" s="581">
        <f t="shared" ca="1" si="22"/>
        <v>-0.11321751729802004</v>
      </c>
      <c r="S108">
        <v>49</v>
      </c>
      <c r="T108" s="955"/>
      <c r="U108" s="277" t="str">
        <f>$C$27</f>
        <v>Interior modules</v>
      </c>
      <c r="V108" s="578" t="str">
        <f t="shared" si="17"/>
        <v>C177:C181</v>
      </c>
      <c r="W108" s="579" t="str">
        <f t="shared" si="17"/>
        <v>F177:F181</v>
      </c>
      <c r="X108" s="579" t="str">
        <f t="shared" si="17"/>
        <v>I177:I181</v>
      </c>
      <c r="Y108" s="579" t="str">
        <f t="shared" si="17"/>
        <v>L177:L181</v>
      </c>
      <c r="Z108" s="580" t="str">
        <f t="shared" si="17"/>
        <v>O177:O181</v>
      </c>
      <c r="AA108" s="578" t="str">
        <f t="shared" si="17"/>
        <v>C235:C239</v>
      </c>
      <c r="AB108" s="579" t="str">
        <f t="shared" si="17"/>
        <v>F235:F239</v>
      </c>
      <c r="AC108" s="579" t="str">
        <f t="shared" si="17"/>
        <v>I235:I239</v>
      </c>
      <c r="AD108" s="579" t="str">
        <f t="shared" si="17"/>
        <v>L235:L239</v>
      </c>
      <c r="AE108" s="581" t="str">
        <f t="shared" si="17"/>
        <v>O235:O239</v>
      </c>
      <c r="AF108" s="578">
        <f t="shared" ca="1" si="23"/>
        <v>-0.11</v>
      </c>
      <c r="AG108" s="579">
        <f t="shared" ca="1" si="23"/>
        <v>-0.13</v>
      </c>
      <c r="AH108" s="579">
        <f t="shared" ca="1" si="23"/>
        <v>-0.1</v>
      </c>
      <c r="AI108" s="579">
        <f t="shared" ca="1" si="23"/>
        <v>-0.1</v>
      </c>
      <c r="AJ108" s="580">
        <f t="shared" ca="1" si="23"/>
        <v>-0.1</v>
      </c>
      <c r="AK108" s="578">
        <f t="shared" ca="1" si="23"/>
        <v>-0.18</v>
      </c>
      <c r="AL108" s="579">
        <f t="shared" ca="1" si="23"/>
        <v>-0.21</v>
      </c>
      <c r="AM108" s="579">
        <f t="shared" ca="1" si="23"/>
        <v>-0.2</v>
      </c>
      <c r="AN108" s="579">
        <f t="shared" ca="1" si="23"/>
        <v>-0.13</v>
      </c>
      <c r="AO108" s="581">
        <f t="shared" ca="1" si="23"/>
        <v>-0.14000000000000001</v>
      </c>
      <c r="AP108" s="578">
        <f t="shared" ca="1" si="24"/>
        <v>-0.11</v>
      </c>
      <c r="AQ108" s="579">
        <f t="shared" ca="1" si="24"/>
        <v>-0.13</v>
      </c>
      <c r="AR108" s="579">
        <f t="shared" ca="1" si="24"/>
        <v>-0.1</v>
      </c>
      <c r="AS108" s="579">
        <f t="shared" ca="1" si="24"/>
        <v>-0.1</v>
      </c>
      <c r="AT108" s="580">
        <f t="shared" ca="1" si="24"/>
        <v>-0.1</v>
      </c>
      <c r="AU108" s="578">
        <f t="shared" ca="1" si="24"/>
        <v>-0.11</v>
      </c>
      <c r="AV108" s="579">
        <f t="shared" ca="1" si="24"/>
        <v>-0.13</v>
      </c>
      <c r="AW108" s="579">
        <f t="shared" ca="1" si="24"/>
        <v>-0.1</v>
      </c>
      <c r="AX108" s="579">
        <f t="shared" ca="1" si="24"/>
        <v>-0.1</v>
      </c>
      <c r="AY108" s="581">
        <f t="shared" ca="1" si="24"/>
        <v>-0.1</v>
      </c>
      <c r="AZ108" s="649">
        <f t="shared" ca="1" si="25"/>
        <v>400</v>
      </c>
      <c r="BA108" s="650">
        <f t="shared" ca="1" si="25"/>
        <v>150</v>
      </c>
      <c r="BB108" s="650">
        <f t="shared" ca="1" si="25"/>
        <v>100</v>
      </c>
      <c r="BC108" s="650">
        <f t="shared" ca="1" si="25"/>
        <v>40</v>
      </c>
      <c r="BD108" s="651">
        <f t="shared" ca="1" si="25"/>
        <v>50</v>
      </c>
      <c r="BE108" s="649">
        <f t="shared" ca="1" si="25"/>
        <v>80</v>
      </c>
      <c r="BF108" s="650">
        <f t="shared" ca="1" si="25"/>
        <v>22</v>
      </c>
      <c r="BG108" s="650">
        <f t="shared" ca="1" si="25"/>
        <v>12</v>
      </c>
      <c r="BH108" s="650">
        <f t="shared" ca="1" si="25"/>
        <v>13</v>
      </c>
      <c r="BI108" s="652">
        <f t="shared" ca="1" si="25"/>
        <v>14</v>
      </c>
      <c r="BJ108" s="649">
        <f t="shared" ca="1" si="26"/>
        <v>10000</v>
      </c>
      <c r="BK108" s="650">
        <f t="shared" ca="1" si="26"/>
        <v>10000</v>
      </c>
      <c r="BL108" s="650">
        <f t="shared" ca="1" si="26"/>
        <v>10000</v>
      </c>
      <c r="BM108" s="650">
        <f t="shared" ca="1" si="26"/>
        <v>10000</v>
      </c>
      <c r="BN108" s="651">
        <f t="shared" ca="1" si="26"/>
        <v>10000</v>
      </c>
      <c r="BO108" s="649">
        <f t="shared" ca="1" si="26"/>
        <v>400</v>
      </c>
      <c r="BP108" s="650">
        <f t="shared" ca="1" si="26"/>
        <v>150</v>
      </c>
      <c r="BQ108" s="650">
        <f t="shared" ca="1" si="26"/>
        <v>100</v>
      </c>
      <c r="BR108" s="650">
        <f t="shared" ca="1" si="26"/>
        <v>40</v>
      </c>
      <c r="BS108" s="652">
        <f t="shared" ca="1" si="26"/>
        <v>50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67</v>
      </c>
      <c r="J114" s="438" t="s">
        <v>67</v>
      </c>
      <c r="K114" s="438" t="s">
        <v>67</v>
      </c>
      <c r="L114" s="438" t="s">
        <v>67</v>
      </c>
      <c r="M114" s="439" t="s">
        <v>67</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22" t="str">
        <f>$B$26</f>
        <v>North row</v>
      </c>
      <c r="C115" s="183" t="str">
        <f>$C$26</f>
        <v>1st-4th module</v>
      </c>
      <c r="D115" s="626">
        <f ca="1">AF115+(AP115-AF115)/(LOG(BJ115)-LOG(AZ115))*(LOG(D87)-LOG(AZ115))</f>
        <v>23</v>
      </c>
      <c r="E115" s="627">
        <f t="shared" ref="E115:M115" ca="1" si="27">AG115+(AQ115-AG115)/(LOG(BK115)-LOG(BA115))*(LOG(E87)-LOG(BA115))</f>
        <v>40.637771343965667</v>
      </c>
      <c r="F115" s="627">
        <f t="shared" ca="1" si="27"/>
        <v>23</v>
      </c>
      <c r="G115" s="627">
        <f t="shared" ca="1" si="27"/>
        <v>23</v>
      </c>
      <c r="H115" s="628">
        <f t="shared" ca="1" si="27"/>
        <v>22</v>
      </c>
      <c r="I115" s="626">
        <f t="shared" ca="1" si="27"/>
        <v>36.628000019448557</v>
      </c>
      <c r="J115" s="627">
        <f t="shared" ca="1" si="27"/>
        <v>48.083638922140821</v>
      </c>
      <c r="K115" s="627">
        <f t="shared" ca="1" si="27"/>
        <v>32.546582284591487</v>
      </c>
      <c r="L115" s="627">
        <f t="shared" ca="1" si="27"/>
        <v>33.065751615247237</v>
      </c>
      <c r="M115" s="629">
        <f t="shared" ca="1" si="27"/>
        <v>34.658431609642726</v>
      </c>
      <c r="S115">
        <v>0</v>
      </c>
      <c r="T115" s="954" t="str">
        <f>$B$26</f>
        <v>North row</v>
      </c>
      <c r="U115" s="183" t="str">
        <f>$C$26</f>
        <v>1st-4th module</v>
      </c>
      <c r="V115" s="189" t="str">
        <f t="shared" ref="V115:AE122" si="28">CONCATENATE(ADDRESS(ROW($C$128)+V$110+$S115,COLUMN($C$128)+V$111,4),":",ADDRESS(ROW($C$128)+V$110+$S115+4,COLUMN($C$128)+V$111,4))</f>
        <v>C128:C132</v>
      </c>
      <c r="W115" s="190" t="str">
        <f t="shared" si="28"/>
        <v>F128:F132</v>
      </c>
      <c r="X115" s="190" t="str">
        <f t="shared" si="28"/>
        <v>I128:I132</v>
      </c>
      <c r="Y115" s="190" t="str">
        <f t="shared" si="28"/>
        <v>L128:L132</v>
      </c>
      <c r="Z115" s="573" t="str">
        <f t="shared" si="28"/>
        <v>O128:O132</v>
      </c>
      <c r="AA115" s="189" t="str">
        <f t="shared" si="28"/>
        <v>C186:C190</v>
      </c>
      <c r="AB115" s="190" t="str">
        <f t="shared" si="28"/>
        <v>F186:F190</v>
      </c>
      <c r="AC115" s="190" t="str">
        <f t="shared" si="28"/>
        <v>I186:I190</v>
      </c>
      <c r="AD115" s="190" t="str">
        <f t="shared" si="28"/>
        <v>L186:L190</v>
      </c>
      <c r="AE115" s="191" t="str">
        <f t="shared" si="28"/>
        <v>O186:O190</v>
      </c>
      <c r="AF115" s="641">
        <f ca="1">INDEX(OFFSET(INDIRECT(V115),0,2),MATCH(D87,INDIRECT(V115),1))</f>
        <v>23</v>
      </c>
      <c r="AG115" s="642">
        <f t="shared" ref="AG115:AO115" ca="1" si="29">INDEX(OFFSET(INDIRECT(W115),0,2),MATCH(E87,INDIRECT(W115),1))</f>
        <v>100</v>
      </c>
      <c r="AH115" s="642">
        <f t="shared" ca="1" si="29"/>
        <v>23</v>
      </c>
      <c r="AI115" s="642">
        <f t="shared" ca="1" si="29"/>
        <v>23</v>
      </c>
      <c r="AJ115" s="643">
        <f t="shared" ca="1" si="29"/>
        <v>22</v>
      </c>
      <c r="AK115" s="641">
        <f t="shared" ca="1" si="29"/>
        <v>69</v>
      </c>
      <c r="AL115" s="642">
        <f t="shared" ca="1" si="29"/>
        <v>57</v>
      </c>
      <c r="AM115" s="642">
        <f t="shared" ca="1" si="29"/>
        <v>56</v>
      </c>
      <c r="AN115" s="642">
        <f t="shared" ca="1" si="29"/>
        <v>50</v>
      </c>
      <c r="AO115" s="644">
        <f t="shared" ca="1" si="29"/>
        <v>54</v>
      </c>
      <c r="AP115" s="641">
        <f ca="1">INDEX(OFFSET(INDIRECT(V115),0,2),MATCH(D87,INDIRECT(V115),1)+1)</f>
        <v>23</v>
      </c>
      <c r="AQ115" s="642">
        <f t="shared" ref="AQ115:AY115" ca="1" si="30">INDEX(OFFSET(INDIRECT(W115),0,2),MATCH(E87,INDIRECT(W115),1)+1)</f>
        <v>34</v>
      </c>
      <c r="AR115" s="642">
        <f t="shared" ca="1" si="30"/>
        <v>23</v>
      </c>
      <c r="AS115" s="642">
        <f t="shared" ca="1" si="30"/>
        <v>23</v>
      </c>
      <c r="AT115" s="643">
        <f t="shared" ca="1" si="30"/>
        <v>22</v>
      </c>
      <c r="AU115" s="641">
        <f t="shared" ca="1" si="30"/>
        <v>31</v>
      </c>
      <c r="AV115" s="642">
        <f t="shared" ca="1" si="30"/>
        <v>16</v>
      </c>
      <c r="AW115" s="642">
        <f t="shared" ca="1" si="30"/>
        <v>7</v>
      </c>
      <c r="AX115" s="642">
        <f t="shared" ca="1" si="30"/>
        <v>7</v>
      </c>
      <c r="AY115" s="644">
        <f t="shared" ca="1" si="30"/>
        <v>7</v>
      </c>
      <c r="AZ115" s="641">
        <f ca="1">INDEX(OFFSET(INDIRECT(V115),0,0),MATCH(D87,INDIRECT(V115),1))</f>
        <v>300</v>
      </c>
      <c r="BA115" s="642">
        <f t="shared" ref="BA115:BI115" ca="1" si="31">INDEX(OFFSET(INDIRECT(W115),0,0),MATCH(E87,INDIRECT(W115),1))</f>
        <v>25</v>
      </c>
      <c r="BB115" s="642">
        <f t="shared" ca="1" si="31"/>
        <v>130</v>
      </c>
      <c r="BC115" s="642">
        <f t="shared" ca="1" si="31"/>
        <v>110</v>
      </c>
      <c r="BD115" s="643">
        <f t="shared" ca="1" si="31"/>
        <v>100</v>
      </c>
      <c r="BE115" s="641">
        <f t="shared" ca="1" si="31"/>
        <v>18</v>
      </c>
      <c r="BF115" s="642">
        <f t="shared" ca="1" si="31"/>
        <v>25</v>
      </c>
      <c r="BG115" s="642">
        <f t="shared" ca="1" si="31"/>
        <v>12</v>
      </c>
      <c r="BH115" s="642">
        <f t="shared" ca="1" si="31"/>
        <v>12</v>
      </c>
      <c r="BI115" s="644">
        <f t="shared" ca="1" si="31"/>
        <v>12</v>
      </c>
      <c r="BJ115" s="641">
        <f ca="1">INDEX(OFFSET(INDIRECT(V115),0,0),MATCH(D87,INDIRECT(V115),1)+1)</f>
        <v>10000</v>
      </c>
      <c r="BK115" s="642">
        <f t="shared" ref="BK115:BS115" ca="1" si="32">INDEX(OFFSET(INDIRECT(W115),0,0),MATCH(E87,INDIRECT(W115),1)+1)</f>
        <v>300</v>
      </c>
      <c r="BL115" s="642">
        <f t="shared" ca="1" si="32"/>
        <v>10000</v>
      </c>
      <c r="BM115" s="642">
        <f t="shared" ca="1" si="32"/>
        <v>10000</v>
      </c>
      <c r="BN115" s="643">
        <f t="shared" ca="1" si="32"/>
        <v>10000</v>
      </c>
      <c r="BO115" s="641">
        <f t="shared" ca="1" si="32"/>
        <v>80</v>
      </c>
      <c r="BP115" s="642">
        <f t="shared" ca="1" si="32"/>
        <v>300</v>
      </c>
      <c r="BQ115" s="642">
        <f t="shared" ca="1" si="32"/>
        <v>130</v>
      </c>
      <c r="BR115" s="642">
        <f t="shared" ca="1" si="32"/>
        <v>110</v>
      </c>
      <c r="BS115" s="644">
        <f t="shared" ca="1" si="32"/>
        <v>100</v>
      </c>
    </row>
    <row r="116" spans="2:71" ht="15" customHeight="1" thickBot="1" x14ac:dyDescent="0.3">
      <c r="B116" s="1724"/>
      <c r="C116" s="277" t="str">
        <f>$C$27</f>
        <v>Interior modules</v>
      </c>
      <c r="D116" s="630">
        <f t="shared" ref="D116:M122" ca="1" si="33">AF116+(AP116-AF116)/(LOG(BJ116)-LOG(AZ116))*(LOG(D88)-LOG(AZ116))</f>
        <v>23</v>
      </c>
      <c r="E116" s="631">
        <f t="shared" ca="1" si="33"/>
        <v>41.777187834730753</v>
      </c>
      <c r="F116" s="631">
        <f t="shared" ca="1" si="33"/>
        <v>23</v>
      </c>
      <c r="G116" s="631">
        <f t="shared" ca="1" si="33"/>
        <v>23</v>
      </c>
      <c r="H116" s="632">
        <f t="shared" ca="1" si="33"/>
        <v>22</v>
      </c>
      <c r="I116" s="630">
        <f t="shared" ca="1" si="33"/>
        <v>10</v>
      </c>
      <c r="J116" s="631">
        <f t="shared" ca="1" si="33"/>
        <v>66.041632268212211</v>
      </c>
      <c r="K116" s="631">
        <f t="shared" ca="1" si="33"/>
        <v>24.918297699880632</v>
      </c>
      <c r="L116" s="631">
        <f t="shared" ca="1" si="33"/>
        <v>35.490472695735349</v>
      </c>
      <c r="M116" s="633">
        <f t="shared" ca="1" si="33"/>
        <v>36.423863414513534</v>
      </c>
      <c r="S116">
        <v>7</v>
      </c>
      <c r="T116" s="955"/>
      <c r="U116" s="277" t="str">
        <f>$C$27</f>
        <v>Interior modules</v>
      </c>
      <c r="V116" s="574" t="str">
        <f t="shared" si="28"/>
        <v>C135:C139</v>
      </c>
      <c r="W116" s="575" t="str">
        <f t="shared" si="28"/>
        <v>F135:F139</v>
      </c>
      <c r="X116" s="575" t="str">
        <f t="shared" si="28"/>
        <v>I135:I139</v>
      </c>
      <c r="Y116" s="575" t="str">
        <f t="shared" si="28"/>
        <v>L135:L139</v>
      </c>
      <c r="Z116" s="576" t="str">
        <f t="shared" si="28"/>
        <v>O135:O139</v>
      </c>
      <c r="AA116" s="574" t="str">
        <f t="shared" si="28"/>
        <v>C193:C197</v>
      </c>
      <c r="AB116" s="575" t="str">
        <f t="shared" si="28"/>
        <v>F193:F197</v>
      </c>
      <c r="AC116" s="575" t="str">
        <f t="shared" si="28"/>
        <v>I193:I197</v>
      </c>
      <c r="AD116" s="575" t="str">
        <f t="shared" si="28"/>
        <v>L193:L197</v>
      </c>
      <c r="AE116" s="577" t="str">
        <f t="shared" si="28"/>
        <v>O193:O197</v>
      </c>
      <c r="AF116" s="645">
        <f t="shared" ref="AF116:AO122" ca="1" si="34">INDEX(OFFSET(INDIRECT(V116),0,2),MATCH(D88,INDIRECT(V116),1))</f>
        <v>23</v>
      </c>
      <c r="AG116" s="646">
        <f t="shared" ca="1" si="34"/>
        <v>121</v>
      </c>
      <c r="AH116" s="646">
        <f t="shared" ca="1" si="34"/>
        <v>23</v>
      </c>
      <c r="AI116" s="646">
        <f t="shared" ca="1" si="34"/>
        <v>23</v>
      </c>
      <c r="AJ116" s="647">
        <f t="shared" ca="1" si="34"/>
        <v>22</v>
      </c>
      <c r="AK116" s="645">
        <f t="shared" ca="1" si="34"/>
        <v>10</v>
      </c>
      <c r="AL116" s="646">
        <f t="shared" ca="1" si="34"/>
        <v>70</v>
      </c>
      <c r="AM116" s="646">
        <f t="shared" ca="1" si="34"/>
        <v>34</v>
      </c>
      <c r="AN116" s="646">
        <f t="shared" ca="1" si="34"/>
        <v>54</v>
      </c>
      <c r="AO116" s="648">
        <f t="shared" ca="1" si="34"/>
        <v>57</v>
      </c>
      <c r="AP116" s="645">
        <f t="shared" ref="AP116:AY122" ca="1" si="35">INDEX(OFFSET(INDIRECT(V116),0,2),MATCH(D88,INDIRECT(V116),1)+1)</f>
        <v>23</v>
      </c>
      <c r="AQ116" s="646">
        <f t="shared" ca="1" si="35"/>
        <v>34</v>
      </c>
      <c r="AR116" s="646">
        <f t="shared" ca="1" si="35"/>
        <v>23</v>
      </c>
      <c r="AS116" s="646">
        <f t="shared" ca="1" si="35"/>
        <v>23</v>
      </c>
      <c r="AT116" s="647">
        <f t="shared" ca="1" si="35"/>
        <v>22</v>
      </c>
      <c r="AU116" s="645">
        <f t="shared" ca="1" si="35"/>
        <v>10</v>
      </c>
      <c r="AV116" s="646">
        <f t="shared" ca="1" si="35"/>
        <v>16</v>
      </c>
      <c r="AW116" s="646">
        <f t="shared" ca="1" si="35"/>
        <v>7</v>
      </c>
      <c r="AX116" s="646">
        <f t="shared" ca="1" si="35"/>
        <v>7</v>
      </c>
      <c r="AY116" s="648">
        <f t="shared" ca="1" si="35"/>
        <v>7</v>
      </c>
      <c r="AZ116" s="645">
        <f t="shared" ref="AZ116:BI122" ca="1" si="36">INDEX(OFFSET(INDIRECT(V116),0,0),MATCH(D88,INDIRECT(V116),1))</f>
        <v>60</v>
      </c>
      <c r="BA116" s="646">
        <f t="shared" ca="1" si="36"/>
        <v>37</v>
      </c>
      <c r="BB116" s="646">
        <f t="shared" ca="1" si="36"/>
        <v>130</v>
      </c>
      <c r="BC116" s="646">
        <f t="shared" ca="1" si="36"/>
        <v>110</v>
      </c>
      <c r="BD116" s="647">
        <f t="shared" ca="1" si="36"/>
        <v>100</v>
      </c>
      <c r="BE116" s="645">
        <f t="shared" ca="1" si="36"/>
        <v>60</v>
      </c>
      <c r="BF116" s="646">
        <f t="shared" ca="1" si="36"/>
        <v>37</v>
      </c>
      <c r="BG116" s="646">
        <f t="shared" ca="1" si="36"/>
        <v>20</v>
      </c>
      <c r="BH116" s="646">
        <f t="shared" ca="1" si="36"/>
        <v>12</v>
      </c>
      <c r="BI116" s="648">
        <f t="shared" ca="1" si="36"/>
        <v>12</v>
      </c>
      <c r="BJ116" s="645">
        <f t="shared" ref="BJ116:BS122" ca="1" si="37">INDEX(OFFSET(INDIRECT(V116),0,0),MATCH(D88,INDIRECT(V116),1)+1)</f>
        <v>10000</v>
      </c>
      <c r="BK116" s="646">
        <f t="shared" ca="1" si="37"/>
        <v>280</v>
      </c>
      <c r="BL116" s="646">
        <f t="shared" ca="1" si="37"/>
        <v>10000</v>
      </c>
      <c r="BM116" s="646">
        <f t="shared" ca="1" si="37"/>
        <v>10000</v>
      </c>
      <c r="BN116" s="647">
        <f t="shared" ca="1" si="37"/>
        <v>10000</v>
      </c>
      <c r="BO116" s="645">
        <f t="shared" ca="1" si="37"/>
        <v>10000</v>
      </c>
      <c r="BP116" s="646">
        <f t="shared" ca="1" si="37"/>
        <v>280</v>
      </c>
      <c r="BQ116" s="646">
        <f t="shared" ca="1" si="37"/>
        <v>130</v>
      </c>
      <c r="BR116" s="646">
        <f t="shared" ca="1" si="37"/>
        <v>110</v>
      </c>
      <c r="BS116" s="648">
        <f t="shared" ca="1" si="37"/>
        <v>100</v>
      </c>
    </row>
    <row r="117" spans="2:71" ht="15" customHeight="1" x14ac:dyDescent="0.25">
      <c r="B117" s="1722" t="str">
        <f>$B$28</f>
        <v>Inner rows, 2nd to 6th row from north</v>
      </c>
      <c r="C117" s="183" t="str">
        <f>$C$26</f>
        <v>1st-4th module</v>
      </c>
      <c r="D117" s="626">
        <f t="shared" ca="1" si="33"/>
        <v>23</v>
      </c>
      <c r="E117" s="627">
        <f t="shared" ca="1" si="33"/>
        <v>34</v>
      </c>
      <c r="F117" s="627">
        <f t="shared" ca="1" si="33"/>
        <v>23</v>
      </c>
      <c r="G117" s="627">
        <f t="shared" ca="1" si="33"/>
        <v>23</v>
      </c>
      <c r="H117" s="628">
        <f t="shared" ca="1" si="33"/>
        <v>22</v>
      </c>
      <c r="I117" s="626">
        <f t="shared" ca="1" si="33"/>
        <v>40.807012412037757</v>
      </c>
      <c r="J117" s="627">
        <f t="shared" ca="1" si="33"/>
        <v>16</v>
      </c>
      <c r="K117" s="627">
        <f t="shared" ca="1" si="33"/>
        <v>17.128296341229465</v>
      </c>
      <c r="L117" s="627">
        <f t="shared" ca="1" si="33"/>
        <v>7</v>
      </c>
      <c r="M117" s="629">
        <f t="shared" ca="1" si="33"/>
        <v>10.927083419029955</v>
      </c>
      <c r="S117">
        <v>14</v>
      </c>
      <c r="T117" s="954" t="str">
        <f>$B$28</f>
        <v>Inner rows, 2nd to 6th row from north</v>
      </c>
      <c r="U117" s="183" t="str">
        <f>$C$26</f>
        <v>1st-4th module</v>
      </c>
      <c r="V117" s="189" t="str">
        <f t="shared" si="28"/>
        <v>C142:C146</v>
      </c>
      <c r="W117" s="190" t="str">
        <f t="shared" si="28"/>
        <v>F142:F146</v>
      </c>
      <c r="X117" s="190" t="str">
        <f t="shared" si="28"/>
        <v>I142:I146</v>
      </c>
      <c r="Y117" s="190" t="str">
        <f t="shared" si="28"/>
        <v>L142:L146</v>
      </c>
      <c r="Z117" s="573" t="str">
        <f t="shared" si="28"/>
        <v>O142:O146</v>
      </c>
      <c r="AA117" s="189" t="str">
        <f t="shared" si="28"/>
        <v>C200:C204</v>
      </c>
      <c r="AB117" s="190" t="str">
        <f t="shared" si="28"/>
        <v>F200:F204</v>
      </c>
      <c r="AC117" s="190" t="str">
        <f t="shared" si="28"/>
        <v>I200:I204</v>
      </c>
      <c r="AD117" s="190" t="str">
        <f t="shared" si="28"/>
        <v>L200:L204</v>
      </c>
      <c r="AE117" s="191" t="str">
        <f t="shared" si="28"/>
        <v>O200:O204</v>
      </c>
      <c r="AF117" s="641">
        <f t="shared" ca="1" si="34"/>
        <v>23</v>
      </c>
      <c r="AG117" s="642">
        <f t="shared" ca="1" si="34"/>
        <v>34</v>
      </c>
      <c r="AH117" s="642">
        <f t="shared" ca="1" si="34"/>
        <v>23</v>
      </c>
      <c r="AI117" s="642">
        <f t="shared" ca="1" si="34"/>
        <v>23</v>
      </c>
      <c r="AJ117" s="643">
        <f t="shared" ca="1" si="34"/>
        <v>22</v>
      </c>
      <c r="AK117" s="641">
        <f t="shared" ca="1" si="34"/>
        <v>51</v>
      </c>
      <c r="AL117" s="642">
        <f t="shared" ca="1" si="34"/>
        <v>16</v>
      </c>
      <c r="AM117" s="642">
        <f t="shared" ca="1" si="34"/>
        <v>36</v>
      </c>
      <c r="AN117" s="642">
        <f t="shared" ca="1" si="34"/>
        <v>7</v>
      </c>
      <c r="AO117" s="644">
        <f t="shared" ca="1" si="34"/>
        <v>14</v>
      </c>
      <c r="AP117" s="641">
        <f t="shared" ca="1" si="35"/>
        <v>23</v>
      </c>
      <c r="AQ117" s="642">
        <f t="shared" ca="1" si="35"/>
        <v>34</v>
      </c>
      <c r="AR117" s="642">
        <f t="shared" ca="1" si="35"/>
        <v>23</v>
      </c>
      <c r="AS117" s="642">
        <f t="shared" ca="1" si="35"/>
        <v>23</v>
      </c>
      <c r="AT117" s="643">
        <f t="shared" ca="1" si="35"/>
        <v>22</v>
      </c>
      <c r="AU117" s="641">
        <f t="shared" ca="1" si="35"/>
        <v>10</v>
      </c>
      <c r="AV117" s="642">
        <f t="shared" ca="1" si="35"/>
        <v>16</v>
      </c>
      <c r="AW117" s="642">
        <f t="shared" ca="1" si="35"/>
        <v>7</v>
      </c>
      <c r="AX117" s="642">
        <f t="shared" ca="1" si="35"/>
        <v>7</v>
      </c>
      <c r="AY117" s="644">
        <f t="shared" ca="1" si="35"/>
        <v>7</v>
      </c>
      <c r="AZ117" s="641">
        <f t="shared" ca="1" si="36"/>
        <v>400</v>
      </c>
      <c r="BA117" s="642">
        <f t="shared" ca="1" si="36"/>
        <v>36</v>
      </c>
      <c r="BB117" s="642">
        <f t="shared" ca="1" si="36"/>
        <v>110</v>
      </c>
      <c r="BC117" s="642">
        <f t="shared" ca="1" si="36"/>
        <v>30</v>
      </c>
      <c r="BD117" s="643">
        <f t="shared" ca="1" si="36"/>
        <v>150</v>
      </c>
      <c r="BE117" s="641">
        <f t="shared" ca="1" si="36"/>
        <v>50</v>
      </c>
      <c r="BF117" s="642">
        <f t="shared" ca="1" si="36"/>
        <v>36</v>
      </c>
      <c r="BG117" s="642">
        <f t="shared" ca="1" si="36"/>
        <v>16</v>
      </c>
      <c r="BH117" s="642">
        <f t="shared" ca="1" si="36"/>
        <v>30</v>
      </c>
      <c r="BI117" s="644">
        <f t="shared" ca="1" si="36"/>
        <v>10</v>
      </c>
      <c r="BJ117" s="641">
        <f t="shared" ca="1" si="37"/>
        <v>10000</v>
      </c>
      <c r="BK117" s="642">
        <f t="shared" ca="1" si="37"/>
        <v>10000</v>
      </c>
      <c r="BL117" s="642">
        <f t="shared" ca="1" si="37"/>
        <v>10000</v>
      </c>
      <c r="BM117" s="642">
        <f t="shared" ca="1" si="37"/>
        <v>10000</v>
      </c>
      <c r="BN117" s="643">
        <f t="shared" ca="1" si="37"/>
        <v>10000</v>
      </c>
      <c r="BO117" s="641">
        <f t="shared" ca="1" si="37"/>
        <v>400</v>
      </c>
      <c r="BP117" s="642">
        <f t="shared" ca="1" si="37"/>
        <v>10000</v>
      </c>
      <c r="BQ117" s="642">
        <f t="shared" ca="1" si="37"/>
        <v>110</v>
      </c>
      <c r="BR117" s="642">
        <f t="shared" ca="1" si="37"/>
        <v>10000</v>
      </c>
      <c r="BS117" s="644">
        <f t="shared" ca="1" si="37"/>
        <v>150</v>
      </c>
    </row>
    <row r="118" spans="2:71" ht="15" customHeight="1" thickBot="1" x14ac:dyDescent="0.3">
      <c r="B118" s="1724"/>
      <c r="C118" s="278" t="str">
        <f>$C$27</f>
        <v>Interior modules</v>
      </c>
      <c r="D118" s="634">
        <f t="shared" ca="1" si="33"/>
        <v>23</v>
      </c>
      <c r="E118" s="635">
        <f t="shared" ca="1" si="33"/>
        <v>34</v>
      </c>
      <c r="F118" s="635">
        <f t="shared" ca="1" si="33"/>
        <v>23</v>
      </c>
      <c r="G118" s="635">
        <f t="shared" ca="1" si="33"/>
        <v>23</v>
      </c>
      <c r="H118" s="636">
        <f t="shared" ca="1" si="33"/>
        <v>22</v>
      </c>
      <c r="I118" s="634">
        <f t="shared" ca="1" si="33"/>
        <v>14.369936273361425</v>
      </c>
      <c r="J118" s="635">
        <f t="shared" ca="1" si="33"/>
        <v>28.690600015581914</v>
      </c>
      <c r="K118" s="635">
        <f t="shared" ca="1" si="33"/>
        <v>14.293669164243195</v>
      </c>
      <c r="L118" s="635">
        <f t="shared" ca="1" si="33"/>
        <v>7</v>
      </c>
      <c r="M118" s="637">
        <f t="shared" ca="1" si="33"/>
        <v>14.293154921055631</v>
      </c>
      <c r="S118">
        <v>21</v>
      </c>
      <c r="T118" s="955"/>
      <c r="U118" s="278" t="str">
        <f>$C$27</f>
        <v>Interior modules</v>
      </c>
      <c r="V118" s="578" t="str">
        <f t="shared" si="28"/>
        <v>C149:C153</v>
      </c>
      <c r="W118" s="579" t="str">
        <f t="shared" si="28"/>
        <v>F149:F153</v>
      </c>
      <c r="X118" s="579" t="str">
        <f t="shared" si="28"/>
        <v>I149:I153</v>
      </c>
      <c r="Y118" s="579" t="str">
        <f t="shared" si="28"/>
        <v>L149:L153</v>
      </c>
      <c r="Z118" s="580" t="str">
        <f t="shared" si="28"/>
        <v>O149:O153</v>
      </c>
      <c r="AA118" s="578" t="str">
        <f t="shared" si="28"/>
        <v>C207:C211</v>
      </c>
      <c r="AB118" s="579" t="str">
        <f t="shared" si="28"/>
        <v>F207:F211</v>
      </c>
      <c r="AC118" s="579" t="str">
        <f t="shared" si="28"/>
        <v>I207:I211</v>
      </c>
      <c r="AD118" s="579" t="str">
        <f t="shared" si="28"/>
        <v>L207:L211</v>
      </c>
      <c r="AE118" s="581" t="str">
        <f t="shared" si="28"/>
        <v>O207:O211</v>
      </c>
      <c r="AF118" s="649">
        <f t="shared" ca="1" si="34"/>
        <v>23</v>
      </c>
      <c r="AG118" s="650">
        <f t="shared" ca="1" si="34"/>
        <v>34</v>
      </c>
      <c r="AH118" s="650">
        <f t="shared" ca="1" si="34"/>
        <v>23</v>
      </c>
      <c r="AI118" s="650">
        <f t="shared" ca="1" si="34"/>
        <v>23</v>
      </c>
      <c r="AJ118" s="651">
        <f t="shared" ca="1" si="34"/>
        <v>22</v>
      </c>
      <c r="AK118" s="649">
        <f t="shared" ca="1" si="34"/>
        <v>34</v>
      </c>
      <c r="AL118" s="650">
        <f t="shared" ca="1" si="34"/>
        <v>42</v>
      </c>
      <c r="AM118" s="650">
        <f t="shared" ca="1" si="34"/>
        <v>31</v>
      </c>
      <c r="AN118" s="650">
        <f t="shared" ca="1" si="34"/>
        <v>7</v>
      </c>
      <c r="AO118" s="652">
        <f t="shared" ca="1" si="34"/>
        <v>20</v>
      </c>
      <c r="AP118" s="649">
        <f t="shared" ca="1" si="35"/>
        <v>23</v>
      </c>
      <c r="AQ118" s="650">
        <f t="shared" ca="1" si="35"/>
        <v>34</v>
      </c>
      <c r="AR118" s="650">
        <f t="shared" ca="1" si="35"/>
        <v>23</v>
      </c>
      <c r="AS118" s="650">
        <f t="shared" ca="1" si="35"/>
        <v>23</v>
      </c>
      <c r="AT118" s="651">
        <f t="shared" ca="1" si="35"/>
        <v>22</v>
      </c>
      <c r="AU118" s="649">
        <f t="shared" ca="1" si="35"/>
        <v>10</v>
      </c>
      <c r="AV118" s="650">
        <f t="shared" ca="1" si="35"/>
        <v>16</v>
      </c>
      <c r="AW118" s="650">
        <f t="shared" ca="1" si="35"/>
        <v>7</v>
      </c>
      <c r="AX118" s="650">
        <f t="shared" ca="1" si="35"/>
        <v>7</v>
      </c>
      <c r="AY118" s="652">
        <f t="shared" ca="1" si="35"/>
        <v>7</v>
      </c>
      <c r="AZ118" s="649">
        <f t="shared" ca="1" si="36"/>
        <v>100</v>
      </c>
      <c r="BA118" s="650">
        <f t="shared" ca="1" si="36"/>
        <v>150</v>
      </c>
      <c r="BB118" s="650">
        <f t="shared" ca="1" si="36"/>
        <v>110</v>
      </c>
      <c r="BC118" s="650">
        <f t="shared" ca="1" si="36"/>
        <v>30</v>
      </c>
      <c r="BD118" s="651">
        <f t="shared" ca="1" si="36"/>
        <v>150</v>
      </c>
      <c r="BE118" s="649">
        <f t="shared" ca="1" si="36"/>
        <v>38</v>
      </c>
      <c r="BF118" s="650">
        <f t="shared" ca="1" si="36"/>
        <v>20</v>
      </c>
      <c r="BG118" s="650">
        <f t="shared" ca="1" si="36"/>
        <v>12</v>
      </c>
      <c r="BH118" s="650">
        <f t="shared" ca="1" si="36"/>
        <v>30</v>
      </c>
      <c r="BI118" s="652">
        <f t="shared" ca="1" si="36"/>
        <v>10</v>
      </c>
      <c r="BJ118" s="649">
        <f t="shared" ca="1" si="37"/>
        <v>10000</v>
      </c>
      <c r="BK118" s="650">
        <f t="shared" ca="1" si="37"/>
        <v>10000</v>
      </c>
      <c r="BL118" s="650">
        <f t="shared" ca="1" si="37"/>
        <v>10000</v>
      </c>
      <c r="BM118" s="650">
        <f t="shared" ca="1" si="37"/>
        <v>10000</v>
      </c>
      <c r="BN118" s="651">
        <f t="shared" ca="1" si="37"/>
        <v>10000</v>
      </c>
      <c r="BO118" s="649">
        <f t="shared" ca="1" si="37"/>
        <v>100</v>
      </c>
      <c r="BP118" s="650">
        <f t="shared" ca="1" si="37"/>
        <v>150</v>
      </c>
      <c r="BQ118" s="650">
        <f t="shared" ca="1" si="37"/>
        <v>110</v>
      </c>
      <c r="BR118" s="650">
        <f t="shared" ca="1" si="37"/>
        <v>10000</v>
      </c>
      <c r="BS118" s="652">
        <f t="shared" ca="1" si="37"/>
        <v>150</v>
      </c>
    </row>
    <row r="119" spans="2:71" ht="15" customHeight="1" x14ac:dyDescent="0.25">
      <c r="B119" s="1722" t="str">
        <f>$B$30</f>
        <v>Inner rows, from 7th row from north</v>
      </c>
      <c r="C119" s="183" t="str">
        <f>$C$26</f>
        <v>1st-4th module</v>
      </c>
      <c r="D119" s="626">
        <f t="shared" ca="1" si="33"/>
        <v>23</v>
      </c>
      <c r="E119" s="627">
        <f t="shared" ca="1" si="33"/>
        <v>34</v>
      </c>
      <c r="F119" s="627">
        <f t="shared" ca="1" si="33"/>
        <v>23</v>
      </c>
      <c r="G119" s="627">
        <f t="shared" ca="1" si="33"/>
        <v>23</v>
      </c>
      <c r="H119" s="627">
        <f t="shared" ca="1" si="33"/>
        <v>22</v>
      </c>
      <c r="I119" s="626">
        <f t="shared" ca="1" si="33"/>
        <v>34.111689271290643</v>
      </c>
      <c r="J119" s="627">
        <f t="shared" ca="1" si="33"/>
        <v>24.709691169537024</v>
      </c>
      <c r="K119" s="627">
        <f t="shared" ca="1" si="33"/>
        <v>21.889371566354196</v>
      </c>
      <c r="L119" s="627">
        <f t="shared" ca="1" si="33"/>
        <v>17.55760158518752</v>
      </c>
      <c r="M119" s="629">
        <f t="shared" ca="1" si="33"/>
        <v>15.994211438468026</v>
      </c>
      <c r="S119">
        <v>28</v>
      </c>
      <c r="T119" s="954" t="str">
        <f>$B$30</f>
        <v>Inner rows, from 7th row from north</v>
      </c>
      <c r="U119" s="183" t="str">
        <f>$C$26</f>
        <v>1st-4th module</v>
      </c>
      <c r="V119" s="189" t="str">
        <f t="shared" si="28"/>
        <v>C156:C160</v>
      </c>
      <c r="W119" s="190" t="str">
        <f t="shared" si="28"/>
        <v>F156:F160</v>
      </c>
      <c r="X119" s="190" t="str">
        <f t="shared" si="28"/>
        <v>I156:I160</v>
      </c>
      <c r="Y119" s="190" t="str">
        <f t="shared" si="28"/>
        <v>L156:L160</v>
      </c>
      <c r="Z119" s="190" t="str">
        <f t="shared" si="28"/>
        <v>O156:O160</v>
      </c>
      <c r="AA119" s="189" t="str">
        <f t="shared" si="28"/>
        <v>C214:C218</v>
      </c>
      <c r="AB119" s="190" t="str">
        <f t="shared" si="28"/>
        <v>F214:F218</v>
      </c>
      <c r="AC119" s="190" t="str">
        <f t="shared" si="28"/>
        <v>I214:I218</v>
      </c>
      <c r="AD119" s="190" t="str">
        <f t="shared" si="28"/>
        <v>L214:L218</v>
      </c>
      <c r="AE119" s="191" t="str">
        <f t="shared" si="28"/>
        <v>O214:O218</v>
      </c>
      <c r="AF119" s="641">
        <f t="shared" ca="1" si="34"/>
        <v>23</v>
      </c>
      <c r="AG119" s="642">
        <f t="shared" ca="1" si="34"/>
        <v>34</v>
      </c>
      <c r="AH119" s="642">
        <f t="shared" ca="1" si="34"/>
        <v>23</v>
      </c>
      <c r="AI119" s="642">
        <f t="shared" ca="1" si="34"/>
        <v>23</v>
      </c>
      <c r="AJ119" s="642">
        <f t="shared" ca="1" si="34"/>
        <v>22</v>
      </c>
      <c r="AK119" s="641">
        <f t="shared" ca="1" si="34"/>
        <v>35</v>
      </c>
      <c r="AL119" s="642">
        <f t="shared" ca="1" si="34"/>
        <v>33</v>
      </c>
      <c r="AM119" s="642">
        <f t="shared" ca="1" si="34"/>
        <v>47</v>
      </c>
      <c r="AN119" s="642">
        <f t="shared" ca="1" si="34"/>
        <v>25</v>
      </c>
      <c r="AO119" s="644">
        <f t="shared" ca="1" si="34"/>
        <v>27</v>
      </c>
      <c r="AP119" s="641">
        <f t="shared" ca="1" si="35"/>
        <v>23</v>
      </c>
      <c r="AQ119" s="642">
        <f t="shared" ca="1" si="35"/>
        <v>34</v>
      </c>
      <c r="AR119" s="642">
        <f t="shared" ca="1" si="35"/>
        <v>23</v>
      </c>
      <c r="AS119" s="642">
        <f t="shared" ca="1" si="35"/>
        <v>23</v>
      </c>
      <c r="AT119" s="642">
        <f t="shared" ca="1" si="35"/>
        <v>22</v>
      </c>
      <c r="AU119" s="641">
        <f t="shared" ca="1" si="35"/>
        <v>10</v>
      </c>
      <c r="AV119" s="642">
        <f t="shared" ca="1" si="35"/>
        <v>16</v>
      </c>
      <c r="AW119" s="642">
        <f t="shared" ca="1" si="35"/>
        <v>7</v>
      </c>
      <c r="AX119" s="642">
        <f t="shared" ca="1" si="35"/>
        <v>7</v>
      </c>
      <c r="AY119" s="644">
        <f t="shared" ca="1" si="35"/>
        <v>7</v>
      </c>
      <c r="AZ119" s="641">
        <f t="shared" ca="1" si="36"/>
        <v>300</v>
      </c>
      <c r="BA119" s="642">
        <f t="shared" ca="1" si="36"/>
        <v>150</v>
      </c>
      <c r="BB119" s="642">
        <f t="shared" ca="1" si="36"/>
        <v>140</v>
      </c>
      <c r="BC119" s="642">
        <f t="shared" ca="1" si="36"/>
        <v>110</v>
      </c>
      <c r="BD119" s="642">
        <f t="shared" ca="1" si="36"/>
        <v>70</v>
      </c>
      <c r="BE119" s="641">
        <f t="shared" ca="1" si="36"/>
        <v>80</v>
      </c>
      <c r="BF119" s="642">
        <f t="shared" ca="1" si="36"/>
        <v>22</v>
      </c>
      <c r="BG119" s="642">
        <f t="shared" ca="1" si="36"/>
        <v>12</v>
      </c>
      <c r="BH119" s="642">
        <f t="shared" ca="1" si="36"/>
        <v>14</v>
      </c>
      <c r="BI119" s="644">
        <f t="shared" ca="1" si="36"/>
        <v>13</v>
      </c>
      <c r="BJ119" s="641">
        <f t="shared" ca="1" si="37"/>
        <v>10000</v>
      </c>
      <c r="BK119" s="642">
        <f t="shared" ca="1" si="37"/>
        <v>10000</v>
      </c>
      <c r="BL119" s="642">
        <f t="shared" ca="1" si="37"/>
        <v>10000</v>
      </c>
      <c r="BM119" s="642">
        <f t="shared" ca="1" si="37"/>
        <v>10000</v>
      </c>
      <c r="BN119" s="642">
        <f t="shared" ca="1" si="37"/>
        <v>10000</v>
      </c>
      <c r="BO119" s="641">
        <f t="shared" ca="1" si="37"/>
        <v>300</v>
      </c>
      <c r="BP119" s="642">
        <f t="shared" ca="1" si="37"/>
        <v>150</v>
      </c>
      <c r="BQ119" s="642">
        <f t="shared" ca="1" si="37"/>
        <v>140</v>
      </c>
      <c r="BR119" s="642">
        <f t="shared" ca="1" si="37"/>
        <v>110</v>
      </c>
      <c r="BS119" s="644">
        <f t="shared" ca="1" si="37"/>
        <v>70</v>
      </c>
    </row>
    <row r="120" spans="2:71" ht="15" customHeight="1" thickBot="1" x14ac:dyDescent="0.3">
      <c r="B120" s="1724"/>
      <c r="C120" s="277" t="str">
        <f>$C$27</f>
        <v>Interior modules</v>
      </c>
      <c r="D120" s="638">
        <f t="shared" ca="1" si="33"/>
        <v>23</v>
      </c>
      <c r="E120" s="639">
        <f t="shared" ca="1" si="33"/>
        <v>34</v>
      </c>
      <c r="F120" s="639">
        <f t="shared" ca="1" si="33"/>
        <v>23</v>
      </c>
      <c r="G120" s="639">
        <f t="shared" ca="1" si="33"/>
        <v>23</v>
      </c>
      <c r="H120" s="639">
        <f t="shared" ca="1" si="33"/>
        <v>22</v>
      </c>
      <c r="I120" s="638">
        <f t="shared" ca="1" si="33"/>
        <v>27.360416275329264</v>
      </c>
      <c r="J120" s="639">
        <f t="shared" ca="1" si="33"/>
        <v>32.394712789716756</v>
      </c>
      <c r="K120" s="639">
        <f t="shared" ca="1" si="33"/>
        <v>15.355048024151561</v>
      </c>
      <c r="L120" s="639">
        <f t="shared" ca="1" si="33"/>
        <v>15.7980013209896</v>
      </c>
      <c r="M120" s="640">
        <f t="shared" ca="1" si="33"/>
        <v>17.196820499406002</v>
      </c>
      <c r="S120">
        <v>35</v>
      </c>
      <c r="T120" s="955"/>
      <c r="U120" s="277" t="str">
        <f>$C$27</f>
        <v>Interior modules</v>
      </c>
      <c r="V120" s="582" t="str">
        <f t="shared" si="28"/>
        <v>C163:C167</v>
      </c>
      <c r="W120" s="583" t="str">
        <f t="shared" si="28"/>
        <v>F163:F167</v>
      </c>
      <c r="X120" s="583" t="str">
        <f t="shared" si="28"/>
        <v>I163:I167</v>
      </c>
      <c r="Y120" s="583" t="str">
        <f t="shared" si="28"/>
        <v>L163:L167</v>
      </c>
      <c r="Z120" s="583" t="str">
        <f t="shared" si="28"/>
        <v>O163:O167</v>
      </c>
      <c r="AA120" s="582" t="str">
        <f t="shared" si="28"/>
        <v>C221:C225</v>
      </c>
      <c r="AB120" s="583" t="str">
        <f t="shared" si="28"/>
        <v>F221:F225</v>
      </c>
      <c r="AC120" s="583" t="str">
        <f t="shared" si="28"/>
        <v>I221:I225</v>
      </c>
      <c r="AD120" s="583" t="str">
        <f t="shared" si="28"/>
        <v>L221:L225</v>
      </c>
      <c r="AE120" s="585" t="str">
        <f t="shared" si="28"/>
        <v>O221:O225</v>
      </c>
      <c r="AF120" s="653">
        <f t="shared" ca="1" si="34"/>
        <v>23</v>
      </c>
      <c r="AG120" s="654">
        <f t="shared" ca="1" si="34"/>
        <v>34</v>
      </c>
      <c r="AH120" s="654">
        <f t="shared" ca="1" si="34"/>
        <v>23</v>
      </c>
      <c r="AI120" s="654">
        <f t="shared" ca="1" si="34"/>
        <v>23</v>
      </c>
      <c r="AJ120" s="654">
        <f t="shared" ca="1" si="34"/>
        <v>22</v>
      </c>
      <c r="AK120" s="653">
        <f t="shared" ca="1" si="34"/>
        <v>28</v>
      </c>
      <c r="AL120" s="654">
        <f t="shared" ca="1" si="34"/>
        <v>48</v>
      </c>
      <c r="AM120" s="654">
        <f t="shared" ca="1" si="34"/>
        <v>16</v>
      </c>
      <c r="AN120" s="654">
        <f t="shared" ca="1" si="34"/>
        <v>22</v>
      </c>
      <c r="AO120" s="655">
        <f t="shared" ca="1" si="34"/>
        <v>25</v>
      </c>
      <c r="AP120" s="653">
        <f t="shared" ca="1" si="35"/>
        <v>23</v>
      </c>
      <c r="AQ120" s="654">
        <f t="shared" ca="1" si="35"/>
        <v>34</v>
      </c>
      <c r="AR120" s="654">
        <f t="shared" ca="1" si="35"/>
        <v>23</v>
      </c>
      <c r="AS120" s="654">
        <f t="shared" ca="1" si="35"/>
        <v>23</v>
      </c>
      <c r="AT120" s="654">
        <f t="shared" ca="1" si="35"/>
        <v>22</v>
      </c>
      <c r="AU120" s="653">
        <f t="shared" ca="1" si="35"/>
        <v>10</v>
      </c>
      <c r="AV120" s="654">
        <f t="shared" ca="1" si="35"/>
        <v>16</v>
      </c>
      <c r="AW120" s="654">
        <f t="shared" ca="1" si="35"/>
        <v>7</v>
      </c>
      <c r="AX120" s="654">
        <f t="shared" ca="1" si="35"/>
        <v>7</v>
      </c>
      <c r="AY120" s="655">
        <f t="shared" ca="1" si="35"/>
        <v>7</v>
      </c>
      <c r="AZ120" s="653">
        <f t="shared" ca="1" si="36"/>
        <v>300</v>
      </c>
      <c r="BA120" s="654">
        <f t="shared" ca="1" si="36"/>
        <v>150</v>
      </c>
      <c r="BB120" s="654">
        <f t="shared" ca="1" si="36"/>
        <v>150</v>
      </c>
      <c r="BC120" s="654">
        <f t="shared" ca="1" si="36"/>
        <v>110</v>
      </c>
      <c r="BD120" s="654">
        <f t="shared" ca="1" si="36"/>
        <v>100</v>
      </c>
      <c r="BE120" s="653">
        <f t="shared" ca="1" si="36"/>
        <v>80</v>
      </c>
      <c r="BF120" s="654">
        <f t="shared" ca="1" si="36"/>
        <v>22</v>
      </c>
      <c r="BG120" s="654">
        <f t="shared" ca="1" si="36"/>
        <v>52</v>
      </c>
      <c r="BH120" s="654">
        <f t="shared" ca="1" si="36"/>
        <v>14</v>
      </c>
      <c r="BI120" s="655">
        <f t="shared" ca="1" si="36"/>
        <v>14</v>
      </c>
      <c r="BJ120" s="653">
        <f t="shared" ca="1" si="37"/>
        <v>10000</v>
      </c>
      <c r="BK120" s="654">
        <f t="shared" ca="1" si="37"/>
        <v>10000</v>
      </c>
      <c r="BL120" s="654">
        <f t="shared" ca="1" si="37"/>
        <v>10000</v>
      </c>
      <c r="BM120" s="654">
        <f t="shared" ca="1" si="37"/>
        <v>10000</v>
      </c>
      <c r="BN120" s="654">
        <f t="shared" ca="1" si="37"/>
        <v>10000</v>
      </c>
      <c r="BO120" s="653">
        <f t="shared" ca="1" si="37"/>
        <v>300</v>
      </c>
      <c r="BP120" s="654">
        <f t="shared" ca="1" si="37"/>
        <v>150</v>
      </c>
      <c r="BQ120" s="654">
        <f t="shared" ca="1" si="37"/>
        <v>150</v>
      </c>
      <c r="BR120" s="654">
        <f t="shared" ca="1" si="37"/>
        <v>110</v>
      </c>
      <c r="BS120" s="655">
        <f t="shared" ca="1" si="37"/>
        <v>100</v>
      </c>
    </row>
    <row r="121" spans="2:71" ht="15" customHeight="1" x14ac:dyDescent="0.25">
      <c r="B121" s="1722" t="str">
        <f>$B$32</f>
        <v>South row</v>
      </c>
      <c r="C121" s="183" t="str">
        <f>$C$26</f>
        <v>1st-4th module</v>
      </c>
      <c r="D121" s="626">
        <f t="shared" ca="1" si="33"/>
        <v>23</v>
      </c>
      <c r="E121" s="627">
        <f t="shared" ca="1" si="33"/>
        <v>34</v>
      </c>
      <c r="F121" s="627">
        <f t="shared" ca="1" si="33"/>
        <v>23</v>
      </c>
      <c r="G121" s="627">
        <f t="shared" ca="1" si="33"/>
        <v>23</v>
      </c>
      <c r="H121" s="628">
        <f t="shared" ca="1" si="33"/>
        <v>22</v>
      </c>
      <c r="I121" s="626">
        <f t="shared" ca="1" si="33"/>
        <v>36.21210984588776</v>
      </c>
      <c r="J121" s="627">
        <f t="shared" ca="1" si="33"/>
        <v>16</v>
      </c>
      <c r="K121" s="627">
        <f t="shared" ca="1" si="33"/>
        <v>23.358720909398162</v>
      </c>
      <c r="L121" s="627">
        <f t="shared" ca="1" si="33"/>
        <v>13.794151908692854</v>
      </c>
      <c r="M121" s="629">
        <f t="shared" ca="1" si="33"/>
        <v>9.811457335577467</v>
      </c>
      <c r="S121">
        <v>42</v>
      </c>
      <c r="T121" s="954" t="str">
        <f>$B$32</f>
        <v>South row</v>
      </c>
      <c r="U121" s="183" t="str">
        <f>$C$26</f>
        <v>1st-4th module</v>
      </c>
      <c r="V121" s="189" t="str">
        <f t="shared" si="28"/>
        <v>C170:C174</v>
      </c>
      <c r="W121" s="190" t="str">
        <f t="shared" si="28"/>
        <v>F170:F174</v>
      </c>
      <c r="X121" s="190" t="str">
        <f t="shared" si="28"/>
        <v>I170:I174</v>
      </c>
      <c r="Y121" s="190" t="str">
        <f t="shared" si="28"/>
        <v>L170:L174</v>
      </c>
      <c r="Z121" s="573" t="str">
        <f t="shared" si="28"/>
        <v>O170:O174</v>
      </c>
      <c r="AA121" s="189" t="str">
        <f t="shared" si="28"/>
        <v>C228:C232</v>
      </c>
      <c r="AB121" s="190" t="str">
        <f t="shared" si="28"/>
        <v>F228:F232</v>
      </c>
      <c r="AC121" s="190" t="str">
        <f t="shared" si="28"/>
        <v>I228:I232</v>
      </c>
      <c r="AD121" s="190" t="str">
        <f t="shared" si="28"/>
        <v>L228:L232</v>
      </c>
      <c r="AE121" s="191" t="str">
        <f t="shared" si="28"/>
        <v>O228:O232</v>
      </c>
      <c r="AF121" s="641">
        <f t="shared" ca="1" si="34"/>
        <v>23</v>
      </c>
      <c r="AG121" s="642">
        <f t="shared" ca="1" si="34"/>
        <v>34</v>
      </c>
      <c r="AH121" s="642">
        <f t="shared" ca="1" si="34"/>
        <v>23</v>
      </c>
      <c r="AI121" s="642">
        <f t="shared" ca="1" si="34"/>
        <v>23</v>
      </c>
      <c r="AJ121" s="643">
        <f t="shared" ca="1" si="34"/>
        <v>22</v>
      </c>
      <c r="AK121" s="641">
        <f t="shared" ca="1" si="34"/>
        <v>37</v>
      </c>
      <c r="AL121" s="642">
        <f t="shared" ca="1" si="34"/>
        <v>16</v>
      </c>
      <c r="AM121" s="642">
        <f t="shared" ca="1" si="34"/>
        <v>45</v>
      </c>
      <c r="AN121" s="642">
        <f t="shared" ca="1" si="34"/>
        <v>19</v>
      </c>
      <c r="AO121" s="644">
        <f t="shared" ca="1" si="34"/>
        <v>23</v>
      </c>
      <c r="AP121" s="641">
        <f t="shared" ca="1" si="35"/>
        <v>23</v>
      </c>
      <c r="AQ121" s="642">
        <f t="shared" ca="1" si="35"/>
        <v>34</v>
      </c>
      <c r="AR121" s="642">
        <f t="shared" ca="1" si="35"/>
        <v>23</v>
      </c>
      <c r="AS121" s="642">
        <f t="shared" ca="1" si="35"/>
        <v>23</v>
      </c>
      <c r="AT121" s="643">
        <f t="shared" ca="1" si="35"/>
        <v>22</v>
      </c>
      <c r="AU121" s="641">
        <f t="shared" ca="1" si="35"/>
        <v>10</v>
      </c>
      <c r="AV121" s="642">
        <f t="shared" ca="1" si="35"/>
        <v>16</v>
      </c>
      <c r="AW121" s="642">
        <f t="shared" ca="1" si="35"/>
        <v>7</v>
      </c>
      <c r="AX121" s="642">
        <f t="shared" ca="1" si="35"/>
        <v>7</v>
      </c>
      <c r="AY121" s="644">
        <f t="shared" ca="1" si="35"/>
        <v>7</v>
      </c>
      <c r="AZ121" s="641">
        <f t="shared" ca="1" si="36"/>
        <v>400</v>
      </c>
      <c r="BA121" s="642">
        <f t="shared" ca="1" si="36"/>
        <v>36</v>
      </c>
      <c r="BB121" s="642">
        <f t="shared" ca="1" si="36"/>
        <v>180</v>
      </c>
      <c r="BC121" s="642">
        <f t="shared" ca="1" si="36"/>
        <v>110</v>
      </c>
      <c r="BD121" s="643">
        <f t="shared" ca="1" si="36"/>
        <v>40</v>
      </c>
      <c r="BE121" s="641">
        <f t="shared" ca="1" si="36"/>
        <v>80</v>
      </c>
      <c r="BF121" s="642">
        <f t="shared" ca="1" si="36"/>
        <v>36</v>
      </c>
      <c r="BG121" s="642">
        <f t="shared" ca="1" si="36"/>
        <v>12</v>
      </c>
      <c r="BH121" s="642">
        <f t="shared" ca="1" si="36"/>
        <v>13</v>
      </c>
      <c r="BI121" s="644">
        <f t="shared" ca="1" si="36"/>
        <v>13</v>
      </c>
      <c r="BJ121" s="641">
        <f t="shared" ca="1" si="37"/>
        <v>10000</v>
      </c>
      <c r="BK121" s="642">
        <f t="shared" ca="1" si="37"/>
        <v>10000</v>
      </c>
      <c r="BL121" s="642">
        <f t="shared" ca="1" si="37"/>
        <v>10000</v>
      </c>
      <c r="BM121" s="642">
        <f t="shared" ca="1" si="37"/>
        <v>10000</v>
      </c>
      <c r="BN121" s="643">
        <f t="shared" ca="1" si="37"/>
        <v>10000</v>
      </c>
      <c r="BO121" s="641">
        <f t="shared" ca="1" si="37"/>
        <v>400</v>
      </c>
      <c r="BP121" s="642">
        <f t="shared" ca="1" si="37"/>
        <v>10000</v>
      </c>
      <c r="BQ121" s="642">
        <f t="shared" ca="1" si="37"/>
        <v>180</v>
      </c>
      <c r="BR121" s="642">
        <f t="shared" ca="1" si="37"/>
        <v>110</v>
      </c>
      <c r="BS121" s="644">
        <f t="shared" ca="1" si="37"/>
        <v>40</v>
      </c>
    </row>
    <row r="122" spans="2:71" ht="15" customHeight="1" thickBot="1" x14ac:dyDescent="0.3">
      <c r="B122" s="1724"/>
      <c r="C122" s="277" t="str">
        <f>$C$27</f>
        <v>Interior modules</v>
      </c>
      <c r="D122" s="634">
        <f t="shared" ca="1" si="33"/>
        <v>23</v>
      </c>
      <c r="E122" s="635">
        <f t="shared" ca="1" si="33"/>
        <v>34</v>
      </c>
      <c r="F122" s="635">
        <f t="shared" ca="1" si="33"/>
        <v>23</v>
      </c>
      <c r="G122" s="635">
        <f t="shared" ca="1" si="33"/>
        <v>23</v>
      </c>
      <c r="H122" s="636">
        <f t="shared" ca="1" si="33"/>
        <v>22</v>
      </c>
      <c r="I122" s="634">
        <f t="shared" ca="1" si="33"/>
        <v>30.387196546801594</v>
      </c>
      <c r="J122" s="635">
        <f t="shared" ca="1" si="33"/>
        <v>27.78369981760892</v>
      </c>
      <c r="K122" s="635">
        <f t="shared" ca="1" si="33"/>
        <v>14.905744912916205</v>
      </c>
      <c r="L122" s="635">
        <f t="shared" ca="1" si="33"/>
        <v>9.1085930016831007</v>
      </c>
      <c r="M122" s="637">
        <f t="shared" ca="1" si="33"/>
        <v>10.96525518940601</v>
      </c>
      <c r="S122">
        <v>49</v>
      </c>
      <c r="T122" s="955"/>
      <c r="U122" s="277" t="str">
        <f>$C$27</f>
        <v>Interior modules</v>
      </c>
      <c r="V122" s="578" t="str">
        <f t="shared" si="28"/>
        <v>C177:C181</v>
      </c>
      <c r="W122" s="579" t="str">
        <f t="shared" si="28"/>
        <v>F177:F181</v>
      </c>
      <c r="X122" s="579" t="str">
        <f t="shared" si="28"/>
        <v>I177:I181</v>
      </c>
      <c r="Y122" s="579" t="str">
        <f t="shared" si="28"/>
        <v>L177:L181</v>
      </c>
      <c r="Z122" s="580" t="str">
        <f t="shared" si="28"/>
        <v>O177:O181</v>
      </c>
      <c r="AA122" s="578" t="str">
        <f t="shared" si="28"/>
        <v>C235:C239</v>
      </c>
      <c r="AB122" s="579" t="str">
        <f t="shared" si="28"/>
        <v>F235:F239</v>
      </c>
      <c r="AC122" s="579" t="str">
        <f t="shared" si="28"/>
        <v>I235:I239</v>
      </c>
      <c r="AD122" s="579" t="str">
        <f t="shared" si="28"/>
        <v>L235:L239</v>
      </c>
      <c r="AE122" s="581" t="str">
        <f t="shared" si="28"/>
        <v>O235:O239</v>
      </c>
      <c r="AF122" s="649">
        <f t="shared" ca="1" si="34"/>
        <v>23</v>
      </c>
      <c r="AG122" s="650">
        <f t="shared" ca="1" si="34"/>
        <v>34</v>
      </c>
      <c r="AH122" s="650">
        <f t="shared" ca="1" si="34"/>
        <v>23</v>
      </c>
      <c r="AI122" s="650">
        <f t="shared" ca="1" si="34"/>
        <v>23</v>
      </c>
      <c r="AJ122" s="651">
        <f t="shared" ca="1" si="34"/>
        <v>22</v>
      </c>
      <c r="AK122" s="649">
        <f t="shared" ca="1" si="34"/>
        <v>31</v>
      </c>
      <c r="AL122" s="650">
        <f t="shared" ca="1" si="34"/>
        <v>39</v>
      </c>
      <c r="AM122" s="650">
        <f t="shared" ca="1" si="34"/>
        <v>36</v>
      </c>
      <c r="AN122" s="650">
        <f t="shared" ca="1" si="34"/>
        <v>19</v>
      </c>
      <c r="AO122" s="652">
        <f t="shared" ca="1" si="34"/>
        <v>19</v>
      </c>
      <c r="AP122" s="649">
        <f t="shared" ca="1" si="35"/>
        <v>23</v>
      </c>
      <c r="AQ122" s="650">
        <f t="shared" ca="1" si="35"/>
        <v>34</v>
      </c>
      <c r="AR122" s="650">
        <f t="shared" ca="1" si="35"/>
        <v>23</v>
      </c>
      <c r="AS122" s="650">
        <f t="shared" ca="1" si="35"/>
        <v>23</v>
      </c>
      <c r="AT122" s="651">
        <f t="shared" ca="1" si="35"/>
        <v>22</v>
      </c>
      <c r="AU122" s="649">
        <f t="shared" ca="1" si="35"/>
        <v>10</v>
      </c>
      <c r="AV122" s="650">
        <f t="shared" ca="1" si="35"/>
        <v>16</v>
      </c>
      <c r="AW122" s="650">
        <f t="shared" ca="1" si="35"/>
        <v>7</v>
      </c>
      <c r="AX122" s="650">
        <f t="shared" ca="1" si="35"/>
        <v>7</v>
      </c>
      <c r="AY122" s="652">
        <f t="shared" ca="1" si="35"/>
        <v>7</v>
      </c>
      <c r="AZ122" s="649">
        <f t="shared" ca="1" si="36"/>
        <v>400</v>
      </c>
      <c r="BA122" s="650">
        <f t="shared" ca="1" si="36"/>
        <v>150</v>
      </c>
      <c r="BB122" s="650">
        <f t="shared" ca="1" si="36"/>
        <v>100</v>
      </c>
      <c r="BC122" s="650">
        <f t="shared" ca="1" si="36"/>
        <v>40</v>
      </c>
      <c r="BD122" s="651">
        <f t="shared" ca="1" si="36"/>
        <v>50</v>
      </c>
      <c r="BE122" s="649">
        <f t="shared" ca="1" si="36"/>
        <v>80</v>
      </c>
      <c r="BF122" s="650">
        <f t="shared" ca="1" si="36"/>
        <v>22</v>
      </c>
      <c r="BG122" s="650">
        <f t="shared" ca="1" si="36"/>
        <v>12</v>
      </c>
      <c r="BH122" s="650">
        <f t="shared" ca="1" si="36"/>
        <v>13</v>
      </c>
      <c r="BI122" s="652">
        <f t="shared" ca="1" si="36"/>
        <v>14</v>
      </c>
      <c r="BJ122" s="649">
        <f t="shared" ca="1" si="37"/>
        <v>10000</v>
      </c>
      <c r="BK122" s="650">
        <f t="shared" ca="1" si="37"/>
        <v>10000</v>
      </c>
      <c r="BL122" s="650">
        <f t="shared" ca="1" si="37"/>
        <v>10000</v>
      </c>
      <c r="BM122" s="650">
        <f t="shared" ca="1" si="37"/>
        <v>10000</v>
      </c>
      <c r="BN122" s="651">
        <f t="shared" ca="1" si="37"/>
        <v>10000</v>
      </c>
      <c r="BO122" s="649">
        <f t="shared" ca="1" si="37"/>
        <v>400</v>
      </c>
      <c r="BP122" s="650">
        <f t="shared" ca="1" si="37"/>
        <v>150</v>
      </c>
      <c r="BQ122" s="650">
        <f t="shared" ca="1" si="37"/>
        <v>100</v>
      </c>
      <c r="BR122" s="650">
        <f t="shared" ca="1" si="37"/>
        <v>40</v>
      </c>
      <c r="BS122" s="652">
        <f t="shared" ca="1" si="37"/>
        <v>50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5" t="str">
        <f>$D$24</f>
        <v>Roof position 1</v>
      </c>
      <c r="D125" s="1728"/>
      <c r="E125" s="1729"/>
      <c r="F125" s="1715" t="str">
        <f>$E$24</f>
        <v>Roof position 2</v>
      </c>
      <c r="G125" s="1728"/>
      <c r="H125" s="1729"/>
      <c r="I125" s="1715" t="str">
        <f>$F$24</f>
        <v>Roof position 3</v>
      </c>
      <c r="J125" s="1728"/>
      <c r="K125" s="1729"/>
      <c r="L125" s="1715" t="str">
        <f>$G$24</f>
        <v>Roof position 4</v>
      </c>
      <c r="M125" s="1728"/>
      <c r="N125" s="1729"/>
      <c r="O125" s="1715" t="str">
        <f>$H$24</f>
        <v>Roof position 5</v>
      </c>
      <c r="P125" s="1728"/>
      <c r="Q125" s="1729"/>
    </row>
    <row r="126" spans="2:71" ht="15" customHeight="1" x14ac:dyDescent="0.25">
      <c r="B126" s="429"/>
      <c r="C126" s="1719" t="str">
        <f>CONCATENATE(B26," - ",C26)</f>
        <v>North row - 1st-4th module</v>
      </c>
      <c r="D126" s="1720"/>
      <c r="E126" s="1721"/>
      <c r="F126" s="1719" t="str">
        <f>$C$126</f>
        <v>North row - 1st-4th module</v>
      </c>
      <c r="G126" s="1720"/>
      <c r="H126" s="1721"/>
      <c r="I126" s="1719" t="str">
        <f>$C$126</f>
        <v>North row - 1st-4th module</v>
      </c>
      <c r="J126" s="1720"/>
      <c r="K126" s="1721"/>
      <c r="L126" s="1719" t="str">
        <f>$C$126</f>
        <v>North row - 1st-4th module</v>
      </c>
      <c r="M126" s="1720"/>
      <c r="N126" s="1721"/>
      <c r="O126" s="1719" t="str">
        <f>$C$126</f>
        <v>North row - 1st-4th module</v>
      </c>
      <c r="P126" s="1720"/>
      <c r="Q126" s="1721"/>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v>
      </c>
      <c r="E128" s="535">
        <v>386</v>
      </c>
      <c r="F128" s="442">
        <v>1</v>
      </c>
      <c r="G128" s="528">
        <v>-0.96</v>
      </c>
      <c r="H128" s="535">
        <v>410</v>
      </c>
      <c r="I128" s="442">
        <v>1</v>
      </c>
      <c r="J128" s="528">
        <v>-0.46</v>
      </c>
      <c r="K128" s="535">
        <v>198</v>
      </c>
      <c r="L128" s="442">
        <v>1</v>
      </c>
      <c r="M128" s="528">
        <v>-0.46</v>
      </c>
      <c r="N128" s="535">
        <v>188</v>
      </c>
      <c r="O128" s="442">
        <v>1</v>
      </c>
      <c r="P128" s="528">
        <v>-0.42</v>
      </c>
      <c r="Q128" s="535">
        <v>172</v>
      </c>
    </row>
    <row r="129" spans="2:17" ht="15" customHeight="1" x14ac:dyDescent="0.25">
      <c r="B129" s="434" t="s">
        <v>38</v>
      </c>
      <c r="C129" s="443">
        <v>18</v>
      </c>
      <c r="D129" s="529">
        <v>-0.33</v>
      </c>
      <c r="E129" s="536">
        <v>121</v>
      </c>
      <c r="F129" s="443">
        <v>7</v>
      </c>
      <c r="G129" s="529">
        <v>-0.68</v>
      </c>
      <c r="H129" s="536">
        <v>286</v>
      </c>
      <c r="I129" s="443">
        <v>6</v>
      </c>
      <c r="J129" s="529">
        <v>-0.43</v>
      </c>
      <c r="K129" s="536">
        <v>176</v>
      </c>
      <c r="L129" s="443">
        <v>6</v>
      </c>
      <c r="M129" s="529">
        <v>-0.39</v>
      </c>
      <c r="N129" s="536">
        <v>158</v>
      </c>
      <c r="O129" s="443">
        <v>6</v>
      </c>
      <c r="P129" s="529">
        <v>-0.42</v>
      </c>
      <c r="Q129" s="536">
        <v>167</v>
      </c>
    </row>
    <row r="130" spans="2:17" ht="15" customHeight="1" x14ac:dyDescent="0.25">
      <c r="B130" s="434" t="s">
        <v>39</v>
      </c>
      <c r="C130" s="443">
        <v>80</v>
      </c>
      <c r="D130" s="529">
        <v>-0.19</v>
      </c>
      <c r="E130" s="536">
        <v>60</v>
      </c>
      <c r="F130" s="443">
        <v>25</v>
      </c>
      <c r="G130" s="529">
        <v>-0.27</v>
      </c>
      <c r="H130" s="536">
        <v>100</v>
      </c>
      <c r="I130" s="443">
        <v>12</v>
      </c>
      <c r="J130" s="529">
        <v>-0.28000000000000003</v>
      </c>
      <c r="K130" s="536">
        <v>108</v>
      </c>
      <c r="L130" s="443">
        <v>12</v>
      </c>
      <c r="M130" s="529">
        <v>-0.26</v>
      </c>
      <c r="N130" s="536">
        <v>96</v>
      </c>
      <c r="O130" s="443">
        <v>12</v>
      </c>
      <c r="P130" s="529">
        <v>-0.28000000000000003</v>
      </c>
      <c r="Q130" s="536">
        <v>104</v>
      </c>
    </row>
    <row r="131" spans="2:17" ht="15" customHeight="1" x14ac:dyDescent="0.25">
      <c r="B131" s="434" t="s">
        <v>40</v>
      </c>
      <c r="C131" s="443">
        <v>300</v>
      </c>
      <c r="D131" s="529">
        <v>-0.11</v>
      </c>
      <c r="E131" s="536">
        <v>23</v>
      </c>
      <c r="F131" s="443">
        <v>300</v>
      </c>
      <c r="G131" s="529">
        <v>-0.13</v>
      </c>
      <c r="H131" s="536">
        <v>34</v>
      </c>
      <c r="I131" s="443">
        <v>130</v>
      </c>
      <c r="J131" s="529">
        <v>-0.1</v>
      </c>
      <c r="K131" s="536">
        <v>23</v>
      </c>
      <c r="L131" s="443">
        <v>110</v>
      </c>
      <c r="M131" s="529">
        <v>-0.1</v>
      </c>
      <c r="N131" s="536">
        <v>23</v>
      </c>
      <c r="O131" s="443">
        <v>100</v>
      </c>
      <c r="P131" s="529">
        <v>-0.1</v>
      </c>
      <c r="Q131" s="536">
        <v>22</v>
      </c>
    </row>
    <row r="132" spans="2:17" ht="15" customHeight="1" thickBot="1" x14ac:dyDescent="0.3">
      <c r="B132" s="435" t="s">
        <v>64</v>
      </c>
      <c r="C132" s="444">
        <v>10000</v>
      </c>
      <c r="D132" s="530">
        <v>-0.11</v>
      </c>
      <c r="E132" s="537">
        <v>23</v>
      </c>
      <c r="F132" s="444">
        <v>10000</v>
      </c>
      <c r="G132" s="530">
        <v>-0.13</v>
      </c>
      <c r="H132" s="537">
        <v>34</v>
      </c>
      <c r="I132" s="444">
        <v>10000</v>
      </c>
      <c r="J132" s="530">
        <v>-0.1</v>
      </c>
      <c r="K132" s="537">
        <v>23</v>
      </c>
      <c r="L132" s="444">
        <v>10000</v>
      </c>
      <c r="M132" s="530">
        <v>-0.1</v>
      </c>
      <c r="N132" s="537">
        <v>23</v>
      </c>
      <c r="O132" s="444">
        <v>10000</v>
      </c>
      <c r="P132" s="530">
        <v>-0.1</v>
      </c>
      <c r="Q132" s="537">
        <v>22</v>
      </c>
    </row>
    <row r="133" spans="2:17" ht="15" customHeight="1" x14ac:dyDescent="0.25">
      <c r="B133" s="429"/>
      <c r="C133" s="1719" t="str">
        <f>CONCATENATE(B26," - ",C27)</f>
        <v>North row - Interior modules</v>
      </c>
      <c r="D133" s="1720"/>
      <c r="E133" s="1721"/>
      <c r="F133" s="1719" t="str">
        <f>$C$133</f>
        <v>North row - Interior modules</v>
      </c>
      <c r="G133" s="1720"/>
      <c r="H133" s="1721"/>
      <c r="I133" s="1719" t="str">
        <f>$C$133</f>
        <v>North row - Interior modules</v>
      </c>
      <c r="J133" s="1720"/>
      <c r="K133" s="1721"/>
      <c r="L133" s="1719" t="str">
        <f>$C$133</f>
        <v>North row - Interior modules</v>
      </c>
      <c r="M133" s="1720"/>
      <c r="N133" s="1721"/>
      <c r="O133" s="1719" t="str">
        <f>$C$133</f>
        <v>North row - Interior modules</v>
      </c>
      <c r="P133" s="1720"/>
      <c r="Q133" s="1721"/>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-0.36</v>
      </c>
      <c r="E135" s="535">
        <v>132</v>
      </c>
      <c r="F135" s="442">
        <v>1</v>
      </c>
      <c r="G135" s="528">
        <v>-0.93</v>
      </c>
      <c r="H135" s="535">
        <v>394</v>
      </c>
      <c r="I135" s="442">
        <v>1</v>
      </c>
      <c r="J135" s="528">
        <v>-0.39</v>
      </c>
      <c r="K135" s="535">
        <v>154</v>
      </c>
      <c r="L135" s="442">
        <v>1</v>
      </c>
      <c r="M135" s="528">
        <v>-0.45</v>
      </c>
      <c r="N135" s="535">
        <v>177</v>
      </c>
      <c r="O135" s="442">
        <v>1</v>
      </c>
      <c r="P135" s="528">
        <v>-0.41</v>
      </c>
      <c r="Q135" s="535">
        <v>170</v>
      </c>
    </row>
    <row r="136" spans="2:17" ht="15" customHeight="1" x14ac:dyDescent="0.25">
      <c r="B136" s="434" t="str">
        <f>$B$129</f>
        <v>i = b</v>
      </c>
      <c r="C136" s="443">
        <v>18</v>
      </c>
      <c r="D136" s="529">
        <v>-0.18</v>
      </c>
      <c r="E136" s="536">
        <v>59</v>
      </c>
      <c r="F136" s="443">
        <v>6</v>
      </c>
      <c r="G136" s="529">
        <v>-0.82</v>
      </c>
      <c r="H136" s="536">
        <v>341</v>
      </c>
      <c r="I136" s="443">
        <v>6</v>
      </c>
      <c r="J136" s="529">
        <v>-0.36</v>
      </c>
      <c r="K136" s="536">
        <v>140</v>
      </c>
      <c r="L136" s="443">
        <v>6</v>
      </c>
      <c r="M136" s="529">
        <v>-0.39</v>
      </c>
      <c r="N136" s="536">
        <v>150</v>
      </c>
      <c r="O136" s="443">
        <v>6</v>
      </c>
      <c r="P136" s="529">
        <v>-0.4</v>
      </c>
      <c r="Q136" s="536">
        <v>152</v>
      </c>
    </row>
    <row r="137" spans="2:17" ht="15" customHeight="1" x14ac:dyDescent="0.25">
      <c r="B137" s="434" t="str">
        <f>$B$130</f>
        <v>i = c</v>
      </c>
      <c r="C137" s="443">
        <v>38</v>
      </c>
      <c r="D137" s="529">
        <v>-0.13</v>
      </c>
      <c r="E137" s="536">
        <v>39</v>
      </c>
      <c r="F137" s="443">
        <v>37</v>
      </c>
      <c r="G137" s="529">
        <v>-0.32</v>
      </c>
      <c r="H137" s="536">
        <v>121</v>
      </c>
      <c r="I137" s="443">
        <v>20</v>
      </c>
      <c r="J137" s="529">
        <v>-0.18</v>
      </c>
      <c r="K137" s="536">
        <v>60</v>
      </c>
      <c r="L137" s="443">
        <v>12</v>
      </c>
      <c r="M137" s="529">
        <v>-0.27</v>
      </c>
      <c r="N137" s="536">
        <v>95</v>
      </c>
      <c r="O137" s="443">
        <v>12</v>
      </c>
      <c r="P137" s="529">
        <v>-0.28000000000000003</v>
      </c>
      <c r="Q137" s="536">
        <v>103</v>
      </c>
    </row>
    <row r="138" spans="2:17" ht="15" customHeight="1" x14ac:dyDescent="0.25">
      <c r="B138" s="434" t="str">
        <f>$B$131</f>
        <v>i = d</v>
      </c>
      <c r="C138" s="443">
        <v>60</v>
      </c>
      <c r="D138" s="529">
        <v>-0.11</v>
      </c>
      <c r="E138" s="536">
        <v>23</v>
      </c>
      <c r="F138" s="443">
        <v>280</v>
      </c>
      <c r="G138" s="529">
        <v>-0.13</v>
      </c>
      <c r="H138" s="536">
        <v>34</v>
      </c>
      <c r="I138" s="443">
        <v>130</v>
      </c>
      <c r="J138" s="529">
        <v>-0.1</v>
      </c>
      <c r="K138" s="536">
        <v>23</v>
      </c>
      <c r="L138" s="443">
        <v>110</v>
      </c>
      <c r="M138" s="529">
        <v>-0.1</v>
      </c>
      <c r="N138" s="536">
        <v>23</v>
      </c>
      <c r="O138" s="443">
        <v>100</v>
      </c>
      <c r="P138" s="529">
        <v>-0.1</v>
      </c>
      <c r="Q138" s="536">
        <v>22</v>
      </c>
    </row>
    <row r="139" spans="2:17" ht="15" customHeight="1" thickBot="1" x14ac:dyDescent="0.3">
      <c r="B139" s="435" t="str">
        <f>$B$132</f>
        <v>i = e</v>
      </c>
      <c r="C139" s="444">
        <v>10000</v>
      </c>
      <c r="D139" s="530">
        <v>-0.11</v>
      </c>
      <c r="E139" s="537">
        <v>23</v>
      </c>
      <c r="F139" s="444">
        <v>10000</v>
      </c>
      <c r="G139" s="530">
        <v>-0.13</v>
      </c>
      <c r="H139" s="537">
        <v>34</v>
      </c>
      <c r="I139" s="444">
        <v>10000</v>
      </c>
      <c r="J139" s="530">
        <v>-0.1</v>
      </c>
      <c r="K139" s="537">
        <v>23</v>
      </c>
      <c r="L139" s="444">
        <v>10000</v>
      </c>
      <c r="M139" s="530">
        <v>-0.1</v>
      </c>
      <c r="N139" s="537">
        <v>23</v>
      </c>
      <c r="O139" s="444">
        <v>10000</v>
      </c>
      <c r="P139" s="530">
        <v>-0.1</v>
      </c>
      <c r="Q139" s="537">
        <v>22</v>
      </c>
    </row>
    <row r="140" spans="2:17" ht="30" customHeight="1" x14ac:dyDescent="0.25">
      <c r="B140" s="429"/>
      <c r="C140" s="1725" t="str">
        <f>CONCATENATE(B28," -",CHAR(10),C28)</f>
        <v>Inner rows, 2nd to 6th row from north -
1st-4th module</v>
      </c>
      <c r="D140" s="1726"/>
      <c r="E140" s="1727"/>
      <c r="F140" s="1725" t="str">
        <f>$C$140</f>
        <v>Inner rows, 2nd to 6th row from north -
1st-4th module</v>
      </c>
      <c r="G140" s="1726"/>
      <c r="H140" s="1727"/>
      <c r="I140" s="1725" t="str">
        <f>$C$140</f>
        <v>Inner rows, 2nd to 6th row from north -
1st-4th module</v>
      </c>
      <c r="J140" s="1726"/>
      <c r="K140" s="1727"/>
      <c r="L140" s="1725" t="str">
        <f>$C$140</f>
        <v>Inner rows, 2nd to 6th row from north -
1st-4th module</v>
      </c>
      <c r="M140" s="1726"/>
      <c r="N140" s="1727"/>
      <c r="O140" s="1725" t="str">
        <f>$C$140</f>
        <v>Inner rows, 2nd to 6th row from north -
1st-4th module</v>
      </c>
      <c r="P140" s="1726"/>
      <c r="Q140" s="1727"/>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-1.06</v>
      </c>
      <c r="E142" s="535">
        <v>418</v>
      </c>
      <c r="F142" s="442">
        <v>1</v>
      </c>
      <c r="G142" s="528">
        <v>-0.43</v>
      </c>
      <c r="H142" s="535">
        <v>149</v>
      </c>
      <c r="I142" s="442">
        <v>1</v>
      </c>
      <c r="J142" s="528">
        <v>-0.41</v>
      </c>
      <c r="K142" s="535">
        <v>150</v>
      </c>
      <c r="L142" s="442">
        <v>1</v>
      </c>
      <c r="M142" s="528">
        <v>-0.38</v>
      </c>
      <c r="N142" s="535">
        <v>154</v>
      </c>
      <c r="O142" s="442">
        <v>1</v>
      </c>
      <c r="P142" s="528">
        <v>-0.34</v>
      </c>
      <c r="Q142" s="535">
        <v>134</v>
      </c>
    </row>
    <row r="143" spans="2:17" ht="15" customHeight="1" x14ac:dyDescent="0.25">
      <c r="B143" s="434" t="str">
        <f>$B$129</f>
        <v>i = b</v>
      </c>
      <c r="C143" s="443">
        <v>6</v>
      </c>
      <c r="D143" s="529">
        <v>-0.6</v>
      </c>
      <c r="E143" s="536">
        <v>222</v>
      </c>
      <c r="F143" s="443">
        <v>12</v>
      </c>
      <c r="G143" s="529">
        <v>-0.25</v>
      </c>
      <c r="H143" s="536">
        <v>80</v>
      </c>
      <c r="I143" s="443">
        <v>6</v>
      </c>
      <c r="J143" s="529">
        <v>-0.3</v>
      </c>
      <c r="K143" s="536">
        <v>102</v>
      </c>
      <c r="L143" s="443">
        <v>6</v>
      </c>
      <c r="M143" s="529">
        <v>-0.17</v>
      </c>
      <c r="N143" s="536">
        <v>55</v>
      </c>
      <c r="O143" s="443">
        <v>6</v>
      </c>
      <c r="P143" s="529">
        <v>-0.17</v>
      </c>
      <c r="Q143" s="536">
        <v>51</v>
      </c>
    </row>
    <row r="144" spans="2:17" ht="15" customHeight="1" x14ac:dyDescent="0.25">
      <c r="B144" s="434" t="str">
        <f>$B$130</f>
        <v>i = c</v>
      </c>
      <c r="C144" s="443">
        <v>50</v>
      </c>
      <c r="D144" s="529">
        <v>-0.27</v>
      </c>
      <c r="E144" s="536">
        <v>93</v>
      </c>
      <c r="F144" s="443">
        <v>25</v>
      </c>
      <c r="G144" s="529">
        <v>-0.16</v>
      </c>
      <c r="H144" s="536">
        <v>45</v>
      </c>
      <c r="I144" s="443">
        <v>16</v>
      </c>
      <c r="J144" s="529">
        <v>-0.2</v>
      </c>
      <c r="K144" s="536">
        <v>62</v>
      </c>
      <c r="L144" s="443">
        <v>13</v>
      </c>
      <c r="M144" s="529">
        <v>-0.13</v>
      </c>
      <c r="N144" s="536">
        <v>39</v>
      </c>
      <c r="O144" s="443">
        <v>10</v>
      </c>
      <c r="P144" s="529">
        <v>-0.12</v>
      </c>
      <c r="Q144" s="536">
        <v>31</v>
      </c>
    </row>
    <row r="145" spans="2:17" ht="15" customHeight="1" x14ac:dyDescent="0.25">
      <c r="B145" s="434" t="str">
        <f>$B$131</f>
        <v>i = d</v>
      </c>
      <c r="C145" s="443">
        <v>400</v>
      </c>
      <c r="D145" s="529">
        <v>-0.11</v>
      </c>
      <c r="E145" s="536">
        <v>23</v>
      </c>
      <c r="F145" s="443">
        <v>36</v>
      </c>
      <c r="G145" s="529">
        <v>-0.13</v>
      </c>
      <c r="H145" s="536">
        <v>34</v>
      </c>
      <c r="I145" s="443">
        <v>110</v>
      </c>
      <c r="J145" s="529">
        <v>-0.1</v>
      </c>
      <c r="K145" s="536">
        <v>23</v>
      </c>
      <c r="L145" s="443">
        <v>30</v>
      </c>
      <c r="M145" s="529">
        <v>-0.1</v>
      </c>
      <c r="N145" s="536">
        <v>23</v>
      </c>
      <c r="O145" s="443">
        <v>150</v>
      </c>
      <c r="P145" s="529">
        <v>-0.1</v>
      </c>
      <c r="Q145" s="536">
        <v>22</v>
      </c>
    </row>
    <row r="146" spans="2:17" ht="15" customHeight="1" thickBot="1" x14ac:dyDescent="0.3">
      <c r="B146" s="435" t="str">
        <f>$B$132</f>
        <v>i = e</v>
      </c>
      <c r="C146" s="444">
        <v>10000</v>
      </c>
      <c r="D146" s="530">
        <v>-0.11</v>
      </c>
      <c r="E146" s="537">
        <v>23</v>
      </c>
      <c r="F146" s="444">
        <v>10000</v>
      </c>
      <c r="G146" s="530">
        <v>-0.13</v>
      </c>
      <c r="H146" s="537">
        <v>34</v>
      </c>
      <c r="I146" s="444">
        <v>10000</v>
      </c>
      <c r="J146" s="530">
        <v>-0.1</v>
      </c>
      <c r="K146" s="537">
        <v>23</v>
      </c>
      <c r="L146" s="444">
        <v>10000</v>
      </c>
      <c r="M146" s="530">
        <v>-0.1</v>
      </c>
      <c r="N146" s="537">
        <v>23</v>
      </c>
      <c r="O146" s="444">
        <v>10000</v>
      </c>
      <c r="P146" s="530">
        <v>-0.1</v>
      </c>
      <c r="Q146" s="537">
        <v>22</v>
      </c>
    </row>
    <row r="147" spans="2:17" ht="30" customHeight="1" x14ac:dyDescent="0.25">
      <c r="B147" s="429"/>
      <c r="C147" s="1725" t="str">
        <f>CONCATENATE(B28," -",CHAR(10),C29)</f>
        <v>Inner rows, 2nd to 6th row from north -
Interior modules</v>
      </c>
      <c r="D147" s="1726"/>
      <c r="E147" s="1727"/>
      <c r="F147" s="1725" t="str">
        <f>$C$147</f>
        <v>Inner rows, 2nd to 6th row from north -
Interior modules</v>
      </c>
      <c r="G147" s="1726"/>
      <c r="H147" s="1727"/>
      <c r="I147" s="1725" t="str">
        <f>$C$147</f>
        <v>Inner rows, 2nd to 6th row from north -
Interior modules</v>
      </c>
      <c r="J147" s="1726"/>
      <c r="K147" s="1727"/>
      <c r="L147" s="1725" t="str">
        <f>$C$147</f>
        <v>Inner rows, 2nd to 6th row from north -
Interior modules</v>
      </c>
      <c r="M147" s="1726"/>
      <c r="N147" s="1727"/>
      <c r="O147" s="1725" t="str">
        <f>$C$147</f>
        <v>Inner rows, 2nd to 6th row from north -
Interior modules</v>
      </c>
      <c r="P147" s="1726"/>
      <c r="Q147" s="1727"/>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-0.7</v>
      </c>
      <c r="E149" s="535">
        <v>258</v>
      </c>
      <c r="F149" s="442">
        <v>1</v>
      </c>
      <c r="G149" s="528">
        <v>-0.43</v>
      </c>
      <c r="H149" s="535">
        <v>150</v>
      </c>
      <c r="I149" s="442">
        <v>1</v>
      </c>
      <c r="J149" s="528">
        <v>-0.24</v>
      </c>
      <c r="K149" s="535">
        <v>72</v>
      </c>
      <c r="L149" s="442">
        <v>1</v>
      </c>
      <c r="M149" s="528">
        <v>-0.21</v>
      </c>
      <c r="N149" s="535">
        <v>67</v>
      </c>
      <c r="O149" s="442">
        <v>1</v>
      </c>
      <c r="P149" s="528">
        <v>-0.23</v>
      </c>
      <c r="Q149" s="535">
        <v>70</v>
      </c>
    </row>
    <row r="150" spans="2:17" ht="15" customHeight="1" x14ac:dyDescent="0.25">
      <c r="B150" s="434" t="str">
        <f>$B$129</f>
        <v>i = b</v>
      </c>
      <c r="C150" s="443">
        <v>18</v>
      </c>
      <c r="D150" s="529">
        <v>-0.27</v>
      </c>
      <c r="E150" s="536">
        <v>90</v>
      </c>
      <c r="F150" s="443">
        <v>6</v>
      </c>
      <c r="G150" s="529">
        <v>-0.3</v>
      </c>
      <c r="H150" s="536">
        <v>100</v>
      </c>
      <c r="I150" s="443">
        <v>6</v>
      </c>
      <c r="J150" s="529">
        <v>-0.21</v>
      </c>
      <c r="K150" s="536">
        <v>63</v>
      </c>
      <c r="L150" s="443">
        <v>7</v>
      </c>
      <c r="M150" s="529">
        <v>-0.14000000000000001</v>
      </c>
      <c r="N150" s="536">
        <v>39</v>
      </c>
      <c r="O150" s="443">
        <v>6</v>
      </c>
      <c r="P150" s="529">
        <v>-0.15</v>
      </c>
      <c r="Q150" s="536">
        <v>39</v>
      </c>
    </row>
    <row r="151" spans="2:17" ht="15" customHeight="1" x14ac:dyDescent="0.25">
      <c r="B151" s="434" t="str">
        <f>$B$130</f>
        <v>i = c</v>
      </c>
      <c r="C151" s="443">
        <v>38</v>
      </c>
      <c r="D151" s="529">
        <v>-0.2</v>
      </c>
      <c r="E151" s="536">
        <v>62</v>
      </c>
      <c r="F151" s="443">
        <v>20</v>
      </c>
      <c r="G151" s="529">
        <v>-0.22</v>
      </c>
      <c r="H151" s="536">
        <v>69</v>
      </c>
      <c r="I151" s="443">
        <v>12</v>
      </c>
      <c r="J151" s="529">
        <v>-0.17</v>
      </c>
      <c r="K151" s="536">
        <v>49</v>
      </c>
      <c r="L151" s="443">
        <v>13</v>
      </c>
      <c r="M151" s="529">
        <v>-0.12</v>
      </c>
      <c r="N151" s="536">
        <v>31</v>
      </c>
      <c r="O151" s="443">
        <v>10</v>
      </c>
      <c r="P151" s="529">
        <v>-0.13</v>
      </c>
      <c r="Q151" s="536">
        <v>31</v>
      </c>
    </row>
    <row r="152" spans="2:17" ht="15" customHeight="1" x14ac:dyDescent="0.25">
      <c r="B152" s="434" t="str">
        <f>$B$131</f>
        <v>i = d</v>
      </c>
      <c r="C152" s="443">
        <v>100</v>
      </c>
      <c r="D152" s="529">
        <v>-0.11</v>
      </c>
      <c r="E152" s="536">
        <v>23</v>
      </c>
      <c r="F152" s="443">
        <v>150</v>
      </c>
      <c r="G152" s="529">
        <v>-0.13</v>
      </c>
      <c r="H152" s="536">
        <v>34</v>
      </c>
      <c r="I152" s="443">
        <v>110</v>
      </c>
      <c r="J152" s="529">
        <v>-0.1</v>
      </c>
      <c r="K152" s="536">
        <v>23</v>
      </c>
      <c r="L152" s="443">
        <v>30</v>
      </c>
      <c r="M152" s="529">
        <v>-0.1</v>
      </c>
      <c r="N152" s="536">
        <v>23</v>
      </c>
      <c r="O152" s="443">
        <v>150</v>
      </c>
      <c r="P152" s="529">
        <v>-0.1</v>
      </c>
      <c r="Q152" s="536">
        <v>22</v>
      </c>
    </row>
    <row r="153" spans="2:17" ht="15" customHeight="1" thickBot="1" x14ac:dyDescent="0.3">
      <c r="B153" s="435" t="str">
        <f>$B$132</f>
        <v>i = e</v>
      </c>
      <c r="C153" s="444">
        <v>10000</v>
      </c>
      <c r="D153" s="530">
        <v>-0.11</v>
      </c>
      <c r="E153" s="537">
        <v>23</v>
      </c>
      <c r="F153" s="444">
        <v>10000</v>
      </c>
      <c r="G153" s="530">
        <v>-0.13</v>
      </c>
      <c r="H153" s="537">
        <v>34</v>
      </c>
      <c r="I153" s="444">
        <v>10000</v>
      </c>
      <c r="J153" s="530">
        <v>-0.1</v>
      </c>
      <c r="K153" s="537">
        <v>23</v>
      </c>
      <c r="L153" s="444">
        <v>10000</v>
      </c>
      <c r="M153" s="530">
        <v>-0.1</v>
      </c>
      <c r="N153" s="537">
        <v>23</v>
      </c>
      <c r="O153" s="444">
        <v>10000</v>
      </c>
      <c r="P153" s="530">
        <v>-0.1</v>
      </c>
      <c r="Q153" s="537">
        <v>22</v>
      </c>
    </row>
    <row r="154" spans="2:17" ht="30" customHeight="1" x14ac:dyDescent="0.25">
      <c r="B154" s="429"/>
      <c r="C154" s="1725" t="str">
        <f>CONCATENATE(B30," -",CHAR(10),C30)</f>
        <v>Inner rows, from 7th row from north -
1st-4th module</v>
      </c>
      <c r="D154" s="1726"/>
      <c r="E154" s="1727"/>
      <c r="F154" s="1725" t="str">
        <f>$C$154</f>
        <v>Inner rows, from 7th row from north -
1st-4th module</v>
      </c>
      <c r="G154" s="1726"/>
      <c r="H154" s="1727"/>
      <c r="I154" s="1725" t="str">
        <f>$C$154</f>
        <v>Inner rows, from 7th row from north -
1st-4th module</v>
      </c>
      <c r="J154" s="1726"/>
      <c r="K154" s="1727"/>
      <c r="L154" s="1725" t="str">
        <f>$C$154</f>
        <v>Inner rows, from 7th row from north -
1st-4th module</v>
      </c>
      <c r="M154" s="1726"/>
      <c r="N154" s="1727"/>
      <c r="O154" s="1725" t="str">
        <f>$C$154</f>
        <v>Inner rows, from 7th row from north -
1st-4th module</v>
      </c>
      <c r="P154" s="1726"/>
      <c r="Q154" s="1727"/>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-0.97</v>
      </c>
      <c r="E156" s="535">
        <v>386</v>
      </c>
      <c r="F156" s="442">
        <v>1</v>
      </c>
      <c r="G156" s="528">
        <v>-0.47</v>
      </c>
      <c r="H156" s="535">
        <v>170</v>
      </c>
      <c r="I156" s="442">
        <v>1</v>
      </c>
      <c r="J156" s="528">
        <v>-0.38</v>
      </c>
      <c r="K156" s="535">
        <v>138</v>
      </c>
      <c r="L156" s="442">
        <v>1</v>
      </c>
      <c r="M156" s="528">
        <v>-0.28999999999999998</v>
      </c>
      <c r="N156" s="535">
        <v>110</v>
      </c>
      <c r="O156" s="442">
        <v>1</v>
      </c>
      <c r="P156" s="528">
        <v>-0.28999999999999998</v>
      </c>
      <c r="Q156" s="535">
        <v>104</v>
      </c>
    </row>
    <row r="157" spans="2:17" ht="15" customHeight="1" x14ac:dyDescent="0.25">
      <c r="B157" s="434" t="str">
        <f>$B$129</f>
        <v>i = b</v>
      </c>
      <c r="C157" s="443">
        <v>12</v>
      </c>
      <c r="D157" s="529">
        <v>-0.47</v>
      </c>
      <c r="E157" s="536">
        <v>173</v>
      </c>
      <c r="F157" s="443">
        <v>8</v>
      </c>
      <c r="G157" s="529">
        <v>-0.3</v>
      </c>
      <c r="H157" s="536">
        <v>103</v>
      </c>
      <c r="I157" s="443">
        <v>6</v>
      </c>
      <c r="J157" s="529">
        <v>-0.3</v>
      </c>
      <c r="K157" s="536">
        <v>106</v>
      </c>
      <c r="L157" s="443">
        <v>7</v>
      </c>
      <c r="M157" s="529">
        <v>-0.2</v>
      </c>
      <c r="N157" s="536">
        <v>67</v>
      </c>
      <c r="O157" s="443">
        <v>6</v>
      </c>
      <c r="P157" s="529">
        <v>-0.23</v>
      </c>
      <c r="Q157" s="536">
        <v>78</v>
      </c>
    </row>
    <row r="158" spans="2:17" ht="15" customHeight="1" x14ac:dyDescent="0.25">
      <c r="B158" s="434" t="str">
        <f>$B$130</f>
        <v>i = c</v>
      </c>
      <c r="C158" s="443">
        <v>80</v>
      </c>
      <c r="D158" s="529">
        <v>-0.21</v>
      </c>
      <c r="E158" s="536">
        <v>71</v>
      </c>
      <c r="F158" s="443">
        <v>22</v>
      </c>
      <c r="G158" s="529">
        <v>-0.2</v>
      </c>
      <c r="H158" s="536">
        <v>63</v>
      </c>
      <c r="I158" s="443">
        <v>12</v>
      </c>
      <c r="J158" s="529">
        <v>-0.24</v>
      </c>
      <c r="K158" s="536">
        <v>82</v>
      </c>
      <c r="L158" s="443">
        <v>14</v>
      </c>
      <c r="M158" s="529">
        <v>-0.16</v>
      </c>
      <c r="N158" s="536">
        <v>50</v>
      </c>
      <c r="O158" s="443">
        <v>13</v>
      </c>
      <c r="P158" s="529">
        <v>-0.18</v>
      </c>
      <c r="Q158" s="536">
        <v>57</v>
      </c>
    </row>
    <row r="159" spans="2:17" ht="15" customHeight="1" x14ac:dyDescent="0.25">
      <c r="B159" s="434" t="str">
        <f>$B$131</f>
        <v>i = d</v>
      </c>
      <c r="C159" s="443">
        <v>300</v>
      </c>
      <c r="D159" s="529">
        <v>-0.11</v>
      </c>
      <c r="E159" s="536">
        <v>23</v>
      </c>
      <c r="F159" s="443">
        <v>150</v>
      </c>
      <c r="G159" s="529">
        <v>-0.13</v>
      </c>
      <c r="H159" s="536">
        <v>34</v>
      </c>
      <c r="I159" s="443">
        <v>140</v>
      </c>
      <c r="J159" s="529">
        <v>-0.1</v>
      </c>
      <c r="K159" s="536">
        <v>23</v>
      </c>
      <c r="L159" s="443">
        <v>110</v>
      </c>
      <c r="M159" s="529">
        <v>-0.1</v>
      </c>
      <c r="N159" s="536">
        <v>23</v>
      </c>
      <c r="O159" s="443">
        <v>70</v>
      </c>
      <c r="P159" s="529">
        <v>-0.1</v>
      </c>
      <c r="Q159" s="536">
        <v>22</v>
      </c>
    </row>
    <row r="160" spans="2:17" ht="15" customHeight="1" thickBot="1" x14ac:dyDescent="0.3">
      <c r="B160" s="435" t="str">
        <f>$B$132</f>
        <v>i = e</v>
      </c>
      <c r="C160" s="444">
        <v>10000</v>
      </c>
      <c r="D160" s="530">
        <v>-0.11</v>
      </c>
      <c r="E160" s="537">
        <v>23</v>
      </c>
      <c r="F160" s="444">
        <v>10000</v>
      </c>
      <c r="G160" s="530">
        <v>-0.13</v>
      </c>
      <c r="H160" s="537">
        <v>34</v>
      </c>
      <c r="I160" s="444">
        <v>10000</v>
      </c>
      <c r="J160" s="530">
        <v>-0.1</v>
      </c>
      <c r="K160" s="537">
        <v>23</v>
      </c>
      <c r="L160" s="444">
        <v>10000</v>
      </c>
      <c r="M160" s="530">
        <v>-0.1</v>
      </c>
      <c r="N160" s="537">
        <v>23</v>
      </c>
      <c r="O160" s="444">
        <v>10000</v>
      </c>
      <c r="P160" s="530">
        <v>-0.1</v>
      </c>
      <c r="Q160" s="537">
        <v>22</v>
      </c>
    </row>
    <row r="161" spans="2:17" ht="30" customHeight="1" x14ac:dyDescent="0.25">
      <c r="B161" s="429"/>
      <c r="C161" s="1725" t="str">
        <f>CONCATENATE(B30," -",CHAR(10),C31)</f>
        <v>Inner rows, from 7th row from north -
Interior modules</v>
      </c>
      <c r="D161" s="1726"/>
      <c r="E161" s="1727"/>
      <c r="F161" s="1725" t="str">
        <f>$C$161</f>
        <v>Inner rows, from 7th row from north -
Interior modules</v>
      </c>
      <c r="G161" s="1726"/>
      <c r="H161" s="1727"/>
      <c r="I161" s="1725" t="str">
        <f>$C$161</f>
        <v>Inner rows, from 7th row from north -
Interior modules</v>
      </c>
      <c r="J161" s="1726"/>
      <c r="K161" s="1727"/>
      <c r="L161" s="1725" t="str">
        <f>$C$161</f>
        <v>Inner rows, from 7th row from north -
Interior modules</v>
      </c>
      <c r="M161" s="1726"/>
      <c r="N161" s="1727"/>
      <c r="O161" s="1725" t="str">
        <f>$C$161</f>
        <v>Inner rows, from 7th row from north -
Interior modules</v>
      </c>
      <c r="P161" s="1726"/>
      <c r="Q161" s="1727"/>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-0.64</v>
      </c>
      <c r="E163" s="535">
        <v>244</v>
      </c>
      <c r="F163" s="442">
        <v>1</v>
      </c>
      <c r="G163" s="528">
        <v>-0.39</v>
      </c>
      <c r="H163" s="535">
        <v>142</v>
      </c>
      <c r="I163" s="442">
        <v>1</v>
      </c>
      <c r="J163" s="528">
        <v>-0.22</v>
      </c>
      <c r="K163" s="535">
        <v>71</v>
      </c>
      <c r="L163" s="442">
        <v>1</v>
      </c>
      <c r="M163" s="528">
        <v>-0.21</v>
      </c>
      <c r="N163" s="535">
        <v>66</v>
      </c>
      <c r="O163" s="442">
        <v>1</v>
      </c>
      <c r="P163" s="528">
        <v>-0.24</v>
      </c>
      <c r="Q163" s="535">
        <v>78</v>
      </c>
    </row>
    <row r="164" spans="2:17" ht="15" customHeight="1" x14ac:dyDescent="0.25">
      <c r="B164" s="434" t="str">
        <f>$B$129</f>
        <v>i = b</v>
      </c>
      <c r="C164" s="443">
        <v>12</v>
      </c>
      <c r="D164" s="529">
        <v>-0.35</v>
      </c>
      <c r="E164" s="536">
        <v>126</v>
      </c>
      <c r="F164" s="443">
        <v>6</v>
      </c>
      <c r="G164" s="529">
        <v>-0.33</v>
      </c>
      <c r="H164" s="536">
        <v>117</v>
      </c>
      <c r="I164" s="443">
        <v>12</v>
      </c>
      <c r="J164" s="529">
        <v>-0.17</v>
      </c>
      <c r="K164" s="536">
        <v>51</v>
      </c>
      <c r="L164" s="443">
        <v>7</v>
      </c>
      <c r="M164" s="529">
        <v>-0.19</v>
      </c>
      <c r="N164" s="536">
        <v>58</v>
      </c>
      <c r="O164" s="443">
        <v>6</v>
      </c>
      <c r="P164" s="529">
        <v>-0.21</v>
      </c>
      <c r="Q164" s="536">
        <v>66</v>
      </c>
    </row>
    <row r="165" spans="2:17" ht="15" customHeight="1" x14ac:dyDescent="0.25">
      <c r="B165" s="434" t="str">
        <f>$B$130</f>
        <v>i = c</v>
      </c>
      <c r="C165" s="443">
        <v>80</v>
      </c>
      <c r="D165" s="529">
        <v>-0.17</v>
      </c>
      <c r="E165" s="536">
        <v>56</v>
      </c>
      <c r="F165" s="443">
        <v>22</v>
      </c>
      <c r="G165" s="529">
        <v>-0.25</v>
      </c>
      <c r="H165" s="536">
        <v>82</v>
      </c>
      <c r="I165" s="443">
        <v>52</v>
      </c>
      <c r="J165" s="529">
        <v>-0.12</v>
      </c>
      <c r="K165" s="536">
        <v>31</v>
      </c>
      <c r="L165" s="443">
        <v>14</v>
      </c>
      <c r="M165" s="529">
        <v>-0.16</v>
      </c>
      <c r="N165" s="536">
        <v>46</v>
      </c>
      <c r="O165" s="443">
        <v>14</v>
      </c>
      <c r="P165" s="529">
        <v>-0.17</v>
      </c>
      <c r="Q165" s="536">
        <v>49</v>
      </c>
    </row>
    <row r="166" spans="2:17" ht="15" customHeight="1" x14ac:dyDescent="0.25">
      <c r="B166" s="434" t="str">
        <f>$B$131</f>
        <v>i = d</v>
      </c>
      <c r="C166" s="443">
        <v>300</v>
      </c>
      <c r="D166" s="529">
        <v>-0.11</v>
      </c>
      <c r="E166" s="536">
        <v>23</v>
      </c>
      <c r="F166" s="443">
        <v>150</v>
      </c>
      <c r="G166" s="529">
        <v>-0.13</v>
      </c>
      <c r="H166" s="536">
        <v>34</v>
      </c>
      <c r="I166" s="443">
        <v>150</v>
      </c>
      <c r="J166" s="529">
        <v>-0.1</v>
      </c>
      <c r="K166" s="536">
        <v>23</v>
      </c>
      <c r="L166" s="443">
        <v>110</v>
      </c>
      <c r="M166" s="529">
        <v>-0.1</v>
      </c>
      <c r="N166" s="536">
        <v>23</v>
      </c>
      <c r="O166" s="443">
        <v>100</v>
      </c>
      <c r="P166" s="529">
        <v>-0.1</v>
      </c>
      <c r="Q166" s="536">
        <v>22</v>
      </c>
    </row>
    <row r="167" spans="2:17" ht="15" customHeight="1" thickBot="1" x14ac:dyDescent="0.3">
      <c r="B167" s="435" t="str">
        <f>$B$132</f>
        <v>i = e</v>
      </c>
      <c r="C167" s="444">
        <v>10000</v>
      </c>
      <c r="D167" s="530">
        <v>-0.11</v>
      </c>
      <c r="E167" s="537">
        <v>23</v>
      </c>
      <c r="F167" s="444">
        <v>10000</v>
      </c>
      <c r="G167" s="530">
        <v>-0.13</v>
      </c>
      <c r="H167" s="537">
        <v>34</v>
      </c>
      <c r="I167" s="444">
        <v>10000</v>
      </c>
      <c r="J167" s="530">
        <v>-0.1</v>
      </c>
      <c r="K167" s="537">
        <v>23</v>
      </c>
      <c r="L167" s="444">
        <v>10000</v>
      </c>
      <c r="M167" s="530">
        <v>-0.1</v>
      </c>
      <c r="N167" s="537">
        <v>23</v>
      </c>
      <c r="O167" s="444">
        <v>10000</v>
      </c>
      <c r="P167" s="530">
        <v>-0.1</v>
      </c>
      <c r="Q167" s="537">
        <v>22</v>
      </c>
    </row>
    <row r="168" spans="2:17" ht="15" customHeight="1" x14ac:dyDescent="0.25">
      <c r="B168" s="429"/>
      <c r="C168" s="1719" t="str">
        <f>CONCATENATE(B32," - ",C32)</f>
        <v>South row - 1st-4th module</v>
      </c>
      <c r="D168" s="1720"/>
      <c r="E168" s="1721"/>
      <c r="F168" s="1719" t="str">
        <f>$C$168</f>
        <v>South row - 1st-4th module</v>
      </c>
      <c r="G168" s="1720"/>
      <c r="H168" s="1721"/>
      <c r="I168" s="1719" t="str">
        <f>$C$168</f>
        <v>South row - 1st-4th module</v>
      </c>
      <c r="J168" s="1720"/>
      <c r="K168" s="1721"/>
      <c r="L168" s="1719" t="str">
        <f>$C$168</f>
        <v>South row - 1st-4th module</v>
      </c>
      <c r="M168" s="1720"/>
      <c r="N168" s="1721"/>
      <c r="O168" s="1719" t="str">
        <f>$C$168</f>
        <v>South row - 1st-4th module</v>
      </c>
      <c r="P168" s="1720"/>
      <c r="Q168" s="1721"/>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-0.84</v>
      </c>
      <c r="E170" s="535">
        <v>314</v>
      </c>
      <c r="F170" s="442">
        <v>1</v>
      </c>
      <c r="G170" s="528">
        <v>-0.45</v>
      </c>
      <c r="H170" s="535">
        <v>166</v>
      </c>
      <c r="I170" s="442">
        <v>1</v>
      </c>
      <c r="J170" s="528">
        <v>-0.4</v>
      </c>
      <c r="K170" s="535">
        <v>157</v>
      </c>
      <c r="L170" s="442">
        <v>1</v>
      </c>
      <c r="M170" s="528">
        <v>-0.42</v>
      </c>
      <c r="N170" s="535">
        <v>172</v>
      </c>
      <c r="O170" s="442">
        <v>1</v>
      </c>
      <c r="P170" s="528">
        <v>-0.38</v>
      </c>
      <c r="Q170" s="535">
        <v>146</v>
      </c>
    </row>
    <row r="171" spans="2:17" ht="15" customHeight="1" x14ac:dyDescent="0.25">
      <c r="B171" s="434" t="str">
        <f>$B$129</f>
        <v>i = b</v>
      </c>
      <c r="C171" s="443">
        <v>20</v>
      </c>
      <c r="D171" s="529">
        <v>-0.35</v>
      </c>
      <c r="E171" s="536">
        <v>122</v>
      </c>
      <c r="F171" s="443">
        <v>12</v>
      </c>
      <c r="G171" s="529">
        <v>-0.25</v>
      </c>
      <c r="H171" s="536">
        <v>83</v>
      </c>
      <c r="I171" s="443">
        <v>6</v>
      </c>
      <c r="J171" s="529">
        <v>-0.31</v>
      </c>
      <c r="K171" s="536">
        <v>110</v>
      </c>
      <c r="L171" s="443">
        <v>6</v>
      </c>
      <c r="M171" s="529">
        <v>-0.21</v>
      </c>
      <c r="N171" s="536">
        <v>70</v>
      </c>
      <c r="O171" s="443">
        <v>7</v>
      </c>
      <c r="P171" s="529">
        <v>-0.21</v>
      </c>
      <c r="Q171" s="536">
        <v>70</v>
      </c>
    </row>
    <row r="172" spans="2:17" ht="15" customHeight="1" x14ac:dyDescent="0.25">
      <c r="B172" s="434" t="str">
        <f>$B$130</f>
        <v>i = c</v>
      </c>
      <c r="C172" s="443">
        <v>80</v>
      </c>
      <c r="D172" s="529">
        <v>-0.21</v>
      </c>
      <c r="E172" s="536">
        <v>66</v>
      </c>
      <c r="F172" s="443">
        <v>23</v>
      </c>
      <c r="G172" s="529">
        <v>-0.18</v>
      </c>
      <c r="H172" s="536">
        <v>54</v>
      </c>
      <c r="I172" s="443">
        <v>12</v>
      </c>
      <c r="J172" s="529">
        <v>-0.23</v>
      </c>
      <c r="K172" s="536">
        <v>77</v>
      </c>
      <c r="L172" s="443">
        <v>13</v>
      </c>
      <c r="M172" s="529">
        <v>-0.15</v>
      </c>
      <c r="N172" s="536">
        <v>46</v>
      </c>
      <c r="O172" s="443">
        <v>13</v>
      </c>
      <c r="P172" s="529">
        <v>-0.16</v>
      </c>
      <c r="Q172" s="536">
        <v>47</v>
      </c>
    </row>
    <row r="173" spans="2:17" ht="15" customHeight="1" x14ac:dyDescent="0.25">
      <c r="B173" s="434" t="str">
        <f>$B$131</f>
        <v>i = d</v>
      </c>
      <c r="C173" s="443">
        <v>400</v>
      </c>
      <c r="D173" s="529">
        <v>-0.11</v>
      </c>
      <c r="E173" s="536">
        <v>23</v>
      </c>
      <c r="F173" s="443">
        <v>36</v>
      </c>
      <c r="G173" s="529">
        <v>-0.13</v>
      </c>
      <c r="H173" s="536">
        <v>34</v>
      </c>
      <c r="I173" s="443">
        <v>180</v>
      </c>
      <c r="J173" s="529">
        <v>-0.1</v>
      </c>
      <c r="K173" s="536">
        <v>23</v>
      </c>
      <c r="L173" s="443">
        <v>110</v>
      </c>
      <c r="M173" s="529">
        <v>-0.1</v>
      </c>
      <c r="N173" s="536">
        <v>23</v>
      </c>
      <c r="O173" s="443">
        <v>40</v>
      </c>
      <c r="P173" s="529">
        <v>-0.1</v>
      </c>
      <c r="Q173" s="536">
        <v>22</v>
      </c>
    </row>
    <row r="174" spans="2:17" ht="15" customHeight="1" thickBot="1" x14ac:dyDescent="0.3">
      <c r="B174" s="435" t="str">
        <f>$B$132</f>
        <v>i = e</v>
      </c>
      <c r="C174" s="444">
        <v>10000</v>
      </c>
      <c r="D174" s="530">
        <v>-0.11</v>
      </c>
      <c r="E174" s="537">
        <v>23</v>
      </c>
      <c r="F174" s="444">
        <v>10000</v>
      </c>
      <c r="G174" s="530">
        <v>-0.13</v>
      </c>
      <c r="H174" s="537">
        <v>34</v>
      </c>
      <c r="I174" s="444">
        <v>10000</v>
      </c>
      <c r="J174" s="530">
        <v>-0.1</v>
      </c>
      <c r="K174" s="537">
        <v>23</v>
      </c>
      <c r="L174" s="444">
        <v>10000</v>
      </c>
      <c r="M174" s="530">
        <v>-0.1</v>
      </c>
      <c r="N174" s="537">
        <v>23</v>
      </c>
      <c r="O174" s="444">
        <v>10000</v>
      </c>
      <c r="P174" s="530">
        <v>-0.1</v>
      </c>
      <c r="Q174" s="537">
        <v>22</v>
      </c>
    </row>
    <row r="175" spans="2:17" ht="15" customHeight="1" x14ac:dyDescent="0.25">
      <c r="B175" s="429"/>
      <c r="C175" s="1719" t="str">
        <f>CONCATENATE(B32," - ",C33)</f>
        <v>South row - Interior modules</v>
      </c>
      <c r="D175" s="1720"/>
      <c r="E175" s="1721"/>
      <c r="F175" s="1719" t="str">
        <f>$C$175</f>
        <v>South row - Interior modules</v>
      </c>
      <c r="G175" s="1720"/>
      <c r="H175" s="1721"/>
      <c r="I175" s="1719" t="str">
        <f>$C$175</f>
        <v>South row - Interior modules</v>
      </c>
      <c r="J175" s="1720"/>
      <c r="K175" s="1721"/>
      <c r="L175" s="1719" t="str">
        <f>$C$175</f>
        <v>South row - Interior modules</v>
      </c>
      <c r="M175" s="1720"/>
      <c r="N175" s="1721"/>
      <c r="O175" s="1719" t="str">
        <f>$C$175</f>
        <v>South row - Interior modules</v>
      </c>
      <c r="P175" s="1720"/>
      <c r="Q175" s="1721"/>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-0.76</v>
      </c>
      <c r="E177" s="535">
        <v>296</v>
      </c>
      <c r="F177" s="442">
        <v>1</v>
      </c>
      <c r="G177" s="528">
        <v>-0.42</v>
      </c>
      <c r="H177" s="535">
        <v>154</v>
      </c>
      <c r="I177" s="442">
        <v>1</v>
      </c>
      <c r="J177" s="528">
        <v>-0.3</v>
      </c>
      <c r="K177" s="535">
        <v>109</v>
      </c>
      <c r="L177" s="442">
        <v>1</v>
      </c>
      <c r="M177" s="528">
        <v>-0.22</v>
      </c>
      <c r="N177" s="535">
        <v>71</v>
      </c>
      <c r="O177" s="442">
        <v>1</v>
      </c>
      <c r="P177" s="528">
        <v>-0.25</v>
      </c>
      <c r="Q177" s="535">
        <v>86</v>
      </c>
    </row>
    <row r="178" spans="2:17" ht="15" customHeight="1" x14ac:dyDescent="0.25">
      <c r="B178" s="434" t="str">
        <f>$B$129</f>
        <v>i = b</v>
      </c>
      <c r="C178" s="443">
        <v>20</v>
      </c>
      <c r="D178" s="529">
        <v>-0.31</v>
      </c>
      <c r="E178" s="536">
        <v>107</v>
      </c>
      <c r="F178" s="443">
        <v>8</v>
      </c>
      <c r="G178" s="529">
        <v>-0.28999999999999998</v>
      </c>
      <c r="H178" s="536">
        <v>98</v>
      </c>
      <c r="I178" s="443">
        <v>6</v>
      </c>
      <c r="J178" s="529">
        <v>-0.24</v>
      </c>
      <c r="K178" s="536">
        <v>78</v>
      </c>
      <c r="L178" s="443">
        <v>6</v>
      </c>
      <c r="M178" s="529">
        <v>-0.17</v>
      </c>
      <c r="N178" s="536">
        <v>51</v>
      </c>
      <c r="O178" s="443">
        <v>6</v>
      </c>
      <c r="P178" s="529">
        <v>-0.18</v>
      </c>
      <c r="Q178" s="536">
        <v>56</v>
      </c>
    </row>
    <row r="179" spans="2:17" ht="15" customHeight="1" x14ac:dyDescent="0.25">
      <c r="B179" s="434" t="str">
        <f>$B$130</f>
        <v>i = c</v>
      </c>
      <c r="C179" s="443">
        <v>80</v>
      </c>
      <c r="D179" s="529">
        <v>-0.2</v>
      </c>
      <c r="E179" s="536">
        <v>60</v>
      </c>
      <c r="F179" s="443">
        <v>22</v>
      </c>
      <c r="G179" s="529">
        <v>-0.21</v>
      </c>
      <c r="H179" s="536">
        <v>65</v>
      </c>
      <c r="I179" s="443">
        <v>12</v>
      </c>
      <c r="J179" s="529">
        <v>-0.19</v>
      </c>
      <c r="K179" s="536">
        <v>58</v>
      </c>
      <c r="L179" s="443">
        <v>13</v>
      </c>
      <c r="M179" s="529">
        <v>-0.13</v>
      </c>
      <c r="N179" s="536">
        <v>35</v>
      </c>
      <c r="O179" s="443">
        <v>14</v>
      </c>
      <c r="P179" s="529">
        <v>-0.14000000000000001</v>
      </c>
      <c r="Q179" s="536">
        <v>39</v>
      </c>
    </row>
    <row r="180" spans="2:17" ht="15" customHeight="1" x14ac:dyDescent="0.25">
      <c r="B180" s="434" t="str">
        <f>$B$131</f>
        <v>i = d</v>
      </c>
      <c r="C180" s="443">
        <v>400</v>
      </c>
      <c r="D180" s="529">
        <v>-0.11</v>
      </c>
      <c r="E180" s="536">
        <v>23</v>
      </c>
      <c r="F180" s="443">
        <v>150</v>
      </c>
      <c r="G180" s="529">
        <v>-0.13</v>
      </c>
      <c r="H180" s="536">
        <v>34</v>
      </c>
      <c r="I180" s="443">
        <v>100</v>
      </c>
      <c r="J180" s="529">
        <v>-0.1</v>
      </c>
      <c r="K180" s="536">
        <v>23</v>
      </c>
      <c r="L180" s="443">
        <v>40</v>
      </c>
      <c r="M180" s="529">
        <v>-0.1</v>
      </c>
      <c r="N180" s="536">
        <v>23</v>
      </c>
      <c r="O180" s="443">
        <v>50</v>
      </c>
      <c r="P180" s="529">
        <v>-0.1</v>
      </c>
      <c r="Q180" s="536">
        <v>22</v>
      </c>
    </row>
    <row r="181" spans="2:17" ht="15" customHeight="1" thickBot="1" x14ac:dyDescent="0.3">
      <c r="B181" s="435" t="str">
        <f>$B$132</f>
        <v>i = e</v>
      </c>
      <c r="C181" s="444">
        <v>10000</v>
      </c>
      <c r="D181" s="530">
        <v>-0.11</v>
      </c>
      <c r="E181" s="537">
        <v>23</v>
      </c>
      <c r="F181" s="444">
        <v>10000</v>
      </c>
      <c r="G181" s="530">
        <v>-0.13</v>
      </c>
      <c r="H181" s="537">
        <v>34</v>
      </c>
      <c r="I181" s="444">
        <v>10000</v>
      </c>
      <c r="J181" s="530">
        <v>-0.1</v>
      </c>
      <c r="K181" s="537">
        <v>23</v>
      </c>
      <c r="L181" s="444">
        <v>10000</v>
      </c>
      <c r="M181" s="530">
        <v>-0.1</v>
      </c>
      <c r="N181" s="537">
        <v>23</v>
      </c>
      <c r="O181" s="444">
        <v>10000</v>
      </c>
      <c r="P181" s="530">
        <v>-0.1</v>
      </c>
      <c r="Q181" s="537">
        <v>22</v>
      </c>
    </row>
    <row r="182" spans="2:17" ht="15" customHeight="1" thickBot="1" x14ac:dyDescent="0.3"/>
    <row r="183" spans="2:17" ht="15" customHeight="1" thickBot="1" x14ac:dyDescent="0.3">
      <c r="B183" s="534" t="str">
        <f>K23</f>
        <v>Uplift</v>
      </c>
      <c r="C183" s="1715" t="str">
        <f>$D$24</f>
        <v>Roof position 1</v>
      </c>
      <c r="D183" s="1728"/>
      <c r="E183" s="1729"/>
      <c r="F183" s="1715" t="str">
        <f>$E$24</f>
        <v>Roof position 2</v>
      </c>
      <c r="G183" s="1728"/>
      <c r="H183" s="1729"/>
      <c r="I183" s="1715" t="str">
        <f>$F$24</f>
        <v>Roof position 3</v>
      </c>
      <c r="J183" s="1728"/>
      <c r="K183" s="1729"/>
      <c r="L183" s="1715" t="str">
        <f>$G$24</f>
        <v>Roof position 4</v>
      </c>
      <c r="M183" s="1728"/>
      <c r="N183" s="1729"/>
      <c r="O183" s="1715" t="str">
        <f>$H$24</f>
        <v>Roof position 5</v>
      </c>
      <c r="P183" s="1728"/>
      <c r="Q183" s="1729"/>
    </row>
    <row r="184" spans="2:17" ht="15" customHeight="1" x14ac:dyDescent="0.25">
      <c r="B184" s="429"/>
      <c r="C184" s="1719" t="str">
        <f>$C$126</f>
        <v>North row - 1st-4th module</v>
      </c>
      <c r="D184" s="1720"/>
      <c r="E184" s="1721"/>
      <c r="F184" s="1719" t="str">
        <f>$C$126</f>
        <v>North row - 1st-4th module</v>
      </c>
      <c r="G184" s="1720"/>
      <c r="H184" s="1721"/>
      <c r="I184" s="1719" t="str">
        <f>$C$126</f>
        <v>North row - 1st-4th module</v>
      </c>
      <c r="J184" s="1720"/>
      <c r="K184" s="1721"/>
      <c r="L184" s="1719" t="str">
        <f>$C$126</f>
        <v>North row - 1st-4th module</v>
      </c>
      <c r="M184" s="1720"/>
      <c r="N184" s="1721"/>
      <c r="O184" s="1719" t="str">
        <f>$C$126</f>
        <v>North row - 1st-4th module</v>
      </c>
      <c r="P184" s="1720"/>
      <c r="Q184" s="1721"/>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-1.01</v>
      </c>
      <c r="E186" s="535">
        <v>276</v>
      </c>
      <c r="F186" s="442">
        <v>1</v>
      </c>
      <c r="G186" s="528">
        <v>-0.95</v>
      </c>
      <c r="H186" s="535">
        <v>244</v>
      </c>
      <c r="I186" s="442">
        <v>1</v>
      </c>
      <c r="J186" s="528">
        <v>-0.48</v>
      </c>
      <c r="K186" s="535">
        <v>115</v>
      </c>
      <c r="L186" s="442">
        <v>1</v>
      </c>
      <c r="M186" s="528">
        <v>-0.5</v>
      </c>
      <c r="N186" s="535">
        <v>126</v>
      </c>
      <c r="O186" s="442">
        <v>1</v>
      </c>
      <c r="P186" s="528">
        <v>-0.44</v>
      </c>
      <c r="Q186" s="535">
        <v>100</v>
      </c>
    </row>
    <row r="187" spans="2:17" ht="15" customHeight="1" x14ac:dyDescent="0.25">
      <c r="B187" s="434" t="str">
        <f>$B$129</f>
        <v>i = b</v>
      </c>
      <c r="C187" s="443">
        <v>18</v>
      </c>
      <c r="D187" s="529">
        <v>-0.32</v>
      </c>
      <c r="E187" s="536">
        <v>69</v>
      </c>
      <c r="F187" s="443">
        <v>7</v>
      </c>
      <c r="G187" s="529">
        <v>-0.69</v>
      </c>
      <c r="H187" s="536">
        <v>168</v>
      </c>
      <c r="I187" s="443">
        <v>6</v>
      </c>
      <c r="J187" s="529">
        <v>-0.43</v>
      </c>
      <c r="K187" s="536">
        <v>96</v>
      </c>
      <c r="L187" s="443">
        <v>6</v>
      </c>
      <c r="M187" s="529">
        <v>-0.39</v>
      </c>
      <c r="N187" s="536">
        <v>86</v>
      </c>
      <c r="O187" s="443">
        <v>6</v>
      </c>
      <c r="P187" s="529">
        <v>-0.41</v>
      </c>
      <c r="Q187" s="536">
        <v>92</v>
      </c>
    </row>
    <row r="188" spans="2:17" ht="15" customHeight="1" x14ac:dyDescent="0.25">
      <c r="B188" s="434" t="str">
        <f>$B$130</f>
        <v>i = c</v>
      </c>
      <c r="C188" s="443">
        <v>80</v>
      </c>
      <c r="D188" s="529">
        <v>-0.18</v>
      </c>
      <c r="E188" s="536">
        <v>31</v>
      </c>
      <c r="F188" s="443">
        <v>25</v>
      </c>
      <c r="G188" s="529">
        <v>-0.28000000000000003</v>
      </c>
      <c r="H188" s="536">
        <v>57</v>
      </c>
      <c r="I188" s="443">
        <v>12</v>
      </c>
      <c r="J188" s="529">
        <v>-0.28000000000000003</v>
      </c>
      <c r="K188" s="536">
        <v>56</v>
      </c>
      <c r="L188" s="443">
        <v>12</v>
      </c>
      <c r="M188" s="529">
        <v>-0.26</v>
      </c>
      <c r="N188" s="536">
        <v>50</v>
      </c>
      <c r="O188" s="443">
        <v>12</v>
      </c>
      <c r="P188" s="529">
        <v>-0.27</v>
      </c>
      <c r="Q188" s="536">
        <v>54</v>
      </c>
    </row>
    <row r="189" spans="2:17" ht="15" customHeight="1" x14ac:dyDescent="0.25">
      <c r="B189" s="434" t="str">
        <f>$B$131</f>
        <v>i = d</v>
      </c>
      <c r="C189" s="443">
        <v>300</v>
      </c>
      <c r="D189" s="529">
        <v>-0.11</v>
      </c>
      <c r="E189" s="536">
        <v>10</v>
      </c>
      <c r="F189" s="443">
        <v>300</v>
      </c>
      <c r="G189" s="529">
        <v>-0.13</v>
      </c>
      <c r="H189" s="536">
        <v>16</v>
      </c>
      <c r="I189" s="443">
        <v>130</v>
      </c>
      <c r="J189" s="529">
        <v>-0.1</v>
      </c>
      <c r="K189" s="536">
        <v>7</v>
      </c>
      <c r="L189" s="443">
        <v>110</v>
      </c>
      <c r="M189" s="529">
        <v>-0.1</v>
      </c>
      <c r="N189" s="536">
        <v>7</v>
      </c>
      <c r="O189" s="443">
        <v>100</v>
      </c>
      <c r="P189" s="529">
        <v>-0.1</v>
      </c>
      <c r="Q189" s="536">
        <v>7</v>
      </c>
    </row>
    <row r="190" spans="2:17" ht="15" customHeight="1" thickBot="1" x14ac:dyDescent="0.3">
      <c r="B190" s="435" t="str">
        <f>$B$132</f>
        <v>i = e</v>
      </c>
      <c r="C190" s="444">
        <v>10000</v>
      </c>
      <c r="D190" s="530">
        <v>-0.11</v>
      </c>
      <c r="E190" s="537">
        <v>10</v>
      </c>
      <c r="F190" s="444">
        <v>10000</v>
      </c>
      <c r="G190" s="530">
        <v>-0.13</v>
      </c>
      <c r="H190" s="537">
        <v>16</v>
      </c>
      <c r="I190" s="444">
        <v>10000</v>
      </c>
      <c r="J190" s="530">
        <v>-0.1</v>
      </c>
      <c r="K190" s="537">
        <v>7</v>
      </c>
      <c r="L190" s="444">
        <v>10000</v>
      </c>
      <c r="M190" s="530">
        <v>-0.1</v>
      </c>
      <c r="N190" s="537">
        <v>7</v>
      </c>
      <c r="O190" s="444">
        <v>10000</v>
      </c>
      <c r="P190" s="530">
        <v>-0.1</v>
      </c>
      <c r="Q190" s="537">
        <v>7</v>
      </c>
    </row>
    <row r="191" spans="2:17" ht="15" customHeight="1" x14ac:dyDescent="0.25">
      <c r="B191" s="429"/>
      <c r="C191" s="1719" t="str">
        <f>$C$133</f>
        <v>North row - Interior modules</v>
      </c>
      <c r="D191" s="1720"/>
      <c r="E191" s="1721"/>
      <c r="F191" s="1719" t="str">
        <f>$C$133</f>
        <v>North row - Interior modules</v>
      </c>
      <c r="G191" s="1720"/>
      <c r="H191" s="1721"/>
      <c r="I191" s="1719" t="str">
        <f>$C$133</f>
        <v>North row - Interior modules</v>
      </c>
      <c r="J191" s="1720"/>
      <c r="K191" s="1721"/>
      <c r="L191" s="1719" t="str">
        <f>$C$133</f>
        <v>North row - Interior modules</v>
      </c>
      <c r="M191" s="1720"/>
      <c r="N191" s="1721"/>
      <c r="O191" s="1719" t="str">
        <f>$C$133</f>
        <v>North row - Interior modules</v>
      </c>
      <c r="P191" s="1720"/>
      <c r="Q191" s="1721"/>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-0.35</v>
      </c>
      <c r="E193" s="535">
        <v>80</v>
      </c>
      <c r="F193" s="442">
        <v>1</v>
      </c>
      <c r="G193" s="528">
        <v>-0.94</v>
      </c>
      <c r="H193" s="535">
        <v>243</v>
      </c>
      <c r="I193" s="442">
        <v>1</v>
      </c>
      <c r="J193" s="528">
        <v>-0.41</v>
      </c>
      <c r="K193" s="535">
        <v>95</v>
      </c>
      <c r="L193" s="442">
        <v>1</v>
      </c>
      <c r="M193" s="528">
        <v>-0.47</v>
      </c>
      <c r="N193" s="535">
        <v>116</v>
      </c>
      <c r="O193" s="442">
        <v>1</v>
      </c>
      <c r="P193" s="528">
        <v>-0.43</v>
      </c>
      <c r="Q193" s="535">
        <v>100</v>
      </c>
    </row>
    <row r="194" spans="2:17" ht="15" customHeight="1" x14ac:dyDescent="0.25">
      <c r="B194" s="434" t="str">
        <f>$B$129</f>
        <v>i = b</v>
      </c>
      <c r="C194" s="443">
        <v>18</v>
      </c>
      <c r="D194" s="529">
        <v>-0.18</v>
      </c>
      <c r="E194" s="536">
        <v>31</v>
      </c>
      <c r="F194" s="443">
        <v>6</v>
      </c>
      <c r="G194" s="529">
        <v>-0.8</v>
      </c>
      <c r="H194" s="536">
        <v>196</v>
      </c>
      <c r="I194" s="443">
        <v>6</v>
      </c>
      <c r="J194" s="529">
        <v>-0.36</v>
      </c>
      <c r="K194" s="536">
        <v>78</v>
      </c>
      <c r="L194" s="443">
        <v>6</v>
      </c>
      <c r="M194" s="529">
        <v>-0.39</v>
      </c>
      <c r="N194" s="536">
        <v>89</v>
      </c>
      <c r="O194" s="443">
        <v>6</v>
      </c>
      <c r="P194" s="529">
        <v>-0.4</v>
      </c>
      <c r="Q194" s="536">
        <v>90</v>
      </c>
    </row>
    <row r="195" spans="2:17" ht="15" customHeight="1" x14ac:dyDescent="0.25">
      <c r="B195" s="434" t="str">
        <f>$B$130</f>
        <v>i = c</v>
      </c>
      <c r="C195" s="443">
        <v>38</v>
      </c>
      <c r="D195" s="529">
        <v>-0.13</v>
      </c>
      <c r="E195" s="536">
        <v>16</v>
      </c>
      <c r="F195" s="443">
        <v>37</v>
      </c>
      <c r="G195" s="529">
        <v>-0.32</v>
      </c>
      <c r="H195" s="536">
        <v>70</v>
      </c>
      <c r="I195" s="443">
        <v>20</v>
      </c>
      <c r="J195" s="529">
        <v>-0.18</v>
      </c>
      <c r="K195" s="536">
        <v>34</v>
      </c>
      <c r="L195" s="443">
        <v>12</v>
      </c>
      <c r="M195" s="529">
        <v>-0.27</v>
      </c>
      <c r="N195" s="536">
        <v>54</v>
      </c>
      <c r="O195" s="443">
        <v>12</v>
      </c>
      <c r="P195" s="529">
        <v>-0.28000000000000003</v>
      </c>
      <c r="Q195" s="536">
        <v>57</v>
      </c>
    </row>
    <row r="196" spans="2:17" ht="15" customHeight="1" x14ac:dyDescent="0.25">
      <c r="B196" s="434" t="str">
        <f>$B$131</f>
        <v>i = d</v>
      </c>
      <c r="C196" s="443">
        <v>60</v>
      </c>
      <c r="D196" s="529">
        <v>-0.11</v>
      </c>
      <c r="E196" s="536">
        <v>10</v>
      </c>
      <c r="F196" s="443">
        <v>280</v>
      </c>
      <c r="G196" s="529">
        <v>-0.13</v>
      </c>
      <c r="H196" s="536">
        <v>16</v>
      </c>
      <c r="I196" s="443">
        <v>130</v>
      </c>
      <c r="J196" s="529">
        <v>-0.1</v>
      </c>
      <c r="K196" s="536">
        <v>7</v>
      </c>
      <c r="L196" s="443">
        <v>110</v>
      </c>
      <c r="M196" s="529">
        <v>-0.1</v>
      </c>
      <c r="N196" s="536">
        <v>7</v>
      </c>
      <c r="O196" s="443">
        <v>100</v>
      </c>
      <c r="P196" s="529">
        <v>-0.1</v>
      </c>
      <c r="Q196" s="536">
        <v>7</v>
      </c>
    </row>
    <row r="197" spans="2:17" ht="15" customHeight="1" thickBot="1" x14ac:dyDescent="0.3">
      <c r="B197" s="435" t="str">
        <f>$B$132</f>
        <v>i = e</v>
      </c>
      <c r="C197" s="444">
        <v>10000</v>
      </c>
      <c r="D197" s="530">
        <v>-0.11</v>
      </c>
      <c r="E197" s="537">
        <v>10</v>
      </c>
      <c r="F197" s="444">
        <v>10000</v>
      </c>
      <c r="G197" s="530">
        <v>-0.13</v>
      </c>
      <c r="H197" s="537">
        <v>16</v>
      </c>
      <c r="I197" s="444">
        <v>10000</v>
      </c>
      <c r="J197" s="530">
        <v>-0.1</v>
      </c>
      <c r="K197" s="537">
        <v>7</v>
      </c>
      <c r="L197" s="444">
        <v>10000</v>
      </c>
      <c r="M197" s="530">
        <v>-0.1</v>
      </c>
      <c r="N197" s="537">
        <v>7</v>
      </c>
      <c r="O197" s="444">
        <v>10000</v>
      </c>
      <c r="P197" s="530">
        <v>-0.1</v>
      </c>
      <c r="Q197" s="537">
        <v>7</v>
      </c>
    </row>
    <row r="198" spans="2:17" ht="30" customHeight="1" x14ac:dyDescent="0.25">
      <c r="B198" s="429"/>
      <c r="C198" s="1725" t="str">
        <f>$C$140</f>
        <v>Inner rows, 2nd to 6th row from north -
1st-4th module</v>
      </c>
      <c r="D198" s="1726"/>
      <c r="E198" s="1727"/>
      <c r="F198" s="1725" t="str">
        <f>$C$140</f>
        <v>Inner rows, 2nd to 6th row from north -
1st-4th module</v>
      </c>
      <c r="G198" s="1726"/>
      <c r="H198" s="1727"/>
      <c r="I198" s="1725" t="str">
        <f>$C$140</f>
        <v>Inner rows, 2nd to 6th row from north -
1st-4th module</v>
      </c>
      <c r="J198" s="1726"/>
      <c r="K198" s="1727"/>
      <c r="L198" s="1725" t="str">
        <f>$C$140</f>
        <v>Inner rows, 2nd to 6th row from north -
1st-4th module</v>
      </c>
      <c r="M198" s="1726"/>
      <c r="N198" s="1727"/>
      <c r="O198" s="1725" t="str">
        <f>$C$140</f>
        <v>Inner rows, 2nd to 6th row from north -
1st-4th module</v>
      </c>
      <c r="P198" s="1726"/>
      <c r="Q198" s="1727"/>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-1.06</v>
      </c>
      <c r="E200" s="535">
        <v>274</v>
      </c>
      <c r="F200" s="442">
        <v>1</v>
      </c>
      <c r="G200" s="528">
        <v>-0.44</v>
      </c>
      <c r="H200" s="535">
        <v>114</v>
      </c>
      <c r="I200" s="442">
        <v>1</v>
      </c>
      <c r="J200" s="528">
        <v>-0.42</v>
      </c>
      <c r="K200" s="535">
        <v>101</v>
      </c>
      <c r="L200" s="442">
        <v>1</v>
      </c>
      <c r="M200" s="528">
        <v>-0.38</v>
      </c>
      <c r="N200" s="535">
        <v>92</v>
      </c>
      <c r="O200" s="442">
        <v>1</v>
      </c>
      <c r="P200" s="528">
        <v>-0.33</v>
      </c>
      <c r="Q200" s="535">
        <v>74</v>
      </c>
    </row>
    <row r="201" spans="2:17" ht="15" customHeight="1" x14ac:dyDescent="0.25">
      <c r="B201" s="434" t="str">
        <f>$B$129</f>
        <v>i = b</v>
      </c>
      <c r="C201" s="443">
        <v>6</v>
      </c>
      <c r="D201" s="529">
        <v>-0.6</v>
      </c>
      <c r="E201" s="536">
        <v>158</v>
      </c>
      <c r="F201" s="443">
        <v>12</v>
      </c>
      <c r="G201" s="529">
        <v>-0.24</v>
      </c>
      <c r="H201" s="536">
        <v>51</v>
      </c>
      <c r="I201" s="443">
        <v>6</v>
      </c>
      <c r="J201" s="529">
        <v>-0.3</v>
      </c>
      <c r="K201" s="536">
        <v>68</v>
      </c>
      <c r="L201" s="443">
        <v>6</v>
      </c>
      <c r="M201" s="529">
        <v>-0.18</v>
      </c>
      <c r="N201" s="536">
        <v>30</v>
      </c>
      <c r="O201" s="443">
        <v>6</v>
      </c>
      <c r="P201" s="529">
        <v>-0.17</v>
      </c>
      <c r="Q201" s="536">
        <v>27</v>
      </c>
    </row>
    <row r="202" spans="2:17" ht="15" customHeight="1" x14ac:dyDescent="0.25">
      <c r="B202" s="434" t="str">
        <f>$B$130</f>
        <v>i = c</v>
      </c>
      <c r="C202" s="443">
        <v>50</v>
      </c>
      <c r="D202" s="529">
        <v>-0.26</v>
      </c>
      <c r="E202" s="536">
        <v>51</v>
      </c>
      <c r="F202" s="443">
        <v>25</v>
      </c>
      <c r="G202" s="529">
        <v>-0.17</v>
      </c>
      <c r="H202" s="536">
        <v>30</v>
      </c>
      <c r="I202" s="443">
        <v>16</v>
      </c>
      <c r="J202" s="529">
        <v>-0.2</v>
      </c>
      <c r="K202" s="536">
        <v>36</v>
      </c>
      <c r="L202" s="443">
        <v>13</v>
      </c>
      <c r="M202" s="529">
        <v>-0.13</v>
      </c>
      <c r="N202" s="536">
        <v>15</v>
      </c>
      <c r="O202" s="443">
        <v>10</v>
      </c>
      <c r="P202" s="529">
        <v>-0.13</v>
      </c>
      <c r="Q202" s="536">
        <v>14</v>
      </c>
    </row>
    <row r="203" spans="2:17" ht="15" customHeight="1" x14ac:dyDescent="0.25">
      <c r="B203" s="434" t="str">
        <f>$B$131</f>
        <v>i = d</v>
      </c>
      <c r="C203" s="443">
        <v>400</v>
      </c>
      <c r="D203" s="529">
        <v>-0.11</v>
      </c>
      <c r="E203" s="536">
        <v>10</v>
      </c>
      <c r="F203" s="443">
        <v>36</v>
      </c>
      <c r="G203" s="529">
        <v>-0.13</v>
      </c>
      <c r="H203" s="536">
        <v>16</v>
      </c>
      <c r="I203" s="443">
        <v>110</v>
      </c>
      <c r="J203" s="529">
        <v>-0.1</v>
      </c>
      <c r="K203" s="536">
        <v>7</v>
      </c>
      <c r="L203" s="443">
        <v>30</v>
      </c>
      <c r="M203" s="529">
        <v>-0.1</v>
      </c>
      <c r="N203" s="536">
        <v>7</v>
      </c>
      <c r="O203" s="443">
        <v>150</v>
      </c>
      <c r="P203" s="529">
        <v>-0.1</v>
      </c>
      <c r="Q203" s="536">
        <v>7</v>
      </c>
    </row>
    <row r="204" spans="2:17" ht="15" customHeight="1" thickBot="1" x14ac:dyDescent="0.3">
      <c r="B204" s="435" t="str">
        <f>$B$132</f>
        <v>i = e</v>
      </c>
      <c r="C204" s="444">
        <v>10000</v>
      </c>
      <c r="D204" s="530">
        <v>-0.11</v>
      </c>
      <c r="E204" s="537">
        <v>10</v>
      </c>
      <c r="F204" s="444">
        <v>10000</v>
      </c>
      <c r="G204" s="530">
        <v>-0.13</v>
      </c>
      <c r="H204" s="537">
        <v>16</v>
      </c>
      <c r="I204" s="444">
        <v>10000</v>
      </c>
      <c r="J204" s="530">
        <v>-0.1</v>
      </c>
      <c r="K204" s="537">
        <v>7</v>
      </c>
      <c r="L204" s="444">
        <v>10000</v>
      </c>
      <c r="M204" s="530">
        <v>-0.1</v>
      </c>
      <c r="N204" s="537">
        <v>7</v>
      </c>
      <c r="O204" s="444">
        <v>10000</v>
      </c>
      <c r="P204" s="530">
        <v>-0.1</v>
      </c>
      <c r="Q204" s="537">
        <v>7</v>
      </c>
    </row>
    <row r="205" spans="2:17" ht="30" customHeight="1" x14ac:dyDescent="0.25">
      <c r="B205" s="429"/>
      <c r="C205" s="1725" t="str">
        <f>$C$147</f>
        <v>Inner rows, 2nd to 6th row from north -
Interior modules</v>
      </c>
      <c r="D205" s="1726"/>
      <c r="E205" s="1727"/>
      <c r="F205" s="1725" t="str">
        <f>$C$147</f>
        <v>Inner rows, 2nd to 6th row from north -
Interior modules</v>
      </c>
      <c r="G205" s="1726"/>
      <c r="H205" s="1727"/>
      <c r="I205" s="1725" t="str">
        <f>$C$147</f>
        <v>Inner rows, 2nd to 6th row from north -
Interior modules</v>
      </c>
      <c r="J205" s="1726"/>
      <c r="K205" s="1727"/>
      <c r="L205" s="1725" t="str">
        <f>$C$147</f>
        <v>Inner rows, 2nd to 6th row from north -
Interior modules</v>
      </c>
      <c r="M205" s="1726"/>
      <c r="N205" s="1727"/>
      <c r="O205" s="1725" t="str">
        <f>$C$147</f>
        <v>Inner rows, 2nd to 6th row from north -
Interior modules</v>
      </c>
      <c r="P205" s="1726"/>
      <c r="Q205" s="1727"/>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-0.7</v>
      </c>
      <c r="E207" s="535">
        <v>186</v>
      </c>
      <c r="F207" s="442">
        <v>1</v>
      </c>
      <c r="G207" s="528">
        <v>-0.43</v>
      </c>
      <c r="H207" s="535">
        <v>112</v>
      </c>
      <c r="I207" s="442">
        <v>1</v>
      </c>
      <c r="J207" s="528">
        <v>-0.24</v>
      </c>
      <c r="K207" s="535">
        <v>49</v>
      </c>
      <c r="L207" s="442">
        <v>1</v>
      </c>
      <c r="M207" s="528">
        <v>-0.21</v>
      </c>
      <c r="N207" s="535">
        <v>38</v>
      </c>
      <c r="O207" s="442">
        <v>1</v>
      </c>
      <c r="P207" s="528">
        <v>-0.21</v>
      </c>
      <c r="Q207" s="535">
        <v>36</v>
      </c>
    </row>
    <row r="208" spans="2:17" ht="15" customHeight="1" x14ac:dyDescent="0.25">
      <c r="B208" s="434" t="str">
        <f>$B$129</f>
        <v>i = b</v>
      </c>
      <c r="C208" s="443">
        <v>18</v>
      </c>
      <c r="D208" s="529">
        <v>-0.27</v>
      </c>
      <c r="E208" s="536">
        <v>58</v>
      </c>
      <c r="F208" s="443">
        <v>6</v>
      </c>
      <c r="G208" s="529">
        <v>-0.28999999999999998</v>
      </c>
      <c r="H208" s="536">
        <v>64</v>
      </c>
      <c r="I208" s="443">
        <v>6</v>
      </c>
      <c r="J208" s="529">
        <v>-0.21</v>
      </c>
      <c r="K208" s="536">
        <v>40</v>
      </c>
      <c r="L208" s="443">
        <v>7</v>
      </c>
      <c r="M208" s="529">
        <v>-0.14000000000000001</v>
      </c>
      <c r="N208" s="536">
        <v>21</v>
      </c>
      <c r="O208" s="443">
        <v>6</v>
      </c>
      <c r="P208" s="529">
        <v>-0.15</v>
      </c>
      <c r="Q208" s="536">
        <v>22</v>
      </c>
    </row>
    <row r="209" spans="2:17" ht="15" customHeight="1" x14ac:dyDescent="0.25">
      <c r="B209" s="434" t="str">
        <f>$B$130</f>
        <v>i = c</v>
      </c>
      <c r="C209" s="443">
        <v>38</v>
      </c>
      <c r="D209" s="529">
        <v>-0.19</v>
      </c>
      <c r="E209" s="536">
        <v>34</v>
      </c>
      <c r="F209" s="443">
        <v>20</v>
      </c>
      <c r="G209" s="529">
        <v>-0.22</v>
      </c>
      <c r="H209" s="536">
        <v>42</v>
      </c>
      <c r="I209" s="443">
        <v>12</v>
      </c>
      <c r="J209" s="529">
        <v>-0.17</v>
      </c>
      <c r="K209" s="536">
        <v>31</v>
      </c>
      <c r="L209" s="443">
        <v>13</v>
      </c>
      <c r="M209" s="529">
        <v>-0.12</v>
      </c>
      <c r="N209" s="536">
        <v>14</v>
      </c>
      <c r="O209" s="443">
        <v>10</v>
      </c>
      <c r="P209" s="529">
        <v>-0.14000000000000001</v>
      </c>
      <c r="Q209" s="536">
        <v>20</v>
      </c>
    </row>
    <row r="210" spans="2:17" ht="15" customHeight="1" x14ac:dyDescent="0.25">
      <c r="B210" s="434" t="str">
        <f>$B$131</f>
        <v>i = d</v>
      </c>
      <c r="C210" s="443">
        <v>100</v>
      </c>
      <c r="D210" s="529">
        <v>-0.11</v>
      </c>
      <c r="E210" s="536">
        <v>10</v>
      </c>
      <c r="F210" s="443">
        <v>150</v>
      </c>
      <c r="G210" s="529">
        <v>-0.13</v>
      </c>
      <c r="H210" s="536">
        <v>16</v>
      </c>
      <c r="I210" s="443">
        <v>110</v>
      </c>
      <c r="J210" s="529">
        <v>-0.1</v>
      </c>
      <c r="K210" s="536">
        <v>7</v>
      </c>
      <c r="L210" s="443">
        <v>30</v>
      </c>
      <c r="M210" s="529">
        <v>-0.1</v>
      </c>
      <c r="N210" s="536">
        <v>7</v>
      </c>
      <c r="O210" s="443">
        <v>150</v>
      </c>
      <c r="P210" s="529">
        <v>-0.1</v>
      </c>
      <c r="Q210" s="536">
        <v>7</v>
      </c>
    </row>
    <row r="211" spans="2:17" ht="15" customHeight="1" thickBot="1" x14ac:dyDescent="0.3">
      <c r="B211" s="435" t="str">
        <f>$B$132</f>
        <v>i = e</v>
      </c>
      <c r="C211" s="444">
        <v>10000</v>
      </c>
      <c r="D211" s="530">
        <v>-0.11</v>
      </c>
      <c r="E211" s="537">
        <v>10</v>
      </c>
      <c r="F211" s="444">
        <v>10000</v>
      </c>
      <c r="G211" s="530">
        <v>-0.13</v>
      </c>
      <c r="H211" s="537">
        <v>16</v>
      </c>
      <c r="I211" s="444">
        <v>10000</v>
      </c>
      <c r="J211" s="530">
        <v>-0.1</v>
      </c>
      <c r="K211" s="537">
        <v>7</v>
      </c>
      <c r="L211" s="444">
        <v>10000</v>
      </c>
      <c r="M211" s="530">
        <v>-0.1</v>
      </c>
      <c r="N211" s="537">
        <v>7</v>
      </c>
      <c r="O211" s="444">
        <v>10000</v>
      </c>
      <c r="P211" s="530">
        <v>-0.1</v>
      </c>
      <c r="Q211" s="537">
        <v>7</v>
      </c>
    </row>
    <row r="212" spans="2:17" ht="30" customHeight="1" x14ac:dyDescent="0.25">
      <c r="B212" s="429"/>
      <c r="C212" s="1725" t="str">
        <f>$C$154</f>
        <v>Inner rows, from 7th row from north -
1st-4th module</v>
      </c>
      <c r="D212" s="1726"/>
      <c r="E212" s="1727"/>
      <c r="F212" s="1725" t="str">
        <f>$C$154</f>
        <v>Inner rows, from 7th row from north -
1st-4th module</v>
      </c>
      <c r="G212" s="1726"/>
      <c r="H212" s="1727"/>
      <c r="I212" s="1725" t="str">
        <f>$C$154</f>
        <v>Inner rows, from 7th row from north -
1st-4th module</v>
      </c>
      <c r="J212" s="1726"/>
      <c r="K212" s="1727"/>
      <c r="L212" s="1725" t="str">
        <f>$C$154</f>
        <v>Inner rows, from 7th row from north -
1st-4th module</v>
      </c>
      <c r="M212" s="1726"/>
      <c r="N212" s="1727"/>
      <c r="O212" s="1725" t="str">
        <f>$C$154</f>
        <v>Inner rows, from 7th row from north -
1st-4th module</v>
      </c>
      <c r="P212" s="1726"/>
      <c r="Q212" s="1727"/>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-0.99</v>
      </c>
      <c r="E214" s="535">
        <v>250</v>
      </c>
      <c r="F214" s="442">
        <v>1</v>
      </c>
      <c r="G214" s="528">
        <v>-0.44</v>
      </c>
      <c r="H214" s="535">
        <v>104</v>
      </c>
      <c r="I214" s="442">
        <v>1</v>
      </c>
      <c r="J214" s="528">
        <v>-0.39</v>
      </c>
      <c r="K214" s="535">
        <v>99</v>
      </c>
      <c r="L214" s="442">
        <v>1</v>
      </c>
      <c r="M214" s="528">
        <v>-0.28999999999999998</v>
      </c>
      <c r="N214" s="535">
        <v>56</v>
      </c>
      <c r="O214" s="442">
        <v>1</v>
      </c>
      <c r="P214" s="528">
        <v>-0.3</v>
      </c>
      <c r="Q214" s="535">
        <v>70</v>
      </c>
    </row>
    <row r="215" spans="2:17" ht="15" customHeight="1" x14ac:dyDescent="0.25">
      <c r="B215" s="434" t="str">
        <f>$B$129</f>
        <v>i = b</v>
      </c>
      <c r="C215" s="443">
        <v>12</v>
      </c>
      <c r="D215" s="529">
        <v>-0.44</v>
      </c>
      <c r="E215" s="536">
        <v>102</v>
      </c>
      <c r="F215" s="443">
        <v>8</v>
      </c>
      <c r="G215" s="529">
        <v>-0.28000000000000003</v>
      </c>
      <c r="H215" s="536">
        <v>58</v>
      </c>
      <c r="I215" s="443">
        <v>6</v>
      </c>
      <c r="J215" s="529">
        <v>-0.28000000000000003</v>
      </c>
      <c r="K215" s="536">
        <v>58</v>
      </c>
      <c r="L215" s="443">
        <v>7</v>
      </c>
      <c r="M215" s="529">
        <v>-0.19</v>
      </c>
      <c r="N215" s="536">
        <v>34</v>
      </c>
      <c r="O215" s="443">
        <v>6</v>
      </c>
      <c r="P215" s="529">
        <v>-0.21</v>
      </c>
      <c r="Q215" s="536">
        <v>38</v>
      </c>
    </row>
    <row r="216" spans="2:17" ht="15" customHeight="1" x14ac:dyDescent="0.25">
      <c r="B216" s="434" t="str">
        <f>$B$130</f>
        <v>i = c</v>
      </c>
      <c r="C216" s="443">
        <v>80</v>
      </c>
      <c r="D216" s="529">
        <v>-0.21</v>
      </c>
      <c r="E216" s="536">
        <v>35</v>
      </c>
      <c r="F216" s="443">
        <v>22</v>
      </c>
      <c r="G216" s="529">
        <v>-0.19</v>
      </c>
      <c r="H216" s="536">
        <v>33</v>
      </c>
      <c r="I216" s="443">
        <v>12</v>
      </c>
      <c r="J216" s="529">
        <v>-0.24</v>
      </c>
      <c r="K216" s="536">
        <v>47</v>
      </c>
      <c r="L216" s="443">
        <v>14</v>
      </c>
      <c r="M216" s="529">
        <v>-0.16</v>
      </c>
      <c r="N216" s="536">
        <v>25</v>
      </c>
      <c r="O216" s="443">
        <v>13</v>
      </c>
      <c r="P216" s="529">
        <v>-0.17</v>
      </c>
      <c r="Q216" s="536">
        <v>27</v>
      </c>
    </row>
    <row r="217" spans="2:17" ht="15" customHeight="1" x14ac:dyDescent="0.25">
      <c r="B217" s="434" t="str">
        <f>$B$131</f>
        <v>i = d</v>
      </c>
      <c r="C217" s="443">
        <v>300</v>
      </c>
      <c r="D217" s="529">
        <v>-0.11</v>
      </c>
      <c r="E217" s="536">
        <v>10</v>
      </c>
      <c r="F217" s="443">
        <v>150</v>
      </c>
      <c r="G217" s="529">
        <v>-0.13</v>
      </c>
      <c r="H217" s="536">
        <v>16</v>
      </c>
      <c r="I217" s="443">
        <v>140</v>
      </c>
      <c r="J217" s="529">
        <v>-0.1</v>
      </c>
      <c r="K217" s="536">
        <v>7</v>
      </c>
      <c r="L217" s="443">
        <v>110</v>
      </c>
      <c r="M217" s="529">
        <v>-0.1</v>
      </c>
      <c r="N217" s="536">
        <v>7</v>
      </c>
      <c r="O217" s="443">
        <v>70</v>
      </c>
      <c r="P217" s="529">
        <v>-0.1</v>
      </c>
      <c r="Q217" s="536">
        <v>7</v>
      </c>
    </row>
    <row r="218" spans="2:17" ht="15" customHeight="1" thickBot="1" x14ac:dyDescent="0.3">
      <c r="B218" s="435" t="str">
        <f>$B$132</f>
        <v>i = e</v>
      </c>
      <c r="C218" s="444">
        <v>10000</v>
      </c>
      <c r="D218" s="530">
        <v>-0.11</v>
      </c>
      <c r="E218" s="537">
        <v>10</v>
      </c>
      <c r="F218" s="444">
        <v>10000</v>
      </c>
      <c r="G218" s="530">
        <v>-0.13</v>
      </c>
      <c r="H218" s="537">
        <v>16</v>
      </c>
      <c r="I218" s="444">
        <v>10000</v>
      </c>
      <c r="J218" s="530">
        <v>-0.1</v>
      </c>
      <c r="K218" s="537">
        <v>7</v>
      </c>
      <c r="L218" s="444">
        <v>10000</v>
      </c>
      <c r="M218" s="530">
        <v>-0.1</v>
      </c>
      <c r="N218" s="537">
        <v>7</v>
      </c>
      <c r="O218" s="444">
        <v>10000</v>
      </c>
      <c r="P218" s="530">
        <v>-0.1</v>
      </c>
      <c r="Q218" s="537">
        <v>7</v>
      </c>
    </row>
    <row r="219" spans="2:17" ht="30" customHeight="1" x14ac:dyDescent="0.25">
      <c r="B219" s="429"/>
      <c r="C219" s="1725" t="str">
        <f>$C$161</f>
        <v>Inner rows, from 7th row from north -
Interior modules</v>
      </c>
      <c r="D219" s="1726"/>
      <c r="E219" s="1727"/>
      <c r="F219" s="1725" t="str">
        <f>$C$161</f>
        <v>Inner rows, from 7th row from north -
Interior modules</v>
      </c>
      <c r="G219" s="1726"/>
      <c r="H219" s="1727"/>
      <c r="I219" s="1725" t="str">
        <f>$C$161</f>
        <v>Inner rows, from 7th row from north -
Interior modules</v>
      </c>
      <c r="J219" s="1726"/>
      <c r="K219" s="1727"/>
      <c r="L219" s="1725" t="str">
        <f>$C$161</f>
        <v>Inner rows, from 7th row from north -
Interior modules</v>
      </c>
      <c r="M219" s="1726"/>
      <c r="N219" s="1727"/>
      <c r="O219" s="1725" t="str">
        <f>$C$161</f>
        <v>Inner rows, from 7th row from north -
Interior modules</v>
      </c>
      <c r="P219" s="1726"/>
      <c r="Q219" s="1727"/>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-0.59</v>
      </c>
      <c r="E221" s="535">
        <v>140</v>
      </c>
      <c r="F221" s="442">
        <v>1</v>
      </c>
      <c r="G221" s="528">
        <v>-0.39</v>
      </c>
      <c r="H221" s="535">
        <v>93</v>
      </c>
      <c r="I221" s="442">
        <v>1</v>
      </c>
      <c r="J221" s="528">
        <v>-0.23</v>
      </c>
      <c r="K221" s="535">
        <v>48</v>
      </c>
      <c r="L221" s="442">
        <v>1</v>
      </c>
      <c r="M221" s="528">
        <v>-0.23</v>
      </c>
      <c r="N221" s="535">
        <v>43</v>
      </c>
      <c r="O221" s="442">
        <v>1</v>
      </c>
      <c r="P221" s="528">
        <v>-0.26</v>
      </c>
      <c r="Q221" s="535">
        <v>52</v>
      </c>
    </row>
    <row r="222" spans="2:17" ht="15" customHeight="1" x14ac:dyDescent="0.25">
      <c r="B222" s="434" t="str">
        <f>$B$129</f>
        <v>i = b</v>
      </c>
      <c r="C222" s="443">
        <v>12</v>
      </c>
      <c r="D222" s="529">
        <v>-0.34</v>
      </c>
      <c r="E222" s="536">
        <v>74</v>
      </c>
      <c r="F222" s="443">
        <v>6</v>
      </c>
      <c r="G222" s="529">
        <v>-0.32</v>
      </c>
      <c r="H222" s="536">
        <v>69</v>
      </c>
      <c r="I222" s="443">
        <v>12</v>
      </c>
      <c r="J222" s="529">
        <v>-0.16</v>
      </c>
      <c r="K222" s="536">
        <v>24</v>
      </c>
      <c r="L222" s="443">
        <v>7</v>
      </c>
      <c r="M222" s="529">
        <v>-0.17</v>
      </c>
      <c r="N222" s="536">
        <v>28</v>
      </c>
      <c r="O222" s="443">
        <v>6</v>
      </c>
      <c r="P222" s="529">
        <v>-0.19</v>
      </c>
      <c r="Q222" s="536">
        <v>33</v>
      </c>
    </row>
    <row r="223" spans="2:17" ht="15" customHeight="1" x14ac:dyDescent="0.25">
      <c r="B223" s="434" t="str">
        <f>$B$130</f>
        <v>i = c</v>
      </c>
      <c r="C223" s="443">
        <v>80</v>
      </c>
      <c r="D223" s="529">
        <v>-0.17</v>
      </c>
      <c r="E223" s="536">
        <v>28</v>
      </c>
      <c r="F223" s="443">
        <v>22</v>
      </c>
      <c r="G223" s="529">
        <v>-0.25</v>
      </c>
      <c r="H223" s="536">
        <v>48</v>
      </c>
      <c r="I223" s="443">
        <v>52</v>
      </c>
      <c r="J223" s="529">
        <v>-0.13</v>
      </c>
      <c r="K223" s="536">
        <v>16</v>
      </c>
      <c r="L223" s="443">
        <v>14</v>
      </c>
      <c r="M223" s="529">
        <v>-0.15</v>
      </c>
      <c r="N223" s="536">
        <v>22</v>
      </c>
      <c r="O223" s="443">
        <v>14</v>
      </c>
      <c r="P223" s="529">
        <v>-0.16</v>
      </c>
      <c r="Q223" s="536">
        <v>25</v>
      </c>
    </row>
    <row r="224" spans="2:17" ht="15" customHeight="1" x14ac:dyDescent="0.25">
      <c r="B224" s="434" t="str">
        <f>$B$131</f>
        <v>i = d</v>
      </c>
      <c r="C224" s="443">
        <v>300</v>
      </c>
      <c r="D224" s="529">
        <v>-0.11</v>
      </c>
      <c r="E224" s="536">
        <v>10</v>
      </c>
      <c r="F224" s="443">
        <v>150</v>
      </c>
      <c r="G224" s="529">
        <v>-0.13</v>
      </c>
      <c r="H224" s="536">
        <v>16</v>
      </c>
      <c r="I224" s="443">
        <v>150</v>
      </c>
      <c r="J224" s="529">
        <v>-0.1</v>
      </c>
      <c r="K224" s="536">
        <v>7</v>
      </c>
      <c r="L224" s="443">
        <v>110</v>
      </c>
      <c r="M224" s="529">
        <v>-0.1</v>
      </c>
      <c r="N224" s="536">
        <v>7</v>
      </c>
      <c r="O224" s="443">
        <v>100</v>
      </c>
      <c r="P224" s="529">
        <v>-0.1</v>
      </c>
      <c r="Q224" s="536">
        <v>7</v>
      </c>
    </row>
    <row r="225" spans="2:17" ht="15" customHeight="1" thickBot="1" x14ac:dyDescent="0.3">
      <c r="B225" s="435" t="str">
        <f>$B$132</f>
        <v>i = e</v>
      </c>
      <c r="C225" s="444">
        <v>10000</v>
      </c>
      <c r="D225" s="530">
        <v>-0.11</v>
      </c>
      <c r="E225" s="537">
        <v>10</v>
      </c>
      <c r="F225" s="444">
        <v>10000</v>
      </c>
      <c r="G225" s="530">
        <v>-0.13</v>
      </c>
      <c r="H225" s="537">
        <v>16</v>
      </c>
      <c r="I225" s="444">
        <v>10000</v>
      </c>
      <c r="J225" s="530">
        <v>-0.1</v>
      </c>
      <c r="K225" s="537">
        <v>7</v>
      </c>
      <c r="L225" s="444">
        <v>10000</v>
      </c>
      <c r="M225" s="530">
        <v>-0.1</v>
      </c>
      <c r="N225" s="537">
        <v>7</v>
      </c>
      <c r="O225" s="444">
        <v>10000</v>
      </c>
      <c r="P225" s="530">
        <v>-0.1</v>
      </c>
      <c r="Q225" s="537">
        <v>7</v>
      </c>
    </row>
    <row r="226" spans="2:17" ht="15" customHeight="1" x14ac:dyDescent="0.25">
      <c r="B226" s="429"/>
      <c r="C226" s="1719" t="str">
        <f>$C$168</f>
        <v>South row - 1st-4th module</v>
      </c>
      <c r="D226" s="1720"/>
      <c r="E226" s="1721"/>
      <c r="F226" s="1719" t="str">
        <f>$C$168</f>
        <v>South row - 1st-4th module</v>
      </c>
      <c r="G226" s="1720"/>
      <c r="H226" s="1721"/>
      <c r="I226" s="1719" t="str">
        <f>$C$168</f>
        <v>South row - 1st-4th module</v>
      </c>
      <c r="J226" s="1720"/>
      <c r="K226" s="1721"/>
      <c r="L226" s="1719" t="str">
        <f>$C$168</f>
        <v>South row - 1st-4th module</v>
      </c>
      <c r="M226" s="1720"/>
      <c r="N226" s="1721"/>
      <c r="O226" s="1719" t="str">
        <f>$C$168</f>
        <v>South row - 1st-4th module</v>
      </c>
      <c r="P226" s="1720"/>
      <c r="Q226" s="1721"/>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-0.84</v>
      </c>
      <c r="E228" s="535">
        <v>224</v>
      </c>
      <c r="F228" s="442">
        <v>1</v>
      </c>
      <c r="G228" s="528">
        <v>-0.45</v>
      </c>
      <c r="H228" s="535">
        <v>110</v>
      </c>
      <c r="I228" s="442">
        <v>1</v>
      </c>
      <c r="J228" s="528">
        <v>-0.43</v>
      </c>
      <c r="K228" s="535">
        <v>100</v>
      </c>
      <c r="L228" s="442">
        <v>1</v>
      </c>
      <c r="M228" s="528">
        <v>-0.42</v>
      </c>
      <c r="N228" s="535">
        <v>93</v>
      </c>
      <c r="O228" s="442">
        <v>1</v>
      </c>
      <c r="P228" s="528">
        <v>-0.38</v>
      </c>
      <c r="Q228" s="535">
        <v>82</v>
      </c>
    </row>
    <row r="229" spans="2:17" ht="15" customHeight="1" x14ac:dyDescent="0.25">
      <c r="B229" s="434" t="str">
        <f>$B$129</f>
        <v>i = b</v>
      </c>
      <c r="C229" s="443">
        <v>20</v>
      </c>
      <c r="D229" s="529">
        <v>-0.35</v>
      </c>
      <c r="E229" s="536">
        <v>82</v>
      </c>
      <c r="F229" s="443">
        <v>12</v>
      </c>
      <c r="G229" s="529">
        <v>-0.24</v>
      </c>
      <c r="H229" s="536">
        <v>48</v>
      </c>
      <c r="I229" s="443">
        <v>6</v>
      </c>
      <c r="J229" s="529">
        <v>-0.31</v>
      </c>
      <c r="K229" s="536">
        <v>67</v>
      </c>
      <c r="L229" s="443">
        <v>6</v>
      </c>
      <c r="M229" s="529">
        <v>-0.2</v>
      </c>
      <c r="N229" s="536">
        <v>34</v>
      </c>
      <c r="O229" s="443">
        <v>7</v>
      </c>
      <c r="P229" s="529">
        <v>-0.21</v>
      </c>
      <c r="Q229" s="536">
        <v>40</v>
      </c>
    </row>
    <row r="230" spans="2:17" ht="15" customHeight="1" x14ac:dyDescent="0.25">
      <c r="B230" s="434" t="str">
        <f>$B$130</f>
        <v>i = c</v>
      </c>
      <c r="C230" s="443">
        <v>80</v>
      </c>
      <c r="D230" s="529">
        <v>-0.21</v>
      </c>
      <c r="E230" s="536">
        <v>37</v>
      </c>
      <c r="F230" s="443">
        <v>23</v>
      </c>
      <c r="G230" s="529">
        <v>-0.18</v>
      </c>
      <c r="H230" s="536">
        <v>34</v>
      </c>
      <c r="I230" s="443">
        <v>12</v>
      </c>
      <c r="J230" s="529">
        <v>-0.23</v>
      </c>
      <c r="K230" s="536">
        <v>45</v>
      </c>
      <c r="L230" s="443">
        <v>13</v>
      </c>
      <c r="M230" s="529">
        <v>-0.14000000000000001</v>
      </c>
      <c r="N230" s="536">
        <v>19</v>
      </c>
      <c r="O230" s="443">
        <v>13</v>
      </c>
      <c r="P230" s="529">
        <v>-0.15</v>
      </c>
      <c r="Q230" s="536">
        <v>23</v>
      </c>
    </row>
    <row r="231" spans="2:17" ht="15" customHeight="1" x14ac:dyDescent="0.25">
      <c r="B231" s="434" t="str">
        <f>$B$131</f>
        <v>i = d</v>
      </c>
      <c r="C231" s="443">
        <v>400</v>
      </c>
      <c r="D231" s="529">
        <v>-0.11</v>
      </c>
      <c r="E231" s="536">
        <v>10</v>
      </c>
      <c r="F231" s="443">
        <v>36</v>
      </c>
      <c r="G231" s="529">
        <v>-0.13</v>
      </c>
      <c r="H231" s="536">
        <v>16</v>
      </c>
      <c r="I231" s="443">
        <v>180</v>
      </c>
      <c r="J231" s="529">
        <v>-0.1</v>
      </c>
      <c r="K231" s="536">
        <v>7</v>
      </c>
      <c r="L231" s="443">
        <v>110</v>
      </c>
      <c r="M231" s="529">
        <v>-0.1</v>
      </c>
      <c r="N231" s="536">
        <v>7</v>
      </c>
      <c r="O231" s="443">
        <v>40</v>
      </c>
      <c r="P231" s="529">
        <v>-0.1</v>
      </c>
      <c r="Q231" s="536">
        <v>7</v>
      </c>
    </row>
    <row r="232" spans="2:17" ht="15" customHeight="1" thickBot="1" x14ac:dyDescent="0.3">
      <c r="B232" s="435" t="str">
        <f>$B$132</f>
        <v>i = e</v>
      </c>
      <c r="C232" s="444">
        <v>10000</v>
      </c>
      <c r="D232" s="530">
        <v>-0.11</v>
      </c>
      <c r="E232" s="537">
        <v>10</v>
      </c>
      <c r="F232" s="444">
        <v>10000</v>
      </c>
      <c r="G232" s="530">
        <v>-0.13</v>
      </c>
      <c r="H232" s="537">
        <v>16</v>
      </c>
      <c r="I232" s="444">
        <v>10000</v>
      </c>
      <c r="J232" s="530">
        <v>-0.1</v>
      </c>
      <c r="K232" s="537">
        <v>7</v>
      </c>
      <c r="L232" s="444">
        <v>10000</v>
      </c>
      <c r="M232" s="530">
        <v>-0.1</v>
      </c>
      <c r="N232" s="537">
        <v>7</v>
      </c>
      <c r="O232" s="444">
        <v>10000</v>
      </c>
      <c r="P232" s="530">
        <v>-0.1</v>
      </c>
      <c r="Q232" s="537">
        <v>7</v>
      </c>
    </row>
    <row r="233" spans="2:17" ht="15" customHeight="1" x14ac:dyDescent="0.25">
      <c r="B233" s="429"/>
      <c r="C233" s="1719" t="str">
        <f>$C$175</f>
        <v>South row - Interior modules</v>
      </c>
      <c r="D233" s="1720"/>
      <c r="E233" s="1721"/>
      <c r="F233" s="1719" t="str">
        <f>$C$175</f>
        <v>South row - Interior modules</v>
      </c>
      <c r="G233" s="1720"/>
      <c r="H233" s="1721"/>
      <c r="I233" s="1719" t="str">
        <f>$C$175</f>
        <v>South row - Interior modules</v>
      </c>
      <c r="J233" s="1720"/>
      <c r="K233" s="1721"/>
      <c r="L233" s="1719" t="str">
        <f>$C$175</f>
        <v>South row - Interior modules</v>
      </c>
      <c r="M233" s="1720"/>
      <c r="N233" s="1721"/>
      <c r="O233" s="1719" t="str">
        <f>$C$175</f>
        <v>South row - Interior modules</v>
      </c>
      <c r="P233" s="1720"/>
      <c r="Q233" s="1721"/>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-0.76</v>
      </c>
      <c r="E235" s="535">
        <v>199</v>
      </c>
      <c r="F235" s="442">
        <v>1</v>
      </c>
      <c r="G235" s="528">
        <v>-0.44</v>
      </c>
      <c r="H235" s="535">
        <v>100</v>
      </c>
      <c r="I235" s="442">
        <v>1</v>
      </c>
      <c r="J235" s="528">
        <v>-0.3</v>
      </c>
      <c r="K235" s="535">
        <v>66</v>
      </c>
      <c r="L235" s="442">
        <v>1</v>
      </c>
      <c r="M235" s="528">
        <v>-0.23</v>
      </c>
      <c r="N235" s="535">
        <v>49</v>
      </c>
      <c r="O235" s="442">
        <v>1</v>
      </c>
      <c r="P235" s="528">
        <v>-0.25</v>
      </c>
      <c r="Q235" s="535">
        <v>47</v>
      </c>
    </row>
    <row r="236" spans="2:17" ht="15" customHeight="1" x14ac:dyDescent="0.25">
      <c r="B236" s="434" t="str">
        <f>$B$129</f>
        <v>i = b</v>
      </c>
      <c r="C236" s="443">
        <v>20</v>
      </c>
      <c r="D236" s="529">
        <v>-0.31</v>
      </c>
      <c r="E236" s="536">
        <v>68</v>
      </c>
      <c r="F236" s="443">
        <v>8</v>
      </c>
      <c r="G236" s="529">
        <v>-0.28000000000000003</v>
      </c>
      <c r="H236" s="536">
        <v>64</v>
      </c>
      <c r="I236" s="443">
        <v>6</v>
      </c>
      <c r="J236" s="529">
        <v>-0.24</v>
      </c>
      <c r="K236" s="536">
        <v>49</v>
      </c>
      <c r="L236" s="443">
        <v>6</v>
      </c>
      <c r="M236" s="529">
        <v>-0.17</v>
      </c>
      <c r="N236" s="536">
        <v>27</v>
      </c>
      <c r="O236" s="443">
        <v>6</v>
      </c>
      <c r="P236" s="529">
        <v>-0.18</v>
      </c>
      <c r="Q236" s="536">
        <v>32</v>
      </c>
    </row>
    <row r="237" spans="2:17" ht="15" customHeight="1" x14ac:dyDescent="0.25">
      <c r="B237" s="434" t="str">
        <f>$B$130</f>
        <v>i = c</v>
      </c>
      <c r="C237" s="443">
        <v>80</v>
      </c>
      <c r="D237" s="529">
        <v>-0.18</v>
      </c>
      <c r="E237" s="536">
        <v>31</v>
      </c>
      <c r="F237" s="443">
        <v>22</v>
      </c>
      <c r="G237" s="529">
        <v>-0.21</v>
      </c>
      <c r="H237" s="536">
        <v>39</v>
      </c>
      <c r="I237" s="443">
        <v>12</v>
      </c>
      <c r="J237" s="529">
        <v>-0.2</v>
      </c>
      <c r="K237" s="536">
        <v>36</v>
      </c>
      <c r="L237" s="443">
        <v>13</v>
      </c>
      <c r="M237" s="529">
        <v>-0.13</v>
      </c>
      <c r="N237" s="536">
        <v>19</v>
      </c>
      <c r="O237" s="443">
        <v>14</v>
      </c>
      <c r="P237" s="529">
        <v>-0.14000000000000001</v>
      </c>
      <c r="Q237" s="536">
        <v>19</v>
      </c>
    </row>
    <row r="238" spans="2:17" ht="15" customHeight="1" x14ac:dyDescent="0.25">
      <c r="B238" s="434" t="str">
        <f>$B$131</f>
        <v>i = d</v>
      </c>
      <c r="C238" s="443">
        <v>400</v>
      </c>
      <c r="D238" s="529">
        <v>-0.11</v>
      </c>
      <c r="E238" s="536">
        <v>10</v>
      </c>
      <c r="F238" s="443">
        <v>150</v>
      </c>
      <c r="G238" s="529">
        <v>-0.13</v>
      </c>
      <c r="H238" s="536">
        <v>16</v>
      </c>
      <c r="I238" s="443">
        <v>100</v>
      </c>
      <c r="J238" s="529">
        <v>-0.1</v>
      </c>
      <c r="K238" s="536">
        <v>7</v>
      </c>
      <c r="L238" s="443">
        <v>40</v>
      </c>
      <c r="M238" s="529">
        <v>-0.1</v>
      </c>
      <c r="N238" s="536">
        <v>7</v>
      </c>
      <c r="O238" s="443">
        <v>50</v>
      </c>
      <c r="P238" s="529">
        <v>-0.1</v>
      </c>
      <c r="Q238" s="536">
        <v>7</v>
      </c>
    </row>
    <row r="239" spans="2:17" ht="15" customHeight="1" thickBot="1" x14ac:dyDescent="0.3">
      <c r="B239" s="435" t="str">
        <f>$B$132</f>
        <v>i = e</v>
      </c>
      <c r="C239" s="444">
        <v>10000</v>
      </c>
      <c r="D239" s="530">
        <v>-0.11</v>
      </c>
      <c r="E239" s="537">
        <v>10</v>
      </c>
      <c r="F239" s="444">
        <v>10000</v>
      </c>
      <c r="G239" s="530">
        <v>-0.13</v>
      </c>
      <c r="H239" s="537">
        <v>16</v>
      </c>
      <c r="I239" s="444">
        <v>10000</v>
      </c>
      <c r="J239" s="530">
        <v>-0.1</v>
      </c>
      <c r="K239" s="537">
        <v>7</v>
      </c>
      <c r="L239" s="444">
        <v>10000</v>
      </c>
      <c r="M239" s="530">
        <v>-0.1</v>
      </c>
      <c r="N239" s="537">
        <v>7</v>
      </c>
      <c r="O239" s="444">
        <v>10000</v>
      </c>
      <c r="P239" s="530">
        <v>-0.1</v>
      </c>
      <c r="Q239" s="537">
        <v>7</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953" t="s">
        <v>46</v>
      </c>
      <c r="D246" s="457">
        <f>IF(AND($G$19&gt;=0,$G$19&lt;=0.1),D247+(D248-D247)/(0.1-0)*($G$19-0),IF(AND($G$19&gt;0.1,$G$19&lt;=0.2),D248+(D249-D248)/(0.2-0.1)*($G$19-0.1),IF($G$19&gt;0.2,D249,"Fehler")))</f>
        <v>0.99756084290480251</v>
      </c>
      <c r="E246" s="458">
        <f>IF(AND($G$19&gt;=0,$G$19&lt;=0.1),E247+(E248-E247)/(0.1-0)*($G$19-0),IF(AND($G$19&gt;0.1,$G$19&lt;=0.2),E248+(E249-E248)/(0.2-0.1)*($G$19-0.1),IF($G$19&gt;0.2,E249,"Fehler")))</f>
        <v>0.99826388888888884</v>
      </c>
      <c r="F246" s="458">
        <f t="shared" ref="F246:H246" si="38">IF(AND($G$19&gt;=0,$G$19&lt;=0.1),F247+(F248-F247)/(0.1-0)*($G$19-0),IF(AND($G$19&gt;0.1,$G$19&lt;=0.2),F248+(F249-F248)/(0.2-0.1)*($G$19-0.1),IF($G$19&gt;0.2,F249,"Fehler")))</f>
        <v>1.09375</v>
      </c>
      <c r="G246" s="458">
        <f t="shared" si="38"/>
        <v>1.0138888888888888</v>
      </c>
      <c r="H246" s="458">
        <f t="shared" si="38"/>
        <v>0.98090277777777779</v>
      </c>
      <c r="I246" s="457">
        <f>IF(AND($G$19&gt;=0,$G$19&lt;=0.1),I247+(I248-I247)/(0.1-0)*($G$19-0),IF(AND($G$19&gt;0.1,$G$19&lt;=0.2),I248+(I249-I248)/(0.2-0.1)*($G$19-0.1),IF($G$19&gt;0.2,I249,"Fehler")))</f>
        <v>1.0086805555555556</v>
      </c>
      <c r="J246" s="458">
        <f>IF(AND($G$19&gt;=0,$G$19&lt;=0.1),J247+(J248-J247)/(0.1-0)*($G$19-0),IF(AND($G$19&gt;0.1,$G$19&lt;=0.2),J248+(J249-J248)/(0.2-0.1)*($G$19-0.1),IF($G$19&gt;0.2,J249,"Fehler")))</f>
        <v>1</v>
      </c>
      <c r="K246" s="458">
        <f>IF(AND($G$19&gt;=0,$G$19&lt;=0.1),K247+(K248-K247)/(0.1-0)*($G$19-0),IF(AND($G$19&gt;0.1,$G$19&lt;=0.2),K248+(K249-K248)/(0.2-0.1)*($G$19-0.1),IF($G$19&gt;0.2,K249,"Fehler")))</f>
        <v>1.1111111111111112</v>
      </c>
      <c r="L246" s="458">
        <f>IF(AND($G$19&gt;=0,$G$19&lt;=0.1),L247+(L248-L247)/(0.1-0)*($G$19-0),IF(AND($G$19&gt;0.1,$G$19&lt;=0.2),L248+(L249-L248)/(0.2-0.1)*($G$19-0.1),IF($G$19&gt;0.2,L249,"Fehler")))</f>
        <v>1.0243055555555556</v>
      </c>
      <c r="M246" s="459">
        <f>IF(AND($G$19&gt;=0,$G$19&lt;=0.1),M247+(M248-M247)/(0.1-0)*($G$19-0),IF(AND($G$19&gt;0.1,$G$19&lt;=0.2),M248+(M249-M248)/(0.2-0.1)*($G$19-0.1),IF($G$19&gt;0.2,M249,"Fehler")))</f>
        <v>0.98263888888888884</v>
      </c>
    </row>
    <row r="247" spans="2:17" ht="15" customHeight="1" x14ac:dyDescent="0.2">
      <c r="B247" s="1722"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3"/>
      <c r="C248" s="450" t="s">
        <v>42</v>
      </c>
      <c r="D248" s="451">
        <f>IF($D$19&lt;C254,"Fehler",IF(AND($D$19&gt;=C254,$D$19&lt;C255),D254+(D255-D254)/(LOG(C255)-LOG(C254))*(LOG($D$19)-LOG(C254)),IF(AND($D$19&gt;=C255,$D$19&lt;C256),D255+(D256-D255)/(LOG(C256)-LOG(C255))*(LOG($D$19)-LOG(C255)),IF(AND($D$19&gt;=C256,$D$19&lt;C257),D256+(D257-D256)/(LOG(C257)-LOG(C256))*(LOG($D$19)-LOG(C256)),IF($D$19&gt;=C257,D257,"Fehler")))))</f>
        <v>0.98595045513166257</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24"/>
      <c r="C249" s="278" t="s">
        <v>43</v>
      </c>
      <c r="D249" s="447">
        <f>IF($D$19&lt;C260,"Fehler",IF(AND($D$19&gt;=C260,$D$19&lt;C261),D260+(D261-D260)/(LOG(C261)-LOG(C260))*(LOG($D$19)-LOG(C260)),IF(AND($D$19&gt;=C261,$D$19&lt;C262),D261+(D262-D261)/(LOG(C262)-LOG(C261))*(LOG($D$19)-LOG(C261)),IF(AND($D$19&gt;=C262,$D$19&lt;C263),D262+(D263-D262)/(LOG(C263)-LOG(C262))*(LOG($D$19)-LOG(C262)),IF($D$19&gt;=C263,D263,"Fehler")))))</f>
        <v>0.76048545378391907</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5" t="str">
        <f>$D$24</f>
        <v>Roof position 1</v>
      </c>
      <c r="D251" s="1716"/>
      <c r="E251" s="1715" t="str">
        <f>$E$24</f>
        <v>Roof position 2</v>
      </c>
      <c r="F251" s="1716"/>
      <c r="G251" s="1715" t="str">
        <f>$F$24</f>
        <v>Roof position 3</v>
      </c>
      <c r="H251" s="1716"/>
      <c r="I251" s="1715" t="str">
        <f>$G$24</f>
        <v>Roof position 4</v>
      </c>
      <c r="J251" s="1716"/>
      <c r="K251" s="1715" t="str">
        <f>$H$24</f>
        <v>Roof position 5</v>
      </c>
      <c r="L251" s="1716"/>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17" t="s">
        <v>48</v>
      </c>
      <c r="D253" s="1718">
        <v>0</v>
      </c>
      <c r="E253" s="1717" t="s">
        <v>49</v>
      </c>
      <c r="F253" s="1718">
        <v>0</v>
      </c>
      <c r="G253" s="1717" t="s">
        <v>50</v>
      </c>
      <c r="H253" s="1718">
        <v>0</v>
      </c>
      <c r="I253" s="1717" t="s">
        <v>51</v>
      </c>
      <c r="J253" s="1718">
        <v>0</v>
      </c>
      <c r="K253" s="1717" t="s">
        <v>52</v>
      </c>
      <c r="L253" s="1718">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13" t="s">
        <v>53</v>
      </c>
      <c r="D259" s="1714">
        <v>0</v>
      </c>
      <c r="E259" s="1713" t="s">
        <v>54</v>
      </c>
      <c r="F259" s="1714">
        <v>0</v>
      </c>
      <c r="G259" s="1713" t="s">
        <v>55</v>
      </c>
      <c r="H259" s="1714">
        <v>0</v>
      </c>
      <c r="I259" s="1713" t="s">
        <v>56</v>
      </c>
      <c r="J259" s="1714">
        <v>0</v>
      </c>
      <c r="K259" s="1713" t="s">
        <v>57</v>
      </c>
      <c r="L259" s="1714">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5" t="str">
        <f>$D$24</f>
        <v>Roof position 1</v>
      </c>
      <c r="D265" s="1716"/>
      <c r="E265" s="1715" t="str">
        <f>$E$24</f>
        <v>Roof position 2</v>
      </c>
      <c r="F265" s="1716"/>
      <c r="G265" s="1715" t="str">
        <f>$F$24</f>
        <v>Roof position 3</v>
      </c>
      <c r="H265" s="1716"/>
      <c r="I265" s="1715" t="str">
        <f>$G$24</f>
        <v>Roof position 4</v>
      </c>
      <c r="J265" s="1716"/>
      <c r="K265" s="1715" t="str">
        <f>$H$24</f>
        <v>Roof position 5</v>
      </c>
      <c r="L265" s="1716"/>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11" t="s">
        <v>48</v>
      </c>
      <c r="D267" s="1712">
        <v>0</v>
      </c>
      <c r="E267" s="1711" t="s">
        <v>49</v>
      </c>
      <c r="F267" s="1712">
        <v>0</v>
      </c>
      <c r="G267" s="1711" t="s">
        <v>50</v>
      </c>
      <c r="H267" s="1712">
        <v>0</v>
      </c>
      <c r="I267" s="1711" t="s">
        <v>51</v>
      </c>
      <c r="J267" s="1712">
        <v>0</v>
      </c>
      <c r="K267" s="1711" t="s">
        <v>52</v>
      </c>
      <c r="L267" s="1712">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13" t="s">
        <v>53</v>
      </c>
      <c r="D273" s="1714">
        <v>0</v>
      </c>
      <c r="E273" s="1713" t="s">
        <v>54</v>
      </c>
      <c r="F273" s="1714">
        <v>0</v>
      </c>
      <c r="G273" s="1713" t="s">
        <v>55</v>
      </c>
      <c r="H273" s="1714">
        <v>0</v>
      </c>
      <c r="I273" s="1713" t="s">
        <v>56</v>
      </c>
      <c r="J273" s="1714">
        <v>0</v>
      </c>
      <c r="K273" s="1713" t="s">
        <v>57</v>
      </c>
      <c r="L273" s="1714">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62">
    <mergeCell ref="C12:D12"/>
    <mergeCell ref="F12:G12"/>
    <mergeCell ref="B26:B27"/>
    <mergeCell ref="B28:B29"/>
    <mergeCell ref="B30:B31"/>
    <mergeCell ref="B32:B33"/>
    <mergeCell ref="B5:L5"/>
    <mergeCell ref="C9:D9"/>
    <mergeCell ref="F9:G9"/>
    <mergeCell ref="C10:D10"/>
    <mergeCell ref="F10:G10"/>
    <mergeCell ref="C11:D11"/>
    <mergeCell ref="F11:G11"/>
    <mergeCell ref="B54:B55"/>
    <mergeCell ref="B56:B57"/>
    <mergeCell ref="B59:B60"/>
    <mergeCell ref="B61:B62"/>
    <mergeCell ref="B63:B64"/>
    <mergeCell ref="B65:B66"/>
    <mergeCell ref="B35:B36"/>
    <mergeCell ref="B37:B38"/>
    <mergeCell ref="B39:B40"/>
    <mergeCell ref="B41:B42"/>
    <mergeCell ref="B50:B51"/>
    <mergeCell ref="B52:B53"/>
    <mergeCell ref="B91:B92"/>
    <mergeCell ref="B93:B94"/>
    <mergeCell ref="B101:B102"/>
    <mergeCell ref="B103:B104"/>
    <mergeCell ref="B105:B106"/>
    <mergeCell ref="B107:B108"/>
    <mergeCell ref="B73:B74"/>
    <mergeCell ref="B75:B76"/>
    <mergeCell ref="B77:B78"/>
    <mergeCell ref="B79:B80"/>
    <mergeCell ref="B87:B88"/>
    <mergeCell ref="B89:B90"/>
    <mergeCell ref="I125:K125"/>
    <mergeCell ref="L125:N125"/>
    <mergeCell ref="O125:Q125"/>
    <mergeCell ref="C126:E126"/>
    <mergeCell ref="F126:H126"/>
    <mergeCell ref="I126:K126"/>
    <mergeCell ref="L126:N126"/>
    <mergeCell ref="O126:Q126"/>
    <mergeCell ref="B115:B116"/>
    <mergeCell ref="B117:B118"/>
    <mergeCell ref="B119:B120"/>
    <mergeCell ref="B121:B122"/>
    <mergeCell ref="C125:E125"/>
    <mergeCell ref="F125:H125"/>
    <mergeCell ref="C133:E133"/>
    <mergeCell ref="F133:H133"/>
    <mergeCell ref="I133:K133"/>
    <mergeCell ref="L133:N133"/>
    <mergeCell ref="O133:Q133"/>
    <mergeCell ref="C140:E140"/>
    <mergeCell ref="F140:H140"/>
    <mergeCell ref="I140:K140"/>
    <mergeCell ref="L140:N140"/>
    <mergeCell ref="O140:Q140"/>
    <mergeCell ref="C147:E147"/>
    <mergeCell ref="F147:H147"/>
    <mergeCell ref="I147:K147"/>
    <mergeCell ref="L147:N147"/>
    <mergeCell ref="O147:Q147"/>
    <mergeCell ref="C154:E154"/>
    <mergeCell ref="F154:H154"/>
    <mergeCell ref="I154:K154"/>
    <mergeCell ref="L154:N154"/>
    <mergeCell ref="O154:Q154"/>
    <mergeCell ref="C161:E161"/>
    <mergeCell ref="F161:H161"/>
    <mergeCell ref="I161:K161"/>
    <mergeCell ref="L161:N161"/>
    <mergeCell ref="O161:Q161"/>
    <mergeCell ref="C168:E168"/>
    <mergeCell ref="F168:H168"/>
    <mergeCell ref="I168:K168"/>
    <mergeCell ref="L168:N168"/>
    <mergeCell ref="O168:Q168"/>
    <mergeCell ref="C175:E175"/>
    <mergeCell ref="F175:H175"/>
    <mergeCell ref="I175:K175"/>
    <mergeCell ref="L175:N175"/>
    <mergeCell ref="O175:Q175"/>
    <mergeCell ref="C183:E183"/>
    <mergeCell ref="F183:H183"/>
    <mergeCell ref="I183:K183"/>
    <mergeCell ref="L183:N183"/>
    <mergeCell ref="O183:Q183"/>
    <mergeCell ref="C184:E184"/>
    <mergeCell ref="F184:H184"/>
    <mergeCell ref="I184:K184"/>
    <mergeCell ref="L184:N184"/>
    <mergeCell ref="O184:Q184"/>
    <mergeCell ref="C191:E191"/>
    <mergeCell ref="F191:H191"/>
    <mergeCell ref="I191:K191"/>
    <mergeCell ref="L191:N191"/>
    <mergeCell ref="O191:Q191"/>
    <mergeCell ref="C198:E198"/>
    <mergeCell ref="F198:H198"/>
    <mergeCell ref="I198:K198"/>
    <mergeCell ref="L198:N198"/>
    <mergeCell ref="O198:Q198"/>
    <mergeCell ref="C205:E205"/>
    <mergeCell ref="F205:H205"/>
    <mergeCell ref="I205:K205"/>
    <mergeCell ref="L205:N205"/>
    <mergeCell ref="O205:Q205"/>
    <mergeCell ref="O226:Q226"/>
    <mergeCell ref="C233:E233"/>
    <mergeCell ref="F233:H233"/>
    <mergeCell ref="I233:K233"/>
    <mergeCell ref="L233:N233"/>
    <mergeCell ref="O233:Q233"/>
    <mergeCell ref="C212:E212"/>
    <mergeCell ref="F212:H212"/>
    <mergeCell ref="I212:K212"/>
    <mergeCell ref="L212:N212"/>
    <mergeCell ref="O212:Q212"/>
    <mergeCell ref="C219:E219"/>
    <mergeCell ref="F219:H219"/>
    <mergeCell ref="I219:K219"/>
    <mergeCell ref="L219:N219"/>
    <mergeCell ref="O219:Q219"/>
    <mergeCell ref="B247:B249"/>
    <mergeCell ref="C251:D251"/>
    <mergeCell ref="E251:F251"/>
    <mergeCell ref="G251:H251"/>
    <mergeCell ref="I251:J251"/>
    <mergeCell ref="K251:L251"/>
    <mergeCell ref="C226:E226"/>
    <mergeCell ref="F226:H226"/>
    <mergeCell ref="I226:K226"/>
    <mergeCell ref="L226:N226"/>
    <mergeCell ref="C253:D253"/>
    <mergeCell ref="E253:F253"/>
    <mergeCell ref="G253:H253"/>
    <mergeCell ref="I253:J253"/>
    <mergeCell ref="K253:L253"/>
    <mergeCell ref="C259:D259"/>
    <mergeCell ref="E259:F259"/>
    <mergeCell ref="G259:H259"/>
    <mergeCell ref="I259:J259"/>
    <mergeCell ref="K259:L259"/>
    <mergeCell ref="C273:D273"/>
    <mergeCell ref="E273:F273"/>
    <mergeCell ref="G273:H273"/>
    <mergeCell ref="I273:J273"/>
    <mergeCell ref="K273:L273"/>
    <mergeCell ref="C265:D265"/>
    <mergeCell ref="E265:F265"/>
    <mergeCell ref="G265:H265"/>
    <mergeCell ref="I265:J265"/>
    <mergeCell ref="K265:L265"/>
    <mergeCell ref="C267:D267"/>
    <mergeCell ref="E267:F267"/>
    <mergeCell ref="G267:H267"/>
    <mergeCell ref="I267:J267"/>
    <mergeCell ref="K267:L267"/>
  </mergeCells>
  <pageMargins left="0.75" right="0.75" top="1" bottom="1" header="0.4921259845" footer="0.4921259845"/>
  <pageSetup paperSize="9" scale="16"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DP119"/>
  <sheetViews>
    <sheetView showGridLines="0" topLeftCell="A43" zoomScale="70" zoomScaleNormal="70" zoomScaleSheetLayoutView="80" workbookViewId="0">
      <selection activeCell="K94" sqref="K45:K94"/>
    </sheetView>
  </sheetViews>
  <sheetFormatPr defaultColWidth="9.125" defaultRowHeight="12.75" x14ac:dyDescent="0.2"/>
  <cols>
    <col min="1" max="1" width="8.75" style="1" customWidth="1"/>
    <col min="2" max="2" width="43.125" style="1" customWidth="1"/>
    <col min="3" max="5" width="20.625" style="1" customWidth="1"/>
    <col min="6" max="6" width="23.25" style="1" customWidth="1"/>
    <col min="7" max="11" width="20.625" style="1" customWidth="1"/>
    <col min="12" max="12" width="2.875" style="1" customWidth="1"/>
    <col min="13" max="13" width="15" style="1" customWidth="1"/>
    <col min="14" max="16" width="2.625" style="1" customWidth="1"/>
    <col min="17" max="61" width="2.875" style="1" customWidth="1"/>
    <col min="62" max="63" width="2.625" style="1" customWidth="1"/>
    <col min="64" max="66" width="7.125" style="1" customWidth="1"/>
    <col min="67" max="67" width="15" style="1" customWidth="1"/>
    <col min="68" max="70" width="2.625" style="1" customWidth="1"/>
    <col min="71" max="115" width="2.875" style="1" customWidth="1"/>
    <col min="116" max="117" width="2.625" style="1" customWidth="1"/>
    <col min="118" max="120" width="7.125" style="1" customWidth="1"/>
    <col min="121" max="16384" width="9.125" style="1"/>
  </cols>
  <sheetData>
    <row r="1" spans="2:119" ht="13.5" thickBot="1" x14ac:dyDescent="0.25"/>
    <row r="2" spans="2:119" ht="18" x14ac:dyDescent="0.25">
      <c r="B2" s="2" t="s">
        <v>80</v>
      </c>
      <c r="C2" s="3"/>
      <c r="D2" s="4"/>
      <c r="E2" s="4"/>
      <c r="F2" s="4"/>
      <c r="G2" s="5"/>
      <c r="H2" s="116" t="s">
        <v>315</v>
      </c>
      <c r="I2" s="4"/>
      <c r="J2" s="4"/>
      <c r="K2" s="4"/>
      <c r="L2" s="6"/>
      <c r="M2" s="3"/>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7"/>
    </row>
    <row r="3" spans="2:119" ht="18" x14ac:dyDescent="0.25">
      <c r="B3" s="8" t="s">
        <v>316</v>
      </c>
      <c r="C3" s="9"/>
      <c r="D3" s="10"/>
      <c r="E3" s="10"/>
      <c r="F3" s="10"/>
      <c r="G3" s="26"/>
      <c r="H3" s="117" t="s">
        <v>317</v>
      </c>
      <c r="I3" s="10"/>
      <c r="J3" s="10"/>
      <c r="K3" s="10"/>
      <c r="L3" s="11"/>
      <c r="M3" s="12"/>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3"/>
    </row>
    <row r="4" spans="2:119" ht="18" customHeight="1" x14ac:dyDescent="0.25">
      <c r="B4" s="8" t="s">
        <v>475</v>
      </c>
      <c r="C4" s="10"/>
      <c r="D4" s="10"/>
      <c r="E4" s="10"/>
      <c r="F4" s="10"/>
      <c r="G4" s="10"/>
      <c r="H4" s="10"/>
      <c r="I4" s="10"/>
      <c r="J4" s="10"/>
      <c r="K4" s="10"/>
      <c r="L4" s="12"/>
      <c r="M4" s="10"/>
      <c r="N4" s="10"/>
      <c r="O4" s="10"/>
      <c r="P4" s="10"/>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3"/>
    </row>
    <row r="5" spans="2:119" ht="16.5" thickBot="1" x14ac:dyDescent="0.3">
      <c r="B5" s="999"/>
      <c r="C5" s="1000"/>
      <c r="D5" s="1000"/>
      <c r="E5" s="1000"/>
      <c r="F5" s="1000"/>
      <c r="G5" s="1000"/>
      <c r="H5" s="1000"/>
      <c r="I5" s="949" t="s">
        <v>308</v>
      </c>
      <c r="J5" s="1000"/>
      <c r="K5" s="1000"/>
      <c r="L5" s="1000"/>
      <c r="M5" s="1000"/>
      <c r="N5" s="1000"/>
      <c r="O5" s="1000"/>
      <c r="P5" s="1000"/>
      <c r="Q5" s="1000"/>
      <c r="R5" s="1000"/>
      <c r="S5" s="1000"/>
      <c r="T5" s="1000"/>
      <c r="U5" s="1000"/>
      <c r="V5" s="1000"/>
      <c r="W5" s="1000"/>
      <c r="X5" s="1000"/>
      <c r="Y5" s="1000"/>
      <c r="Z5" s="1000"/>
      <c r="AA5" s="1000"/>
      <c r="AB5" s="1000"/>
      <c r="AC5" s="1000"/>
      <c r="AD5" s="1000"/>
      <c r="AE5" s="1000"/>
      <c r="AF5" s="1000"/>
      <c r="AG5" s="1000"/>
      <c r="AH5" s="1000"/>
      <c r="AI5" s="1000"/>
      <c r="AJ5" s="1000"/>
      <c r="AK5" s="1000"/>
      <c r="AL5" s="1000"/>
      <c r="AM5" s="1000"/>
      <c r="AN5" s="1000"/>
      <c r="AO5" s="1000"/>
      <c r="AP5" s="1000"/>
      <c r="AQ5" s="1000"/>
      <c r="AR5" s="1000"/>
      <c r="AS5" s="1000"/>
      <c r="AT5" s="1000"/>
      <c r="AU5" s="1000"/>
      <c r="AV5" s="1000"/>
      <c r="AW5" s="1000"/>
      <c r="AX5" s="1000"/>
      <c r="AY5" s="1000"/>
      <c r="AZ5" s="1000"/>
      <c r="BA5" s="1000"/>
      <c r="BB5" s="1000"/>
      <c r="BC5" s="1000"/>
      <c r="BD5" s="1000"/>
      <c r="BE5" s="1000"/>
      <c r="BF5" s="1000"/>
      <c r="BG5" s="1000"/>
      <c r="BH5" s="1000"/>
      <c r="BI5" s="1000"/>
      <c r="BJ5" s="1000"/>
      <c r="BK5" s="1000"/>
      <c r="BL5" s="1000"/>
      <c r="BM5" s="587"/>
      <c r="BN5" s="587"/>
      <c r="BO5" s="587"/>
      <c r="BP5" s="587"/>
      <c r="BQ5" s="587"/>
      <c r="BR5" s="587"/>
      <c r="BS5" s="587"/>
      <c r="BT5" s="587"/>
      <c r="BU5" s="587"/>
      <c r="BV5" s="587"/>
      <c r="BW5" s="587"/>
      <c r="BX5" s="587"/>
      <c r="BY5" s="587"/>
      <c r="BZ5" s="587"/>
      <c r="CA5" s="587"/>
      <c r="CB5" s="587"/>
      <c r="CC5" s="587"/>
      <c r="CD5" s="587"/>
      <c r="CE5" s="587"/>
      <c r="CF5" s="587"/>
      <c r="CG5" s="587"/>
      <c r="CH5" s="587"/>
      <c r="CI5" s="587"/>
      <c r="CJ5" s="587"/>
      <c r="CK5" s="587"/>
      <c r="CL5" s="587"/>
      <c r="CM5" s="587"/>
      <c r="CN5" s="587"/>
      <c r="CO5" s="587"/>
      <c r="CP5" s="587"/>
      <c r="CQ5" s="587"/>
      <c r="CR5" s="587"/>
      <c r="CS5" s="587"/>
      <c r="CT5" s="587"/>
      <c r="CU5" s="587"/>
      <c r="CV5" s="587"/>
      <c r="CW5" s="587"/>
      <c r="CX5" s="587"/>
      <c r="CY5" s="587"/>
      <c r="CZ5" s="587"/>
      <c r="DA5" s="587"/>
      <c r="DB5" s="587"/>
      <c r="DC5" s="587"/>
      <c r="DD5" s="587"/>
      <c r="DE5" s="587"/>
      <c r="DF5" s="587"/>
      <c r="DG5" s="587"/>
      <c r="DH5" s="587"/>
      <c r="DI5" s="587"/>
      <c r="DJ5" s="587"/>
      <c r="DK5" s="587"/>
      <c r="DL5" s="587"/>
      <c r="DM5" s="587"/>
      <c r="DN5" s="587"/>
      <c r="DO5" s="588"/>
    </row>
    <row r="6" spans="2:119" ht="13.5" customHeight="1" x14ac:dyDescent="0.2">
      <c r="B6" s="28"/>
      <c r="C6" s="28"/>
      <c r="Q6" s="19"/>
      <c r="R6" s="19"/>
      <c r="S6" s="232"/>
      <c r="T6" s="232"/>
      <c r="U6" s="232"/>
      <c r="V6" s="19"/>
      <c r="W6" s="19"/>
      <c r="X6" s="19"/>
    </row>
    <row r="7" spans="2:119" ht="13.5" customHeight="1" x14ac:dyDescent="0.2">
      <c r="B7" s="28"/>
      <c r="C7" s="28"/>
      <c r="Q7" s="19"/>
      <c r="R7" s="19"/>
      <c r="S7" s="201"/>
      <c r="T7" s="201"/>
      <c r="U7" s="201"/>
      <c r="V7" s="19"/>
      <c r="W7" s="19"/>
      <c r="X7" s="19"/>
    </row>
    <row r="8" spans="2:119" ht="13.5" customHeight="1" thickBot="1" x14ac:dyDescent="0.25">
      <c r="B8" s="14" t="s">
        <v>314</v>
      </c>
      <c r="Q8" s="19"/>
      <c r="R8" s="19"/>
      <c r="S8" s="29"/>
      <c r="T8" s="19"/>
      <c r="U8" s="150"/>
      <c r="V8" s="19"/>
      <c r="W8" s="19"/>
      <c r="X8" s="19"/>
    </row>
    <row r="9" spans="2:119" ht="13.5" customHeight="1" x14ac:dyDescent="0.2">
      <c r="B9" s="15" t="s">
        <v>310</v>
      </c>
      <c r="C9" s="1434" t="str">
        <f>'building data'!C9</f>
        <v>807 E Main</v>
      </c>
      <c r="D9" s="1435"/>
      <c r="E9" s="30" t="s">
        <v>319</v>
      </c>
      <c r="F9" s="1413" t="str">
        <f>'building data'!H9</f>
        <v>English</v>
      </c>
      <c r="G9" s="1414"/>
      <c r="H9" s="19"/>
      <c r="I9" s="19"/>
      <c r="J9" s="230"/>
      <c r="K9" s="230"/>
      <c r="P9" s="19"/>
      <c r="Q9" s="19"/>
      <c r="R9" s="29"/>
      <c r="S9" s="19"/>
      <c r="T9" s="150"/>
      <c r="U9" s="19"/>
      <c r="V9" s="19"/>
      <c r="W9" s="19"/>
    </row>
    <row r="10" spans="2:119" ht="13.5" customHeight="1" x14ac:dyDescent="0.2">
      <c r="B10" s="16" t="s">
        <v>311</v>
      </c>
      <c r="C10" s="31">
        <f>'building data'!C10</f>
        <v>27332</v>
      </c>
      <c r="D10" s="32"/>
      <c r="E10" s="33" t="s">
        <v>320</v>
      </c>
      <c r="F10" s="1415" t="str">
        <f>'building data'!H10</f>
        <v>807 E Main St</v>
      </c>
      <c r="G10" s="1416"/>
      <c r="H10" s="19"/>
      <c r="I10" s="19"/>
      <c r="J10" s="230"/>
      <c r="K10" s="230"/>
      <c r="P10" s="19"/>
      <c r="Q10" s="19"/>
      <c r="R10" s="29"/>
      <c r="S10" s="19"/>
      <c r="T10" s="150"/>
      <c r="U10" s="19"/>
      <c r="V10" s="19"/>
      <c r="W10" s="19"/>
    </row>
    <row r="11" spans="2:119" ht="13.5" customHeight="1" x14ac:dyDescent="0.2">
      <c r="B11" s="16" t="s">
        <v>312</v>
      </c>
      <c r="C11" s="31" t="str">
        <f>'building data'!C11</f>
        <v>Ted Bleecker</v>
      </c>
      <c r="D11" s="32"/>
      <c r="E11" s="33" t="s">
        <v>321</v>
      </c>
      <c r="F11" s="1415" t="str">
        <f>'building data'!H11</f>
        <v>USA</v>
      </c>
      <c r="G11" s="1416"/>
      <c r="H11" s="19"/>
      <c r="I11" s="19"/>
      <c r="J11" s="230"/>
      <c r="K11" s="230"/>
      <c r="P11" s="19"/>
      <c r="Q11" s="19"/>
      <c r="R11" s="29"/>
      <c r="S11" s="19"/>
      <c r="T11" s="19"/>
      <c r="U11" s="19"/>
      <c r="V11" s="19"/>
      <c r="W11" s="19"/>
    </row>
    <row r="12" spans="2:119" ht="13.5" customHeight="1" thickBot="1" x14ac:dyDescent="0.25">
      <c r="B12" s="17" t="s">
        <v>313</v>
      </c>
      <c r="C12" s="34">
        <f ca="1">'building data'!C12</f>
        <v>42655</v>
      </c>
      <c r="D12" s="35"/>
      <c r="E12" s="36" t="s">
        <v>322</v>
      </c>
      <c r="F12" s="1417" t="str">
        <f>'building data'!H12</f>
        <v>ASCE/SEI 7-10</v>
      </c>
      <c r="G12" s="1418"/>
      <c r="H12" s="19"/>
      <c r="I12" s="19"/>
      <c r="J12" s="230"/>
      <c r="K12" s="230"/>
      <c r="P12" s="19"/>
      <c r="Q12" s="19"/>
      <c r="R12" s="29"/>
      <c r="S12" s="19"/>
      <c r="T12" s="19"/>
      <c r="U12" s="19"/>
      <c r="V12" s="19"/>
      <c r="W12" s="19"/>
    </row>
    <row r="13" spans="2:119" ht="13.5" customHeight="1" x14ac:dyDescent="0.2">
      <c r="B13" s="14"/>
      <c r="C13" s="19"/>
      <c r="D13" s="19"/>
      <c r="E13" s="19"/>
      <c r="F13" s="19"/>
      <c r="J13" s="114"/>
      <c r="K13" s="114"/>
      <c r="L13" s="37"/>
      <c r="M13" s="38"/>
      <c r="N13" s="38"/>
      <c r="P13" s="19"/>
      <c r="Q13" s="19"/>
      <c r="R13" s="19"/>
      <c r="S13" s="29"/>
      <c r="T13" s="19"/>
      <c r="U13" s="150"/>
    </row>
    <row r="14" spans="2:119" ht="13.5" customHeight="1" x14ac:dyDescent="0.2">
      <c r="B14" s="14"/>
      <c r="C14" s="19"/>
      <c r="D14" s="19"/>
      <c r="E14" s="19"/>
      <c r="F14" s="19"/>
      <c r="G14" s="19"/>
      <c r="H14" s="19"/>
      <c r="I14" s="19"/>
      <c r="J14" s="19"/>
      <c r="K14" s="19"/>
      <c r="L14" s="37"/>
      <c r="M14" s="38"/>
      <c r="N14" s="38"/>
      <c r="P14" s="19"/>
      <c r="Q14" s="19"/>
      <c r="R14" s="19"/>
      <c r="S14" s="29"/>
      <c r="T14" s="19"/>
      <c r="U14" s="150"/>
    </row>
    <row r="15" spans="2:119" ht="18.75" customHeight="1" thickBot="1" x14ac:dyDescent="0.25">
      <c r="B15" s="39" t="s">
        <v>399</v>
      </c>
      <c r="C15" s="178"/>
      <c r="D15" s="178"/>
      <c r="E15" s="178"/>
      <c r="F15" s="178"/>
      <c r="G15" s="178"/>
      <c r="H15" s="178"/>
      <c r="I15" s="178"/>
      <c r="J15" s="178"/>
      <c r="K15" s="178"/>
      <c r="L15" s="19"/>
      <c r="M15" s="19"/>
      <c r="N15" s="19"/>
      <c r="V15" s="40" t="s">
        <v>451</v>
      </c>
    </row>
    <row r="16" spans="2:119" ht="13.5" customHeight="1" thickTop="1" thickBot="1" x14ac:dyDescent="0.25">
      <c r="B16" s="1425" t="s">
        <v>400</v>
      </c>
      <c r="C16" s="1426"/>
      <c r="D16" s="1426"/>
      <c r="E16" s="1426"/>
      <c r="F16" s="1426"/>
      <c r="G16" s="1426"/>
      <c r="H16" s="1426"/>
      <c r="I16" s="1426"/>
      <c r="J16" s="1427"/>
      <c r="K16" s="1077"/>
      <c r="L16" s="19"/>
      <c r="M16" s="19"/>
      <c r="N16" s="23"/>
      <c r="O16" s="18"/>
      <c r="P16" s="18"/>
      <c r="Q16" s="18"/>
      <c r="R16" s="18"/>
      <c r="S16" s="18"/>
      <c r="T16" s="18"/>
      <c r="U16" s="18"/>
      <c r="V16" s="1556" t="s">
        <v>452</v>
      </c>
      <c r="W16" s="1556"/>
      <c r="X16" s="1556"/>
      <c r="Y16" s="1556"/>
      <c r="Z16" s="1556"/>
      <c r="AA16" s="1556"/>
      <c r="AB16" s="1556"/>
      <c r="AC16" s="1556"/>
      <c r="AD16" s="1556"/>
      <c r="AE16" s="1556"/>
      <c r="AF16" s="1556"/>
      <c r="AG16" s="1556"/>
      <c r="AH16" s="1556"/>
      <c r="AI16" s="1556"/>
      <c r="AJ16" s="1556"/>
      <c r="AK16" s="1556"/>
      <c r="AL16" s="1556"/>
      <c r="AM16" s="1556"/>
      <c r="AN16" s="1556"/>
      <c r="AO16" s="1556"/>
      <c r="AP16" s="1556"/>
      <c r="AQ16" s="1556"/>
      <c r="AR16" s="1556"/>
      <c r="AS16" s="1556"/>
      <c r="AT16" s="1556"/>
      <c r="AU16" s="1556"/>
      <c r="AV16" s="1556"/>
      <c r="AW16" s="1556"/>
      <c r="AX16" s="1556"/>
      <c r="AY16" s="1556"/>
      <c r="AZ16" s="1556"/>
      <c r="BA16" s="1556"/>
      <c r="BB16" s="1556"/>
      <c r="BC16" s="1556"/>
      <c r="BD16" s="1556"/>
      <c r="BE16" s="1556"/>
      <c r="BF16" s="18"/>
      <c r="BG16" s="18"/>
      <c r="BH16" s="18"/>
      <c r="BI16" s="18"/>
    </row>
    <row r="17" spans="2:119" ht="13.5" customHeight="1" x14ac:dyDescent="0.2">
      <c r="B17" s="959"/>
      <c r="C17" s="327"/>
      <c r="D17" s="327"/>
      <c r="E17" s="327"/>
      <c r="F17" s="327"/>
      <c r="G17" s="327"/>
      <c r="H17" s="327"/>
      <c r="I17" s="327"/>
      <c r="J17" s="960"/>
      <c r="K17" s="1078"/>
      <c r="L17" s="41"/>
      <c r="M17" s="19"/>
      <c r="N17" s="23"/>
      <c r="O17" s="18"/>
      <c r="P17" s="18"/>
      <c r="Q17" s="18"/>
      <c r="R17" s="18"/>
      <c r="S17" s="18"/>
      <c r="T17" s="18"/>
      <c r="U17" s="18"/>
      <c r="V17" s="1556"/>
      <c r="W17" s="1556"/>
      <c r="X17" s="1556"/>
      <c r="Y17" s="1556"/>
      <c r="Z17" s="1556"/>
      <c r="AA17" s="1556"/>
      <c r="AB17" s="1556"/>
      <c r="AC17" s="1556"/>
      <c r="AD17" s="1556"/>
      <c r="AE17" s="1556"/>
      <c r="AF17" s="1556"/>
      <c r="AG17" s="1556"/>
      <c r="AH17" s="1556"/>
      <c r="AI17" s="1556"/>
      <c r="AJ17" s="1556"/>
      <c r="AK17" s="1556"/>
      <c r="AL17" s="1556"/>
      <c r="AM17" s="1556"/>
      <c r="AN17" s="1556"/>
      <c r="AO17" s="1556"/>
      <c r="AP17" s="1556"/>
      <c r="AQ17" s="1556"/>
      <c r="AR17" s="1556"/>
      <c r="AS17" s="1556"/>
      <c r="AT17" s="1556"/>
      <c r="AU17" s="1556"/>
      <c r="AV17" s="1556"/>
      <c r="AW17" s="1556"/>
      <c r="AX17" s="1556"/>
      <c r="AY17" s="1556"/>
      <c r="AZ17" s="1556"/>
      <c r="BA17" s="1556"/>
      <c r="BB17" s="1556"/>
      <c r="BC17" s="1556"/>
      <c r="BD17" s="1556"/>
      <c r="BE17" s="1556"/>
      <c r="BF17" s="18"/>
      <c r="BG17" s="18"/>
      <c r="BH17" s="18"/>
      <c r="BI17" s="18"/>
    </row>
    <row r="18" spans="2:119" ht="13.5" customHeight="1" x14ac:dyDescent="0.2">
      <c r="B18" s="961" t="s">
        <v>401</v>
      </c>
      <c r="C18" s="721">
        <f>C21/F21</f>
        <v>10.827189451773217</v>
      </c>
      <c r="D18" s="43" t="s">
        <v>3</v>
      </c>
      <c r="E18" s="541" t="s">
        <v>403</v>
      </c>
      <c r="F18" s="427">
        <v>5</v>
      </c>
      <c r="G18" s="43" t="s">
        <v>407</v>
      </c>
      <c r="H18" s="541" t="s">
        <v>408</v>
      </c>
      <c r="I18" s="427">
        <v>67.900000000000006</v>
      </c>
      <c r="J18" s="962" t="s">
        <v>407</v>
      </c>
      <c r="K18" s="43"/>
      <c r="L18" s="41"/>
      <c r="M18" s="19"/>
      <c r="N18" s="23"/>
      <c r="O18" s="18"/>
      <c r="P18" s="18"/>
      <c r="Q18" s="18"/>
      <c r="R18" s="18"/>
      <c r="S18" s="18"/>
      <c r="T18" s="18"/>
      <c r="U18" s="18"/>
      <c r="V18" s="1556"/>
      <c r="W18" s="1556"/>
      <c r="X18" s="1556"/>
      <c r="Y18" s="1556"/>
      <c r="Z18" s="1556"/>
      <c r="AA18" s="1556"/>
      <c r="AB18" s="1556"/>
      <c r="AC18" s="1556"/>
      <c r="AD18" s="1556"/>
      <c r="AE18" s="1556"/>
      <c r="AF18" s="1556"/>
      <c r="AG18" s="1556"/>
      <c r="AH18" s="1556"/>
      <c r="AI18" s="1556"/>
      <c r="AJ18" s="1556"/>
      <c r="AK18" s="1556"/>
      <c r="AL18" s="1556"/>
      <c r="AM18" s="1556"/>
      <c r="AN18" s="1556"/>
      <c r="AO18" s="1556"/>
      <c r="AP18" s="1556"/>
      <c r="AQ18" s="1556"/>
      <c r="AR18" s="1556"/>
      <c r="AS18" s="1556"/>
      <c r="AT18" s="1556"/>
      <c r="AU18" s="1556"/>
      <c r="AV18" s="1556"/>
      <c r="AW18" s="1556"/>
      <c r="AX18" s="1556"/>
      <c r="AY18" s="1556"/>
      <c r="AZ18" s="1556"/>
      <c r="BA18" s="1556"/>
      <c r="BB18" s="1556"/>
      <c r="BC18" s="1556"/>
      <c r="BD18" s="1556"/>
      <c r="BE18" s="1556"/>
      <c r="BF18" s="18"/>
      <c r="BG18" s="18"/>
      <c r="BH18" s="18"/>
      <c r="BI18" s="18"/>
    </row>
    <row r="19" spans="2:119" ht="13.5" customHeight="1" x14ac:dyDescent="0.2">
      <c r="B19" s="961" t="s">
        <v>306</v>
      </c>
      <c r="C19" s="721">
        <f>C22/F21</f>
        <v>2.7820872727865171</v>
      </c>
      <c r="D19" s="43" t="s">
        <v>3</v>
      </c>
      <c r="E19" s="44" t="s">
        <v>404</v>
      </c>
      <c r="F19" s="721">
        <f>'1-Eng Inputs'!B16*0.0254</f>
        <v>1.0007599999999999</v>
      </c>
      <c r="G19" s="19" t="s">
        <v>0</v>
      </c>
      <c r="H19" s="44" t="s">
        <v>409</v>
      </c>
      <c r="I19" s="413">
        <v>0.23</v>
      </c>
      <c r="J19" s="963" t="s">
        <v>0</v>
      </c>
      <c r="K19" s="43"/>
      <c r="L19" s="41"/>
      <c r="M19" s="19"/>
      <c r="N19" s="23"/>
      <c r="O19" s="18"/>
      <c r="P19" s="18"/>
      <c r="Q19" s="18"/>
      <c r="R19" s="18"/>
      <c r="S19" s="18"/>
      <c r="T19" s="18"/>
      <c r="U19" s="18"/>
      <c r="V19" s="1556"/>
      <c r="W19" s="1556"/>
      <c r="X19" s="1556"/>
      <c r="Y19" s="1556"/>
      <c r="Z19" s="1556"/>
      <c r="AA19" s="1556"/>
      <c r="AB19" s="1556"/>
      <c r="AC19" s="1556"/>
      <c r="AD19" s="1556"/>
      <c r="AE19" s="1556"/>
      <c r="AF19" s="1556"/>
      <c r="AG19" s="1556"/>
      <c r="AH19" s="1556"/>
      <c r="AI19" s="1556"/>
      <c r="AJ19" s="1556"/>
      <c r="AK19" s="1556"/>
      <c r="AL19" s="1556"/>
      <c r="AM19" s="1556"/>
      <c r="AN19" s="1556"/>
      <c r="AO19" s="1556"/>
      <c r="AP19" s="1556"/>
      <c r="AQ19" s="1556"/>
      <c r="AR19" s="1556"/>
      <c r="AS19" s="1556"/>
      <c r="AT19" s="1556"/>
      <c r="AU19" s="1556"/>
      <c r="AV19" s="1556"/>
      <c r="AW19" s="1556"/>
      <c r="AX19" s="1556"/>
      <c r="AY19" s="1556"/>
      <c r="AZ19" s="1556"/>
      <c r="BA19" s="1556"/>
      <c r="BB19" s="1556"/>
      <c r="BC19" s="1556"/>
      <c r="BD19" s="1556"/>
      <c r="BE19" s="1556"/>
      <c r="BF19" s="18"/>
      <c r="BG19" s="18"/>
      <c r="BH19" s="18"/>
      <c r="BI19" s="18"/>
    </row>
    <row r="20" spans="2:119" ht="13.5" customHeight="1" x14ac:dyDescent="0.2">
      <c r="B20" s="961" t="s">
        <v>402</v>
      </c>
      <c r="C20" s="414">
        <f>C18+C19</f>
        <v>13.609276724559734</v>
      </c>
      <c r="D20" s="43" t="s">
        <v>3</v>
      </c>
      <c r="E20" s="44" t="s">
        <v>405</v>
      </c>
      <c r="F20" s="721">
        <f>'1-Eng Inputs'!B15*0.0254</f>
        <v>1.9926299999999999</v>
      </c>
      <c r="G20" s="19" t="s">
        <v>0</v>
      </c>
      <c r="H20" s="44" t="s">
        <v>410</v>
      </c>
      <c r="I20" s="721">
        <f>F20</f>
        <v>1.9926299999999999</v>
      </c>
      <c r="J20" s="963" t="s">
        <v>0</v>
      </c>
      <c r="K20" s="43"/>
      <c r="L20" s="47"/>
      <c r="M20" s="19"/>
      <c r="N20" s="23"/>
      <c r="O20" s="18"/>
      <c r="P20" s="18"/>
      <c r="Q20" s="18"/>
      <c r="R20" s="18"/>
      <c r="S20" s="18"/>
      <c r="T20" s="18"/>
      <c r="U20" s="18"/>
      <c r="V20" s="1556"/>
      <c r="W20" s="1556"/>
      <c r="X20" s="1556"/>
      <c r="Y20" s="1556"/>
      <c r="Z20" s="1556"/>
      <c r="AA20" s="1556"/>
      <c r="AB20" s="1556"/>
      <c r="AC20" s="1556"/>
      <c r="AD20" s="1556"/>
      <c r="AE20" s="1556"/>
      <c r="AF20" s="1556"/>
      <c r="AG20" s="1556"/>
      <c r="AH20" s="1556"/>
      <c r="AI20" s="1556"/>
      <c r="AJ20" s="1556"/>
      <c r="AK20" s="1556"/>
      <c r="AL20" s="1556"/>
      <c r="AM20" s="1556"/>
      <c r="AN20" s="1556"/>
      <c r="AO20" s="1556"/>
      <c r="AP20" s="1556"/>
      <c r="AQ20" s="1556"/>
      <c r="AR20" s="1556"/>
      <c r="AS20" s="1556"/>
      <c r="AT20" s="1556"/>
      <c r="AU20" s="1556"/>
      <c r="AV20" s="1556"/>
      <c r="AW20" s="1556"/>
      <c r="AX20" s="1556"/>
      <c r="AY20" s="1556"/>
      <c r="AZ20" s="1556"/>
      <c r="BA20" s="1556"/>
      <c r="BB20" s="1556"/>
      <c r="BC20" s="1556"/>
      <c r="BD20" s="1556"/>
      <c r="BE20" s="1556"/>
      <c r="BF20" s="18"/>
      <c r="BG20" s="18"/>
      <c r="BH20" s="18"/>
      <c r="BI20" s="18"/>
    </row>
    <row r="21" spans="2:119" ht="13.5" customHeight="1" x14ac:dyDescent="0.2">
      <c r="B21" s="964" t="s">
        <v>168</v>
      </c>
      <c r="C21" s="721">
        <f>'1-Eng Inputs'!B17*0.453592</f>
        <v>21.5909792</v>
      </c>
      <c r="D21" s="43" t="s">
        <v>169</v>
      </c>
      <c r="E21" s="44" t="s">
        <v>406</v>
      </c>
      <c r="F21" s="414">
        <f>F19*F20</f>
        <v>1.9941443987999996</v>
      </c>
      <c r="G21" s="19" t="s">
        <v>1</v>
      </c>
      <c r="H21" s="44" t="s">
        <v>411</v>
      </c>
      <c r="I21" s="414">
        <f>I20*I19</f>
        <v>0.45830490000000002</v>
      </c>
      <c r="J21" s="963" t="s">
        <v>1</v>
      </c>
      <c r="K21" s="43"/>
      <c r="L21" s="47"/>
      <c r="M21" s="19"/>
      <c r="N21" s="23"/>
      <c r="O21" s="1523" t="str">
        <f>M27</f>
        <v>setback a</v>
      </c>
      <c r="P21" s="1524"/>
      <c r="Q21" s="18"/>
      <c r="R21" s="18"/>
      <c r="S21" s="18"/>
      <c r="T21" s="18"/>
      <c r="U21" s="18"/>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8"/>
      <c r="BE21" s="18"/>
      <c r="BF21" s="18"/>
      <c r="BG21" s="18"/>
      <c r="BH21" s="18"/>
      <c r="BI21" s="18"/>
      <c r="BJ21" s="1523" t="str">
        <f>M27</f>
        <v>setback a</v>
      </c>
      <c r="BK21" s="1524"/>
      <c r="BO21" s="19"/>
      <c r="BP21" s="23"/>
      <c r="BQ21" s="1523" t="str">
        <f>BO27</f>
        <v>setback a</v>
      </c>
      <c r="BR21" s="1524"/>
      <c r="BS21" s="18"/>
      <c r="BT21" s="18"/>
      <c r="BU21" s="18"/>
      <c r="BV21" s="18"/>
      <c r="BW21" s="18"/>
      <c r="BX21" s="151"/>
      <c r="BY21" s="151"/>
      <c r="BZ21" s="151"/>
      <c r="CA21" s="151"/>
      <c r="CB21" s="151"/>
      <c r="CC21" s="151"/>
      <c r="CD21" s="151"/>
      <c r="CE21" s="151"/>
      <c r="CF21" s="151"/>
      <c r="CG21" s="151"/>
      <c r="CH21" s="151"/>
      <c r="CI21" s="151"/>
      <c r="CJ21" s="151"/>
      <c r="CK21" s="151"/>
      <c r="CL21" s="151"/>
      <c r="CM21" s="151"/>
      <c r="CN21" s="151"/>
      <c r="CO21" s="151"/>
      <c r="CP21" s="151"/>
      <c r="CQ21" s="151"/>
      <c r="CR21" s="151"/>
      <c r="CS21" s="151"/>
      <c r="CT21" s="151"/>
      <c r="CU21" s="151"/>
      <c r="CV21" s="151"/>
      <c r="CW21" s="151"/>
      <c r="CX21" s="151"/>
      <c r="CY21" s="151"/>
      <c r="CZ21" s="151"/>
      <c r="DA21" s="151"/>
      <c r="DB21" s="151"/>
      <c r="DC21" s="151"/>
      <c r="DD21" s="151"/>
      <c r="DE21" s="151"/>
      <c r="DF21" s="18"/>
      <c r="DG21" s="18"/>
      <c r="DH21" s="18"/>
      <c r="DI21" s="18"/>
      <c r="DJ21" s="18"/>
      <c r="DK21" s="18"/>
      <c r="DL21" s="1523" t="str">
        <f>BO27</f>
        <v>setback a</v>
      </c>
      <c r="DM21" s="1524"/>
    </row>
    <row r="22" spans="2:119" ht="13.5" customHeight="1" x14ac:dyDescent="0.2">
      <c r="B22" s="964" t="s">
        <v>307</v>
      </c>
      <c r="C22" s="721">
        <f>((SUM('2-Quote Inputs'!K7:K8)*2)+IF('2-Quote Inputs'!G31="YES",'2-Quote Inputs'!K9,0)+IF('1-Eng Inputs'!B32="YES",'2-Quote Inputs'!K15,0))*0.453592</f>
        <v>5.5478837519999997</v>
      </c>
      <c r="D22" s="43" t="s">
        <v>169</v>
      </c>
      <c r="E22" s="19"/>
      <c r="F22" s="19"/>
      <c r="G22" s="19"/>
      <c r="H22" s="19"/>
      <c r="I22" s="19"/>
      <c r="J22" s="965"/>
      <c r="K22" s="19"/>
      <c r="L22" s="152"/>
      <c r="M22" s="19"/>
      <c r="N22" s="23"/>
      <c r="O22" s="1523"/>
      <c r="P22" s="1524"/>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523"/>
      <c r="BK22" s="1524"/>
      <c r="BO22" s="19"/>
      <c r="BP22" s="23"/>
      <c r="BQ22" s="1523"/>
      <c r="BR22" s="1524"/>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523"/>
      <c r="DM22" s="1524"/>
    </row>
    <row r="23" spans="2:119" ht="13.5" customHeight="1" thickBot="1" x14ac:dyDescent="0.25">
      <c r="B23" s="966"/>
      <c r="C23" s="967"/>
      <c r="D23" s="968"/>
      <c r="E23" s="968"/>
      <c r="F23" s="967"/>
      <c r="G23" s="967"/>
      <c r="H23" s="967"/>
      <c r="I23" s="967"/>
      <c r="J23" s="969"/>
      <c r="K23" s="43"/>
      <c r="L23" s="47"/>
      <c r="M23" s="19"/>
      <c r="N23" s="19"/>
      <c r="O23" s="1523"/>
      <c r="P23" s="1524"/>
      <c r="Q23" s="333"/>
      <c r="R23" s="334"/>
      <c r="S23" s="334"/>
      <c r="T23" s="334"/>
      <c r="U23" s="335"/>
      <c r="V23" s="335"/>
      <c r="W23" s="335"/>
      <c r="X23" s="335"/>
      <c r="Y23" s="335"/>
      <c r="Z23" s="335"/>
      <c r="AA23" s="335"/>
      <c r="AB23" s="335"/>
      <c r="AC23" s="335"/>
      <c r="AD23" s="335"/>
      <c r="AE23" s="335"/>
      <c r="AF23" s="335"/>
      <c r="AG23" s="335"/>
      <c r="AH23" s="335"/>
      <c r="AI23" s="335"/>
      <c r="AJ23" s="335"/>
      <c r="AK23" s="335"/>
      <c r="AL23" s="335"/>
      <c r="AM23" s="335"/>
      <c r="AN23" s="335"/>
      <c r="AO23" s="335"/>
      <c r="AP23" s="335"/>
      <c r="AQ23" s="335"/>
      <c r="AR23" s="335"/>
      <c r="AS23" s="335"/>
      <c r="AT23" s="335"/>
      <c r="AU23" s="335"/>
      <c r="AV23" s="335"/>
      <c r="AW23" s="335"/>
      <c r="AX23" s="335"/>
      <c r="AY23" s="335"/>
      <c r="AZ23" s="335"/>
      <c r="BA23" s="335"/>
      <c r="BB23" s="335"/>
      <c r="BC23" s="335"/>
      <c r="BD23" s="335"/>
      <c r="BE23" s="335"/>
      <c r="BF23" s="335"/>
      <c r="BG23" s="335"/>
      <c r="BH23" s="335"/>
      <c r="BI23" s="336"/>
      <c r="BJ23" s="1523"/>
      <c r="BK23" s="1524"/>
      <c r="BL23" s="180"/>
      <c r="BO23" s="19"/>
      <c r="BP23" s="19"/>
      <c r="BQ23" s="1523"/>
      <c r="BR23" s="1524"/>
      <c r="BS23" s="333"/>
      <c r="BT23" s="334"/>
      <c r="BU23" s="334"/>
      <c r="BV23" s="334"/>
      <c r="BW23" s="335"/>
      <c r="BX23" s="335"/>
      <c r="BY23" s="335"/>
      <c r="BZ23" s="335"/>
      <c r="CA23" s="335"/>
      <c r="CB23" s="335"/>
      <c r="CC23" s="335"/>
      <c r="CD23" s="335"/>
      <c r="CE23" s="335"/>
      <c r="CF23" s="335"/>
      <c r="CG23" s="335"/>
      <c r="CH23" s="335"/>
      <c r="CI23" s="335"/>
      <c r="CJ23" s="335"/>
      <c r="CK23" s="335"/>
      <c r="CL23" s="335"/>
      <c r="CM23" s="335"/>
      <c r="CN23" s="335"/>
      <c r="CO23" s="335"/>
      <c r="CP23" s="335"/>
      <c r="CQ23" s="335"/>
      <c r="CR23" s="335"/>
      <c r="CS23" s="335"/>
      <c r="CT23" s="335"/>
      <c r="CU23" s="335"/>
      <c r="CV23" s="335"/>
      <c r="CW23" s="335"/>
      <c r="CX23" s="335"/>
      <c r="CY23" s="335"/>
      <c r="CZ23" s="335"/>
      <c r="DA23" s="335"/>
      <c r="DB23" s="335"/>
      <c r="DC23" s="335"/>
      <c r="DD23" s="335"/>
      <c r="DE23" s="335"/>
      <c r="DF23" s="335"/>
      <c r="DG23" s="335"/>
      <c r="DH23" s="335"/>
      <c r="DI23" s="335"/>
      <c r="DJ23" s="335"/>
      <c r="DK23" s="336"/>
      <c r="DL23" s="1523"/>
      <c r="DM23" s="1524"/>
      <c r="DN23" s="180"/>
    </row>
    <row r="24" spans="2:119" ht="13.5" customHeight="1" thickBot="1" x14ac:dyDescent="0.25">
      <c r="B24" s="1428" t="s">
        <v>412</v>
      </c>
      <c r="C24" s="1429"/>
      <c r="D24" s="1429"/>
      <c r="E24" s="1429"/>
      <c r="F24" s="1429"/>
      <c r="G24" s="1429"/>
      <c r="H24" s="1429"/>
      <c r="I24" s="1429"/>
      <c r="J24" s="1430"/>
      <c r="K24" s="1077"/>
      <c r="L24" s="47"/>
      <c r="M24" s="21"/>
      <c r="N24" s="21"/>
      <c r="O24" s="1523"/>
      <c r="P24" s="1524"/>
      <c r="Q24" s="333"/>
      <c r="R24" s="334"/>
      <c r="S24" s="334"/>
      <c r="T24" s="334"/>
      <c r="U24" s="335"/>
      <c r="V24" s="1485" t="s">
        <v>346</v>
      </c>
      <c r="W24" s="1485"/>
      <c r="X24" s="1485"/>
      <c r="Y24" s="1485"/>
      <c r="Z24" s="1485"/>
      <c r="AA24" s="1485"/>
      <c r="AB24" s="1485"/>
      <c r="AC24" s="1485"/>
      <c r="AD24" s="1485"/>
      <c r="AE24" s="1485"/>
      <c r="AF24" s="1485"/>
      <c r="AG24" s="1485"/>
      <c r="AH24" s="1485"/>
      <c r="AI24" s="1485"/>
      <c r="AJ24" s="1485"/>
      <c r="AK24" s="1485"/>
      <c r="AL24" s="1485"/>
      <c r="AM24" s="1485"/>
      <c r="AN24" s="1485"/>
      <c r="AO24" s="1485"/>
      <c r="AP24" s="1485"/>
      <c r="AQ24" s="1485"/>
      <c r="AR24" s="1485"/>
      <c r="AS24" s="1485"/>
      <c r="AT24" s="1485"/>
      <c r="AU24" s="1485"/>
      <c r="AV24" s="1485"/>
      <c r="AW24" s="1485"/>
      <c r="AX24" s="1485"/>
      <c r="AY24" s="1485"/>
      <c r="AZ24" s="1485"/>
      <c r="BA24" s="1485"/>
      <c r="BB24" s="1485"/>
      <c r="BC24" s="1485"/>
      <c r="BD24" s="1485"/>
      <c r="BE24" s="1485"/>
      <c r="BF24" s="335"/>
      <c r="BG24" s="335"/>
      <c r="BH24" s="335"/>
      <c r="BI24" s="336"/>
      <c r="BJ24" s="1523"/>
      <c r="BK24" s="1524"/>
      <c r="BL24" s="180"/>
      <c r="BO24" s="21"/>
      <c r="BP24" s="21"/>
      <c r="BQ24" s="1523"/>
      <c r="BR24" s="1524"/>
      <c r="BS24" s="333"/>
      <c r="BT24" s="334"/>
      <c r="BU24" s="334"/>
      <c r="BV24" s="334"/>
      <c r="BW24" s="335"/>
      <c r="BX24" s="1485" t="s">
        <v>349</v>
      </c>
      <c r="BY24" s="1485"/>
      <c r="BZ24" s="1485"/>
      <c r="CA24" s="1485"/>
      <c r="CB24" s="1485"/>
      <c r="CC24" s="1485"/>
      <c r="CD24" s="1485"/>
      <c r="CE24" s="1485"/>
      <c r="CF24" s="1485"/>
      <c r="CG24" s="1485"/>
      <c r="CH24" s="1485"/>
      <c r="CI24" s="1485"/>
      <c r="CJ24" s="1485"/>
      <c r="CK24" s="1485"/>
      <c r="CL24" s="1485"/>
      <c r="CM24" s="1485"/>
      <c r="CN24" s="1485"/>
      <c r="CO24" s="1485"/>
      <c r="CP24" s="1485"/>
      <c r="CQ24" s="1485"/>
      <c r="CR24" s="1485"/>
      <c r="CS24" s="1485"/>
      <c r="CT24" s="1485"/>
      <c r="CU24" s="1485"/>
      <c r="CV24" s="1485"/>
      <c r="CW24" s="1485"/>
      <c r="CX24" s="1485"/>
      <c r="CY24" s="1485"/>
      <c r="CZ24" s="1485"/>
      <c r="DA24" s="1485"/>
      <c r="DB24" s="1485"/>
      <c r="DC24" s="1485"/>
      <c r="DD24" s="1485"/>
      <c r="DE24" s="1485"/>
      <c r="DF24" s="1485"/>
      <c r="DG24" s="1485"/>
      <c r="DH24" s="335"/>
      <c r="DI24" s="335"/>
      <c r="DJ24" s="335"/>
      <c r="DK24" s="336"/>
      <c r="DL24" s="1523"/>
      <c r="DM24" s="1524"/>
      <c r="DN24" s="180"/>
    </row>
    <row r="25" spans="2:119" ht="13.5" customHeight="1" x14ac:dyDescent="0.2">
      <c r="B25" s="49" t="s">
        <v>413</v>
      </c>
      <c r="C25" s="415">
        <f>VLOOKUP($F$11,$C$104:$F$119,3,FALSE)</f>
        <v>1.0384922145487721</v>
      </c>
      <c r="D25" s="50" t="s">
        <v>2</v>
      </c>
      <c r="E25" s="50"/>
      <c r="F25" s="50"/>
      <c r="G25" s="50"/>
      <c r="H25" s="50"/>
      <c r="I25" s="50"/>
      <c r="J25" s="51"/>
      <c r="K25" s="43"/>
      <c r="L25" s="47"/>
      <c r="M25" s="19"/>
      <c r="N25" s="19"/>
      <c r="O25" s="1523"/>
      <c r="P25" s="1524"/>
      <c r="Q25" s="333"/>
      <c r="R25" s="334"/>
      <c r="S25" s="334"/>
      <c r="T25" s="334"/>
      <c r="U25" s="335"/>
      <c r="V25" s="335"/>
      <c r="W25" s="335"/>
      <c r="X25" s="335"/>
      <c r="Y25" s="335"/>
      <c r="Z25" s="335"/>
      <c r="AA25" s="335"/>
      <c r="AB25" s="335"/>
      <c r="AC25" s="335"/>
      <c r="AD25" s="335"/>
      <c r="AE25" s="335"/>
      <c r="AF25" s="335"/>
      <c r="AG25" s="335"/>
      <c r="AH25" s="335"/>
      <c r="AI25" s="335"/>
      <c r="AJ25" s="335"/>
      <c r="AK25" s="335"/>
      <c r="AL25" s="335"/>
      <c r="AM25" s="335"/>
      <c r="AN25" s="335"/>
      <c r="AO25" s="335"/>
      <c r="AP25" s="335"/>
      <c r="AQ25" s="335"/>
      <c r="AR25" s="335"/>
      <c r="AS25" s="335"/>
      <c r="AT25" s="335"/>
      <c r="AU25" s="335"/>
      <c r="AV25" s="335"/>
      <c r="AW25" s="335"/>
      <c r="AX25" s="335"/>
      <c r="AY25" s="335"/>
      <c r="AZ25" s="335"/>
      <c r="BA25" s="335"/>
      <c r="BB25" s="335"/>
      <c r="BC25" s="335"/>
      <c r="BD25" s="335"/>
      <c r="BE25" s="335"/>
      <c r="BF25" s="335"/>
      <c r="BG25" s="335"/>
      <c r="BH25" s="335"/>
      <c r="BI25" s="336"/>
      <c r="BJ25" s="1523"/>
      <c r="BK25" s="1524"/>
      <c r="BL25" s="180"/>
      <c r="BO25" s="19"/>
      <c r="BP25" s="19"/>
      <c r="BQ25" s="1523"/>
      <c r="BR25" s="1524"/>
      <c r="BS25" s="333"/>
      <c r="BT25" s="334"/>
      <c r="BU25" s="334"/>
      <c r="BV25" s="334"/>
      <c r="BW25" s="335"/>
      <c r="BX25" s="335"/>
      <c r="BY25" s="335"/>
      <c r="BZ25" s="335"/>
      <c r="CA25" s="335"/>
      <c r="CB25" s="335"/>
      <c r="CC25" s="335"/>
      <c r="CD25" s="335"/>
      <c r="CE25" s="335"/>
      <c r="CF25" s="335"/>
      <c r="CG25" s="335"/>
      <c r="CH25" s="335"/>
      <c r="CI25" s="335"/>
      <c r="CJ25" s="335"/>
      <c r="CK25" s="335"/>
      <c r="CL25" s="335"/>
      <c r="CM25" s="335"/>
      <c r="CN25" s="335"/>
      <c r="CO25" s="335"/>
      <c r="CP25" s="335"/>
      <c r="CQ25" s="335"/>
      <c r="CR25" s="335"/>
      <c r="CS25" s="335"/>
      <c r="CT25" s="335"/>
      <c r="CU25" s="335"/>
      <c r="CV25" s="335"/>
      <c r="CW25" s="335"/>
      <c r="CX25" s="335"/>
      <c r="CY25" s="335"/>
      <c r="CZ25" s="335"/>
      <c r="DA25" s="335"/>
      <c r="DB25" s="335"/>
      <c r="DC25" s="335"/>
      <c r="DD25" s="335"/>
      <c r="DE25" s="335"/>
      <c r="DF25" s="335"/>
      <c r="DG25" s="335"/>
      <c r="DH25" s="335"/>
      <c r="DI25" s="335"/>
      <c r="DJ25" s="335"/>
      <c r="DK25" s="336"/>
      <c r="DL25" s="1523"/>
      <c r="DM25" s="1524"/>
      <c r="DN25" s="180"/>
    </row>
    <row r="26" spans="2:119" ht="13.5" customHeight="1" thickBot="1" x14ac:dyDescent="0.25">
      <c r="B26" s="42" t="s">
        <v>379</v>
      </c>
      <c r="C26" s="504" t="str">
        <f>VLOOKUP($F$11,$C$104:$F$119,4,FALSE)</f>
        <v>Exp. B</v>
      </c>
      <c r="D26" s="94" t="s">
        <v>4</v>
      </c>
      <c r="E26" s="94"/>
      <c r="F26" s="43"/>
      <c r="G26" s="43"/>
      <c r="H26" s="43"/>
      <c r="I26" s="43"/>
      <c r="J26" s="45"/>
      <c r="K26" s="43"/>
      <c r="L26" s="47"/>
      <c r="M26" s="52"/>
      <c r="N26" s="52"/>
      <c r="Q26" s="118"/>
      <c r="R26" s="118"/>
      <c r="S26" s="118"/>
      <c r="T26" s="118"/>
      <c r="U26" s="153"/>
      <c r="V26" s="153"/>
      <c r="W26" s="153"/>
      <c r="X26" s="153"/>
      <c r="Y26" s="118"/>
      <c r="Z26" s="118"/>
      <c r="AA26" s="118"/>
      <c r="AB26" s="118"/>
      <c r="AC26" s="118"/>
      <c r="AD26" s="118"/>
      <c r="AE26" s="118"/>
      <c r="AF26" s="118"/>
      <c r="AG26" s="118"/>
      <c r="AH26" s="118"/>
      <c r="AI26" s="118"/>
      <c r="AJ26" s="118"/>
      <c r="AK26" s="118"/>
      <c r="AL26" s="153"/>
      <c r="AM26" s="153"/>
      <c r="AN26" s="153"/>
      <c r="AO26" s="118"/>
      <c r="AP26" s="118"/>
      <c r="AQ26" s="118"/>
      <c r="AR26" s="118"/>
      <c r="AS26" s="118"/>
      <c r="AT26" s="118"/>
      <c r="AU26" s="118"/>
      <c r="AV26" s="118"/>
      <c r="AW26" s="118"/>
      <c r="AX26" s="118"/>
      <c r="AY26" s="118"/>
      <c r="AZ26" s="118"/>
      <c r="BA26" s="118"/>
      <c r="BB26" s="118"/>
      <c r="BC26" s="118"/>
      <c r="BD26" s="118"/>
      <c r="BE26" s="118"/>
      <c r="BF26" s="153"/>
      <c r="BG26" s="153"/>
      <c r="BH26" s="153"/>
      <c r="BI26" s="153"/>
      <c r="BL26" s="180"/>
      <c r="BO26" s="52"/>
      <c r="BP26" s="52"/>
      <c r="BS26" s="118"/>
      <c r="BT26" s="118"/>
      <c r="BU26" s="118"/>
      <c r="BV26" s="118"/>
      <c r="BW26" s="153"/>
      <c r="BX26" s="153"/>
      <c r="BY26" s="153"/>
      <c r="BZ26" s="153"/>
      <c r="CA26" s="118"/>
      <c r="CB26" s="118"/>
      <c r="CC26" s="118"/>
      <c r="CD26" s="118"/>
      <c r="CE26" s="118"/>
      <c r="CF26" s="118"/>
      <c r="CG26" s="118"/>
      <c r="CH26" s="118"/>
      <c r="CI26" s="118"/>
      <c r="CJ26" s="118"/>
      <c r="CK26" s="118"/>
      <c r="CL26" s="118"/>
      <c r="CM26" s="118"/>
      <c r="CN26" s="153"/>
      <c r="CO26" s="153"/>
      <c r="CP26" s="153"/>
      <c r="CQ26" s="118"/>
      <c r="CR26" s="118"/>
      <c r="CS26" s="118"/>
      <c r="CT26" s="118"/>
      <c r="CU26" s="118"/>
      <c r="CV26" s="118"/>
      <c r="CW26" s="118"/>
      <c r="CX26" s="118"/>
      <c r="CY26" s="118"/>
      <c r="CZ26" s="118"/>
      <c r="DA26" s="118"/>
      <c r="DB26" s="118"/>
      <c r="DC26" s="118"/>
      <c r="DD26" s="118"/>
      <c r="DE26" s="118"/>
      <c r="DF26" s="118"/>
      <c r="DG26" s="118"/>
      <c r="DH26" s="153"/>
      <c r="DI26" s="153"/>
      <c r="DJ26" s="153"/>
      <c r="DK26" s="153"/>
      <c r="DN26" s="180"/>
    </row>
    <row r="27" spans="2:119" ht="13.5" customHeight="1" thickTop="1" thickBot="1" x14ac:dyDescent="0.25">
      <c r="B27" s="274"/>
      <c r="C27" s="416"/>
      <c r="D27" s="46"/>
      <c r="E27" s="46"/>
      <c r="F27" s="46"/>
      <c r="G27" s="46"/>
      <c r="H27" s="46"/>
      <c r="I27" s="46"/>
      <c r="J27" s="329"/>
      <c r="K27" s="46"/>
      <c r="L27" s="19"/>
      <c r="M27" s="1314" t="s">
        <v>445</v>
      </c>
      <c r="N27" s="52"/>
      <c r="O27" s="363"/>
      <c r="P27" s="364"/>
      <c r="Q27" s="1319" t="s">
        <v>447</v>
      </c>
      <c r="R27" s="1320"/>
      <c r="S27" s="1320"/>
      <c r="T27" s="1320"/>
      <c r="U27" s="1320"/>
      <c r="V27" s="1320"/>
      <c r="W27" s="1320"/>
      <c r="X27" s="1320"/>
      <c r="Y27" s="1320"/>
      <c r="Z27" s="1320"/>
      <c r="AA27" s="1320"/>
      <c r="AB27" s="1320"/>
      <c r="AC27" s="1320"/>
      <c r="AD27" s="1320"/>
      <c r="AE27" s="1320"/>
      <c r="AF27" s="1320"/>
      <c r="AG27" s="1320"/>
      <c r="AH27" s="1320"/>
      <c r="AI27" s="1320"/>
      <c r="AJ27" s="1320"/>
      <c r="AK27" s="1320"/>
      <c r="AL27" s="1320"/>
      <c r="AM27" s="1320"/>
      <c r="AN27" s="1320"/>
      <c r="AO27" s="1320"/>
      <c r="AP27" s="1320"/>
      <c r="AQ27" s="1320"/>
      <c r="AR27" s="1320"/>
      <c r="AS27" s="1320"/>
      <c r="AT27" s="1320"/>
      <c r="AU27" s="1320"/>
      <c r="AV27" s="1320"/>
      <c r="AW27" s="1320"/>
      <c r="AX27" s="1320"/>
      <c r="AY27" s="1320"/>
      <c r="AZ27" s="1320"/>
      <c r="BA27" s="1320"/>
      <c r="BB27" s="1320"/>
      <c r="BC27" s="1320"/>
      <c r="BD27" s="1320"/>
      <c r="BE27" s="1320"/>
      <c r="BF27" s="1320"/>
      <c r="BG27" s="1320"/>
      <c r="BH27" s="1320"/>
      <c r="BI27" s="1321"/>
      <c r="BJ27" s="365"/>
      <c r="BK27" s="366"/>
      <c r="BL27" s="359"/>
      <c r="BM27" s="484"/>
      <c r="BO27" s="1314" t="s">
        <v>445</v>
      </c>
      <c r="BP27" s="52"/>
      <c r="BQ27" s="363"/>
      <c r="BR27" s="364"/>
      <c r="BS27" s="1319" t="s">
        <v>447</v>
      </c>
      <c r="BT27" s="1320"/>
      <c r="BU27" s="1320"/>
      <c r="BV27" s="1320"/>
      <c r="BW27" s="1320"/>
      <c r="BX27" s="1320"/>
      <c r="BY27" s="1320"/>
      <c r="BZ27" s="1320"/>
      <c r="CA27" s="1320"/>
      <c r="CB27" s="1320"/>
      <c r="CC27" s="1320"/>
      <c r="CD27" s="1320"/>
      <c r="CE27" s="1320"/>
      <c r="CF27" s="1320"/>
      <c r="CG27" s="1320"/>
      <c r="CH27" s="1320"/>
      <c r="CI27" s="1320"/>
      <c r="CJ27" s="1320"/>
      <c r="CK27" s="1320"/>
      <c r="CL27" s="1320"/>
      <c r="CM27" s="1320"/>
      <c r="CN27" s="1320"/>
      <c r="CO27" s="1320"/>
      <c r="CP27" s="1320"/>
      <c r="CQ27" s="1320"/>
      <c r="CR27" s="1320"/>
      <c r="CS27" s="1320"/>
      <c r="CT27" s="1320"/>
      <c r="CU27" s="1320"/>
      <c r="CV27" s="1320"/>
      <c r="CW27" s="1320"/>
      <c r="CX27" s="1320"/>
      <c r="CY27" s="1320"/>
      <c r="CZ27" s="1320"/>
      <c r="DA27" s="1320"/>
      <c r="DB27" s="1320"/>
      <c r="DC27" s="1320"/>
      <c r="DD27" s="1320"/>
      <c r="DE27" s="1320"/>
      <c r="DF27" s="1320"/>
      <c r="DG27" s="1320"/>
      <c r="DH27" s="1320"/>
      <c r="DI27" s="1320"/>
      <c r="DJ27" s="1320"/>
      <c r="DK27" s="1321"/>
      <c r="DL27" s="365"/>
      <c r="DM27" s="366"/>
      <c r="DN27" s="359"/>
      <c r="DO27" s="484"/>
    </row>
    <row r="28" spans="2:119" ht="13.5" customHeight="1" thickBot="1" x14ac:dyDescent="0.25">
      <c r="B28" s="1428" t="s">
        <v>414</v>
      </c>
      <c r="C28" s="1429"/>
      <c r="D28" s="1429"/>
      <c r="E28" s="1429"/>
      <c r="F28" s="1429"/>
      <c r="G28" s="1429"/>
      <c r="H28" s="1429"/>
      <c r="I28" s="1429"/>
      <c r="J28" s="1430"/>
      <c r="K28" s="1077"/>
      <c r="M28" s="1315"/>
      <c r="N28" s="52"/>
      <c r="O28" s="367"/>
      <c r="P28" s="154"/>
      <c r="Q28" s="1322"/>
      <c r="R28" s="1739"/>
      <c r="S28" s="1739"/>
      <c r="T28" s="1739"/>
      <c r="U28" s="1739"/>
      <c r="V28" s="1739"/>
      <c r="W28" s="1739"/>
      <c r="X28" s="1739"/>
      <c r="Y28" s="1739"/>
      <c r="Z28" s="1739"/>
      <c r="AA28" s="1739"/>
      <c r="AB28" s="1739"/>
      <c r="AC28" s="1739"/>
      <c r="AD28" s="1739"/>
      <c r="AE28" s="1739"/>
      <c r="AF28" s="1739"/>
      <c r="AG28" s="1739"/>
      <c r="AH28" s="1739"/>
      <c r="AI28" s="1739"/>
      <c r="AJ28" s="1739"/>
      <c r="AK28" s="1739"/>
      <c r="AL28" s="1739"/>
      <c r="AM28" s="1739"/>
      <c r="AN28" s="1739"/>
      <c r="AO28" s="1739"/>
      <c r="AP28" s="1739"/>
      <c r="AQ28" s="1739"/>
      <c r="AR28" s="1739"/>
      <c r="AS28" s="1739"/>
      <c r="AT28" s="1739"/>
      <c r="AU28" s="1739"/>
      <c r="AV28" s="1739"/>
      <c r="AW28" s="1739"/>
      <c r="AX28" s="1739"/>
      <c r="AY28" s="1739"/>
      <c r="AZ28" s="1739"/>
      <c r="BA28" s="1739"/>
      <c r="BB28" s="1739"/>
      <c r="BC28" s="1739"/>
      <c r="BD28" s="1739"/>
      <c r="BE28" s="1739"/>
      <c r="BF28" s="1739"/>
      <c r="BG28" s="1739"/>
      <c r="BH28" s="1739"/>
      <c r="BI28" s="1740"/>
      <c r="BJ28" s="48"/>
      <c r="BK28" s="368"/>
      <c r="BL28" s="360"/>
      <c r="BM28" s="485"/>
      <c r="BO28" s="1315"/>
      <c r="BP28" s="52"/>
      <c r="BQ28" s="367"/>
      <c r="BR28" s="154"/>
      <c r="BS28" s="1322"/>
      <c r="BT28" s="1739"/>
      <c r="BU28" s="1739"/>
      <c r="BV28" s="1739"/>
      <c r="BW28" s="1739"/>
      <c r="BX28" s="1739"/>
      <c r="BY28" s="1739"/>
      <c r="BZ28" s="1739"/>
      <c r="CA28" s="1739"/>
      <c r="CB28" s="1739"/>
      <c r="CC28" s="1739"/>
      <c r="CD28" s="1739"/>
      <c r="CE28" s="1739"/>
      <c r="CF28" s="1739"/>
      <c r="CG28" s="1739"/>
      <c r="CH28" s="1739"/>
      <c r="CI28" s="1739"/>
      <c r="CJ28" s="1739"/>
      <c r="CK28" s="1739"/>
      <c r="CL28" s="1739"/>
      <c r="CM28" s="1739"/>
      <c r="CN28" s="1739"/>
      <c r="CO28" s="1739"/>
      <c r="CP28" s="1739"/>
      <c r="CQ28" s="1739"/>
      <c r="CR28" s="1739"/>
      <c r="CS28" s="1739"/>
      <c r="CT28" s="1739"/>
      <c r="CU28" s="1739"/>
      <c r="CV28" s="1739"/>
      <c r="CW28" s="1739"/>
      <c r="CX28" s="1739"/>
      <c r="CY28" s="1739"/>
      <c r="CZ28" s="1739"/>
      <c r="DA28" s="1739"/>
      <c r="DB28" s="1739"/>
      <c r="DC28" s="1739"/>
      <c r="DD28" s="1739"/>
      <c r="DE28" s="1739"/>
      <c r="DF28" s="1739"/>
      <c r="DG28" s="1739"/>
      <c r="DH28" s="1739"/>
      <c r="DI28" s="1739"/>
      <c r="DJ28" s="1739"/>
      <c r="DK28" s="1740"/>
      <c r="DL28" s="48"/>
      <c r="DM28" s="368"/>
      <c r="DN28" s="360"/>
      <c r="DO28" s="485"/>
    </row>
    <row r="29" spans="2:119" ht="13.5" customHeight="1" thickTop="1" x14ac:dyDescent="0.2">
      <c r="B29" s="326"/>
      <c r="C29" s="340"/>
      <c r="D29" s="327"/>
      <c r="E29" s="327"/>
      <c r="F29" s="327"/>
      <c r="G29" s="327"/>
      <c r="H29" s="327"/>
      <c r="I29" s="327"/>
      <c r="J29" s="328"/>
      <c r="K29" s="1078"/>
      <c r="M29" s="490"/>
      <c r="N29" s="52"/>
      <c r="O29" s="1547" t="s">
        <v>446</v>
      </c>
      <c r="P29" s="1548"/>
      <c r="Q29" s="1537" t="str">
        <f>V29</f>
        <v>North row
Interior modules</v>
      </c>
      <c r="R29" s="1535"/>
      <c r="S29" s="1535"/>
      <c r="T29" s="1535"/>
      <c r="U29" s="1536"/>
      <c r="V29" s="1534" t="str">
        <f>CONCATENATE(B87,CHAR(10),E88)</f>
        <v>North row
Interior modules</v>
      </c>
      <c r="W29" s="1535"/>
      <c r="X29" s="1535"/>
      <c r="Y29" s="1535"/>
      <c r="Z29" s="1536"/>
      <c r="AA29" s="1513" t="str">
        <f>CONCATENATE(B87,CHAR(10),E87)</f>
        <v>North row
1st-10th module</v>
      </c>
      <c r="AB29" s="1514"/>
      <c r="AC29" s="1514"/>
      <c r="AD29" s="1514"/>
      <c r="AE29" s="1515"/>
      <c r="AF29" s="1541" t="str">
        <f>CONCATENATE(B78,CHAR(10),E79)</f>
        <v>North row
Interior modules</v>
      </c>
      <c r="AG29" s="1542"/>
      <c r="AH29" s="1542"/>
      <c r="AI29" s="1542"/>
      <c r="AJ29" s="1543"/>
      <c r="AK29" s="1544" t="str">
        <f>CONCATENATE(B78,CHAR(10),E78)</f>
        <v>North row
1st-10th module</v>
      </c>
      <c r="AL29" s="1545"/>
      <c r="AM29" s="1545"/>
      <c r="AN29" s="1545"/>
      <c r="AO29" s="1546"/>
      <c r="AP29" s="1538" t="str">
        <f>CONCATENATE(B69,CHAR(10),E70)</f>
        <v>North row
Interior modules</v>
      </c>
      <c r="AQ29" s="1539"/>
      <c r="AR29" s="1539"/>
      <c r="AS29" s="1539"/>
      <c r="AT29" s="1540"/>
      <c r="AU29" s="1531" t="str">
        <f>CONCATENATE(B69,CHAR(10),E69)</f>
        <v>North row
1st-10th module</v>
      </c>
      <c r="AV29" s="1532"/>
      <c r="AW29" s="1532"/>
      <c r="AX29" s="1532"/>
      <c r="AY29" s="1533"/>
      <c r="AZ29" s="1528" t="str">
        <f>CONCATENATE(B51,CHAR(10),E52)</f>
        <v>North row
Interior modules</v>
      </c>
      <c r="BA29" s="1529"/>
      <c r="BB29" s="1529"/>
      <c r="BC29" s="1529"/>
      <c r="BD29" s="1530"/>
      <c r="BE29" s="1525" t="str">
        <f>CONCATENATE(B51,CHAR(10),E51)</f>
        <v>North row
1st-10th module</v>
      </c>
      <c r="BF29" s="1526"/>
      <c r="BG29" s="1526"/>
      <c r="BH29" s="1526"/>
      <c r="BI29" s="1527"/>
      <c r="BJ29" s="1547" t="s">
        <v>448</v>
      </c>
      <c r="BK29" s="1548"/>
      <c r="BL29" s="360"/>
      <c r="BM29" s="485"/>
      <c r="BO29" s="490"/>
      <c r="BP29" s="52"/>
      <c r="BQ29" s="1547" t="s">
        <v>446</v>
      </c>
      <c r="BR29" s="1548"/>
      <c r="BS29" s="1772" t="str">
        <f>BE29</f>
        <v>North row
1st-10th module</v>
      </c>
      <c r="BT29" s="1773"/>
      <c r="BU29" s="1773"/>
      <c r="BV29" s="1773"/>
      <c r="BW29" s="1773"/>
      <c r="BX29" s="1774" t="str">
        <f>AZ29</f>
        <v>North row
Interior modules</v>
      </c>
      <c r="BY29" s="1774"/>
      <c r="BZ29" s="1774"/>
      <c r="CA29" s="1774"/>
      <c r="CB29" s="1774"/>
      <c r="CC29" s="1775" t="str">
        <f>AU29</f>
        <v>North row
1st-10th module</v>
      </c>
      <c r="CD29" s="1775"/>
      <c r="CE29" s="1775"/>
      <c r="CF29" s="1775"/>
      <c r="CG29" s="1775"/>
      <c r="CH29" s="1752" t="str">
        <f>AP29</f>
        <v>North row
Interior modules</v>
      </c>
      <c r="CI29" s="1752"/>
      <c r="CJ29" s="1752"/>
      <c r="CK29" s="1752"/>
      <c r="CL29" s="1752"/>
      <c r="CM29" s="1753" t="str">
        <f>AK29</f>
        <v>North row
1st-10th module</v>
      </c>
      <c r="CN29" s="1753"/>
      <c r="CO29" s="1753"/>
      <c r="CP29" s="1753"/>
      <c r="CQ29" s="1753"/>
      <c r="CR29" s="1755" t="str">
        <f>AF29</f>
        <v>North row
Interior modules</v>
      </c>
      <c r="CS29" s="1755"/>
      <c r="CT29" s="1755"/>
      <c r="CU29" s="1755"/>
      <c r="CV29" s="1755"/>
      <c r="CW29" s="1746" t="str">
        <f>AA29</f>
        <v>North row
1st-10th module</v>
      </c>
      <c r="CX29" s="1746"/>
      <c r="CY29" s="1746"/>
      <c r="CZ29" s="1746"/>
      <c r="DA29" s="1746"/>
      <c r="DB29" s="1748" t="str">
        <f>V29</f>
        <v>North row
Interior modules</v>
      </c>
      <c r="DC29" s="1748"/>
      <c r="DD29" s="1748"/>
      <c r="DE29" s="1748"/>
      <c r="DF29" s="1748"/>
      <c r="DG29" s="1748" t="str">
        <f>Q29</f>
        <v>North row
Interior modules</v>
      </c>
      <c r="DH29" s="1748"/>
      <c r="DI29" s="1748"/>
      <c r="DJ29" s="1748"/>
      <c r="DK29" s="1750"/>
      <c r="DL29" s="1547" t="s">
        <v>448</v>
      </c>
      <c r="DM29" s="1548"/>
      <c r="DN29" s="360"/>
      <c r="DO29" s="485"/>
    </row>
    <row r="30" spans="2:119" ht="13.5" customHeight="1" x14ac:dyDescent="0.2">
      <c r="B30" s="274" t="s">
        <v>415</v>
      </c>
      <c r="C30" s="746">
        <f>'Friction Data'!E16</f>
        <v>0.45</v>
      </c>
      <c r="D30" s="46" t="s">
        <v>4</v>
      </c>
      <c r="E30" s="46"/>
      <c r="F30" s="46"/>
      <c r="G30" s="43"/>
      <c r="H30" s="43"/>
      <c r="I30" s="43"/>
      <c r="J30" s="329"/>
      <c r="K30" s="46"/>
      <c r="M30" s="491"/>
      <c r="N30" s="54"/>
      <c r="O30" s="1549"/>
      <c r="P30" s="1550"/>
      <c r="Q30" s="1304"/>
      <c r="R30" s="1253"/>
      <c r="S30" s="1253"/>
      <c r="T30" s="1253"/>
      <c r="U30" s="1254"/>
      <c r="V30" s="1252"/>
      <c r="W30" s="1253"/>
      <c r="X30" s="1253"/>
      <c r="Y30" s="1253"/>
      <c r="Z30" s="1254"/>
      <c r="AA30" s="1243"/>
      <c r="AB30" s="1244"/>
      <c r="AC30" s="1244"/>
      <c r="AD30" s="1244"/>
      <c r="AE30" s="1245"/>
      <c r="AF30" s="1279"/>
      <c r="AG30" s="1280"/>
      <c r="AH30" s="1280"/>
      <c r="AI30" s="1280"/>
      <c r="AJ30" s="1281"/>
      <c r="AK30" s="1288"/>
      <c r="AL30" s="1289"/>
      <c r="AM30" s="1289"/>
      <c r="AN30" s="1289"/>
      <c r="AO30" s="1290"/>
      <c r="AP30" s="1297"/>
      <c r="AQ30" s="1298"/>
      <c r="AR30" s="1298"/>
      <c r="AS30" s="1298"/>
      <c r="AT30" s="1299"/>
      <c r="AU30" s="1489"/>
      <c r="AV30" s="1490"/>
      <c r="AW30" s="1490"/>
      <c r="AX30" s="1490"/>
      <c r="AY30" s="1491"/>
      <c r="AZ30" s="1507"/>
      <c r="BA30" s="1508"/>
      <c r="BB30" s="1508"/>
      <c r="BC30" s="1508"/>
      <c r="BD30" s="1509"/>
      <c r="BE30" s="1498"/>
      <c r="BF30" s="1499"/>
      <c r="BG30" s="1499"/>
      <c r="BH30" s="1499"/>
      <c r="BI30" s="1500"/>
      <c r="BJ30" s="1549"/>
      <c r="BK30" s="1550"/>
      <c r="BL30" s="360"/>
      <c r="BM30" s="485"/>
      <c r="BO30" s="491"/>
      <c r="BP30" s="54"/>
      <c r="BQ30" s="1549"/>
      <c r="BR30" s="1550"/>
      <c r="BS30" s="1741"/>
      <c r="BT30" s="1742"/>
      <c r="BU30" s="1742"/>
      <c r="BV30" s="1742"/>
      <c r="BW30" s="1742"/>
      <c r="BX30" s="1743"/>
      <c r="BY30" s="1743"/>
      <c r="BZ30" s="1743"/>
      <c r="CA30" s="1743"/>
      <c r="CB30" s="1743"/>
      <c r="CC30" s="1744"/>
      <c r="CD30" s="1744"/>
      <c r="CE30" s="1744"/>
      <c r="CF30" s="1744"/>
      <c r="CG30" s="1744"/>
      <c r="CH30" s="1745"/>
      <c r="CI30" s="1745"/>
      <c r="CJ30" s="1745"/>
      <c r="CK30" s="1745"/>
      <c r="CL30" s="1745"/>
      <c r="CM30" s="1754"/>
      <c r="CN30" s="1754"/>
      <c r="CO30" s="1754"/>
      <c r="CP30" s="1754"/>
      <c r="CQ30" s="1754"/>
      <c r="CR30" s="1756"/>
      <c r="CS30" s="1756"/>
      <c r="CT30" s="1756"/>
      <c r="CU30" s="1756"/>
      <c r="CV30" s="1756"/>
      <c r="CW30" s="1747"/>
      <c r="CX30" s="1747"/>
      <c r="CY30" s="1747"/>
      <c r="CZ30" s="1747"/>
      <c r="DA30" s="1747"/>
      <c r="DB30" s="1749"/>
      <c r="DC30" s="1749"/>
      <c r="DD30" s="1749"/>
      <c r="DE30" s="1749"/>
      <c r="DF30" s="1749"/>
      <c r="DG30" s="1749"/>
      <c r="DH30" s="1749"/>
      <c r="DI30" s="1749"/>
      <c r="DJ30" s="1749"/>
      <c r="DK30" s="1751"/>
      <c r="DL30" s="1549"/>
      <c r="DM30" s="1550"/>
      <c r="DN30" s="360"/>
      <c r="DO30" s="485"/>
    </row>
    <row r="31" spans="2:119" ht="13.5" customHeight="1" x14ac:dyDescent="0.2">
      <c r="B31" s="274" t="s">
        <v>416</v>
      </c>
      <c r="C31" s="414">
        <f>'building data'!C23</f>
        <v>1.1934894239820351</v>
      </c>
      <c r="D31" s="43" t="s">
        <v>5</v>
      </c>
      <c r="E31" s="43"/>
      <c r="F31" s="43"/>
      <c r="G31" s="43"/>
      <c r="H31" s="43"/>
      <c r="I31" s="43"/>
      <c r="J31" s="53"/>
      <c r="K31" s="46"/>
      <c r="L31" s="156"/>
      <c r="M31" s="491"/>
      <c r="N31" s="54"/>
      <c r="O31" s="1549"/>
      <c r="P31" s="1550"/>
      <c r="Q31" s="1305"/>
      <c r="R31" s="1256"/>
      <c r="S31" s="1256"/>
      <c r="T31" s="1256"/>
      <c r="U31" s="1257"/>
      <c r="V31" s="1255"/>
      <c r="W31" s="1256"/>
      <c r="X31" s="1256"/>
      <c r="Y31" s="1256"/>
      <c r="Z31" s="1257"/>
      <c r="AA31" s="1246"/>
      <c r="AB31" s="1247"/>
      <c r="AC31" s="1247"/>
      <c r="AD31" s="1247"/>
      <c r="AE31" s="1248"/>
      <c r="AF31" s="1282"/>
      <c r="AG31" s="1283"/>
      <c r="AH31" s="1283"/>
      <c r="AI31" s="1283"/>
      <c r="AJ31" s="1284"/>
      <c r="AK31" s="1291"/>
      <c r="AL31" s="1292"/>
      <c r="AM31" s="1292"/>
      <c r="AN31" s="1292"/>
      <c r="AO31" s="1293"/>
      <c r="AP31" s="1300"/>
      <c r="AQ31" s="1301"/>
      <c r="AR31" s="1301"/>
      <c r="AS31" s="1301"/>
      <c r="AT31" s="1302"/>
      <c r="AU31" s="1492"/>
      <c r="AV31" s="1493"/>
      <c r="AW31" s="1493"/>
      <c r="AX31" s="1493"/>
      <c r="AY31" s="1494"/>
      <c r="AZ31" s="1510"/>
      <c r="BA31" s="1511"/>
      <c r="BB31" s="1511"/>
      <c r="BC31" s="1511"/>
      <c r="BD31" s="1512"/>
      <c r="BE31" s="1501"/>
      <c r="BF31" s="1502"/>
      <c r="BG31" s="1502"/>
      <c r="BH31" s="1502"/>
      <c r="BI31" s="1503"/>
      <c r="BJ31" s="1549"/>
      <c r="BK31" s="1550"/>
      <c r="BL31" s="360"/>
      <c r="BM31" s="485"/>
      <c r="BO31" s="491"/>
      <c r="BP31" s="54"/>
      <c r="BQ31" s="1549"/>
      <c r="BR31" s="1550"/>
      <c r="BS31" s="1741"/>
      <c r="BT31" s="1742"/>
      <c r="BU31" s="1742"/>
      <c r="BV31" s="1742"/>
      <c r="BW31" s="1742"/>
      <c r="BX31" s="1743"/>
      <c r="BY31" s="1743"/>
      <c r="BZ31" s="1743"/>
      <c r="CA31" s="1743"/>
      <c r="CB31" s="1743"/>
      <c r="CC31" s="1744"/>
      <c r="CD31" s="1744"/>
      <c r="CE31" s="1744"/>
      <c r="CF31" s="1744"/>
      <c r="CG31" s="1744"/>
      <c r="CH31" s="1745"/>
      <c r="CI31" s="1745"/>
      <c r="CJ31" s="1745"/>
      <c r="CK31" s="1745"/>
      <c r="CL31" s="1745"/>
      <c r="CM31" s="1754"/>
      <c r="CN31" s="1754"/>
      <c r="CO31" s="1754"/>
      <c r="CP31" s="1754"/>
      <c r="CQ31" s="1754"/>
      <c r="CR31" s="1756"/>
      <c r="CS31" s="1756"/>
      <c r="CT31" s="1756"/>
      <c r="CU31" s="1756"/>
      <c r="CV31" s="1756"/>
      <c r="CW31" s="1747"/>
      <c r="CX31" s="1747"/>
      <c r="CY31" s="1747"/>
      <c r="CZ31" s="1747"/>
      <c r="DA31" s="1747"/>
      <c r="DB31" s="1749"/>
      <c r="DC31" s="1749"/>
      <c r="DD31" s="1749"/>
      <c r="DE31" s="1749"/>
      <c r="DF31" s="1749"/>
      <c r="DG31" s="1749"/>
      <c r="DH31" s="1749"/>
      <c r="DI31" s="1749"/>
      <c r="DJ31" s="1749"/>
      <c r="DK31" s="1751"/>
      <c r="DL31" s="1549"/>
      <c r="DM31" s="1550"/>
      <c r="DN31" s="360"/>
      <c r="DO31" s="485"/>
    </row>
    <row r="32" spans="2:119" ht="20.25" customHeight="1" x14ac:dyDescent="0.2">
      <c r="B32" s="1763" t="s">
        <v>417</v>
      </c>
      <c r="C32" s="1764"/>
      <c r="D32" s="1764"/>
      <c r="E32" s="1764"/>
      <c r="F32" s="1764"/>
      <c r="G32" s="1764"/>
      <c r="H32" s="1764"/>
      <c r="I32" s="1765"/>
      <c r="J32" s="1769" t="s">
        <v>19</v>
      </c>
      <c r="K32" s="1079"/>
      <c r="L32" s="157"/>
      <c r="M32" s="491"/>
      <c r="N32" s="54"/>
      <c r="O32" s="1549"/>
      <c r="P32" s="1550"/>
      <c r="Q32" s="1303" t="str">
        <f>V32</f>
        <v>Inner row
Interior modules</v>
      </c>
      <c r="R32" s="1250"/>
      <c r="S32" s="1250"/>
      <c r="T32" s="1250"/>
      <c r="U32" s="1251"/>
      <c r="V32" s="1249" t="str">
        <f>CONCATENATE(B108,CHAR(10),E90)</f>
        <v>Inner row
Interior modules</v>
      </c>
      <c r="W32" s="1250"/>
      <c r="X32" s="1250"/>
      <c r="Y32" s="1250"/>
      <c r="Z32" s="1251"/>
      <c r="AA32" s="1240" t="str">
        <f>CONCATENATE(B108,CHAR(10),E89)</f>
        <v>Inner row
1st-10th module</v>
      </c>
      <c r="AB32" s="1241"/>
      <c r="AC32" s="1241"/>
      <c r="AD32" s="1241"/>
      <c r="AE32" s="1242"/>
      <c r="AF32" s="1276" t="str">
        <f>CONCATENATE(B108,CHAR(10),E81)</f>
        <v>Inner row
Interior modules</v>
      </c>
      <c r="AG32" s="1277"/>
      <c r="AH32" s="1277"/>
      <c r="AI32" s="1277"/>
      <c r="AJ32" s="1278"/>
      <c r="AK32" s="1285" t="str">
        <f>CONCATENATE(B108,CHAR(10),E80)</f>
        <v>Inner row
1st-10th module</v>
      </c>
      <c r="AL32" s="1286"/>
      <c r="AM32" s="1286"/>
      <c r="AN32" s="1286"/>
      <c r="AO32" s="1287"/>
      <c r="AP32" s="1294" t="str">
        <f>CONCATENATE(B108,CHAR(10),E72)</f>
        <v>Inner row
Interior modules</v>
      </c>
      <c r="AQ32" s="1295"/>
      <c r="AR32" s="1295"/>
      <c r="AS32" s="1295"/>
      <c r="AT32" s="1296"/>
      <c r="AU32" s="1486" t="str">
        <f>CONCATENATE(B108,CHAR(10),E71)</f>
        <v>Inner row
1st-10th module</v>
      </c>
      <c r="AV32" s="1487"/>
      <c r="AW32" s="1487"/>
      <c r="AX32" s="1487"/>
      <c r="AY32" s="1488"/>
      <c r="AZ32" s="1504" t="str">
        <f>CONCATENATE(B108,CHAR(10),E54)</f>
        <v>Inner row
Interior modules</v>
      </c>
      <c r="BA32" s="1505"/>
      <c r="BB32" s="1505"/>
      <c r="BC32" s="1505"/>
      <c r="BD32" s="1506"/>
      <c r="BE32" s="1495" t="str">
        <f>CONCATENATE(B108,CHAR(10),E53)</f>
        <v>Inner row
1st-10th module</v>
      </c>
      <c r="BF32" s="1496"/>
      <c r="BG32" s="1496"/>
      <c r="BH32" s="1496"/>
      <c r="BI32" s="1497"/>
      <c r="BJ32" s="1549"/>
      <c r="BK32" s="1550"/>
      <c r="BL32" s="360"/>
      <c r="BM32" s="603">
        <f>IF(20&lt;'building data'!$C$21,20,'building data'!$C$21)</f>
        <v>20</v>
      </c>
      <c r="BO32" s="491"/>
      <c r="BP32" s="54"/>
      <c r="BQ32" s="1549"/>
      <c r="BR32" s="1550"/>
      <c r="BS32" s="1741" t="str">
        <f>BE32</f>
        <v>Inner row
1st-10th module</v>
      </c>
      <c r="BT32" s="1742"/>
      <c r="BU32" s="1742"/>
      <c r="BV32" s="1742"/>
      <c r="BW32" s="1742"/>
      <c r="BX32" s="1743" t="str">
        <f>AZ32</f>
        <v>Inner row
Interior modules</v>
      </c>
      <c r="BY32" s="1743"/>
      <c r="BZ32" s="1743"/>
      <c r="CA32" s="1743"/>
      <c r="CB32" s="1743"/>
      <c r="CC32" s="1744" t="str">
        <f>AU32</f>
        <v>Inner row
1st-10th module</v>
      </c>
      <c r="CD32" s="1744"/>
      <c r="CE32" s="1744"/>
      <c r="CF32" s="1744"/>
      <c r="CG32" s="1744"/>
      <c r="CH32" s="1745" t="str">
        <f>AP32</f>
        <v>Inner row
Interior modules</v>
      </c>
      <c r="CI32" s="1745"/>
      <c r="CJ32" s="1745"/>
      <c r="CK32" s="1745"/>
      <c r="CL32" s="1745"/>
      <c r="CM32" s="1754" t="str">
        <f>AK32</f>
        <v>Inner row
1st-10th module</v>
      </c>
      <c r="CN32" s="1754"/>
      <c r="CO32" s="1754"/>
      <c r="CP32" s="1754"/>
      <c r="CQ32" s="1754"/>
      <c r="CR32" s="1756" t="str">
        <f>AF32</f>
        <v>Inner row
Interior modules</v>
      </c>
      <c r="CS32" s="1756"/>
      <c r="CT32" s="1756"/>
      <c r="CU32" s="1756"/>
      <c r="CV32" s="1756"/>
      <c r="CW32" s="1747" t="str">
        <f>AA32</f>
        <v>Inner row
1st-10th module</v>
      </c>
      <c r="CX32" s="1747"/>
      <c r="CY32" s="1747"/>
      <c r="CZ32" s="1747"/>
      <c r="DA32" s="1747"/>
      <c r="DB32" s="1749" t="str">
        <f>V32</f>
        <v>Inner row
Interior modules</v>
      </c>
      <c r="DC32" s="1749"/>
      <c r="DD32" s="1749"/>
      <c r="DE32" s="1749"/>
      <c r="DF32" s="1749"/>
      <c r="DG32" s="1749" t="str">
        <f>Q32</f>
        <v>Inner row
Interior modules</v>
      </c>
      <c r="DH32" s="1749"/>
      <c r="DI32" s="1749"/>
      <c r="DJ32" s="1749"/>
      <c r="DK32" s="1751"/>
      <c r="DL32" s="1549"/>
      <c r="DM32" s="1550"/>
      <c r="DN32" s="360"/>
      <c r="DO32" s="603">
        <f>IF(20&lt;'building data'!$C$21,20,'building data'!$C$21)</f>
        <v>20</v>
      </c>
    </row>
    <row r="33" spans="1:119" ht="20.25" customHeight="1" x14ac:dyDescent="0.2">
      <c r="B33" s="1763"/>
      <c r="C33" s="1764"/>
      <c r="D33" s="1764"/>
      <c r="E33" s="1764"/>
      <c r="F33" s="1764"/>
      <c r="G33" s="1764"/>
      <c r="H33" s="1764"/>
      <c r="I33" s="1765"/>
      <c r="J33" s="1770"/>
      <c r="K33" s="1079"/>
      <c r="L33" s="606"/>
      <c r="M33" s="491"/>
      <c r="N33" s="54"/>
      <c r="O33" s="1549"/>
      <c r="P33" s="1550"/>
      <c r="Q33" s="1305"/>
      <c r="R33" s="1256"/>
      <c r="S33" s="1256"/>
      <c r="T33" s="1256"/>
      <c r="U33" s="1257"/>
      <c r="V33" s="1255"/>
      <c r="W33" s="1256"/>
      <c r="X33" s="1256"/>
      <c r="Y33" s="1256"/>
      <c r="Z33" s="1257"/>
      <c r="AA33" s="1246"/>
      <c r="AB33" s="1247"/>
      <c r="AC33" s="1247"/>
      <c r="AD33" s="1247"/>
      <c r="AE33" s="1248"/>
      <c r="AF33" s="1282"/>
      <c r="AG33" s="1283"/>
      <c r="AH33" s="1283"/>
      <c r="AI33" s="1283"/>
      <c r="AJ33" s="1284"/>
      <c r="AK33" s="1291"/>
      <c r="AL33" s="1292"/>
      <c r="AM33" s="1292"/>
      <c r="AN33" s="1292"/>
      <c r="AO33" s="1293"/>
      <c r="AP33" s="1300"/>
      <c r="AQ33" s="1301"/>
      <c r="AR33" s="1301"/>
      <c r="AS33" s="1301"/>
      <c r="AT33" s="1302"/>
      <c r="AU33" s="1492"/>
      <c r="AV33" s="1493"/>
      <c r="AW33" s="1493"/>
      <c r="AX33" s="1493"/>
      <c r="AY33" s="1494"/>
      <c r="AZ33" s="1510"/>
      <c r="BA33" s="1511"/>
      <c r="BB33" s="1511"/>
      <c r="BC33" s="1511"/>
      <c r="BD33" s="1512"/>
      <c r="BE33" s="1501"/>
      <c r="BF33" s="1502"/>
      <c r="BG33" s="1502"/>
      <c r="BH33" s="1502"/>
      <c r="BI33" s="1503"/>
      <c r="BJ33" s="1549"/>
      <c r="BK33" s="1550"/>
      <c r="BL33" s="360"/>
      <c r="BM33" s="602" t="s">
        <v>0</v>
      </c>
      <c r="BO33" s="491"/>
      <c r="BP33" s="54"/>
      <c r="BQ33" s="1549"/>
      <c r="BR33" s="1550"/>
      <c r="BS33" s="1741"/>
      <c r="BT33" s="1742"/>
      <c r="BU33" s="1742"/>
      <c r="BV33" s="1742"/>
      <c r="BW33" s="1742"/>
      <c r="BX33" s="1743"/>
      <c r="BY33" s="1743"/>
      <c r="BZ33" s="1743"/>
      <c r="CA33" s="1743"/>
      <c r="CB33" s="1743"/>
      <c r="CC33" s="1744"/>
      <c r="CD33" s="1744"/>
      <c r="CE33" s="1744"/>
      <c r="CF33" s="1744"/>
      <c r="CG33" s="1744"/>
      <c r="CH33" s="1745"/>
      <c r="CI33" s="1745"/>
      <c r="CJ33" s="1745"/>
      <c r="CK33" s="1745"/>
      <c r="CL33" s="1745"/>
      <c r="CM33" s="1754"/>
      <c r="CN33" s="1754"/>
      <c r="CO33" s="1754"/>
      <c r="CP33" s="1754"/>
      <c r="CQ33" s="1754"/>
      <c r="CR33" s="1756"/>
      <c r="CS33" s="1756"/>
      <c r="CT33" s="1756"/>
      <c r="CU33" s="1756"/>
      <c r="CV33" s="1756"/>
      <c r="CW33" s="1747"/>
      <c r="CX33" s="1747"/>
      <c r="CY33" s="1747"/>
      <c r="CZ33" s="1747"/>
      <c r="DA33" s="1747"/>
      <c r="DB33" s="1749"/>
      <c r="DC33" s="1749"/>
      <c r="DD33" s="1749"/>
      <c r="DE33" s="1749"/>
      <c r="DF33" s="1749"/>
      <c r="DG33" s="1749"/>
      <c r="DH33" s="1749"/>
      <c r="DI33" s="1749"/>
      <c r="DJ33" s="1749"/>
      <c r="DK33" s="1751"/>
      <c r="DL33" s="1549"/>
      <c r="DM33" s="1550"/>
      <c r="DN33" s="360"/>
      <c r="DO33" s="602" t="s">
        <v>0</v>
      </c>
    </row>
    <row r="34" spans="1:119" ht="13.5" customHeight="1" thickBot="1" x14ac:dyDescent="0.25">
      <c r="B34" s="1766"/>
      <c r="C34" s="1767"/>
      <c r="D34" s="1767"/>
      <c r="E34" s="1767"/>
      <c r="F34" s="1767"/>
      <c r="G34" s="1767"/>
      <c r="H34" s="1767"/>
      <c r="I34" s="1768"/>
      <c r="J34" s="1771"/>
      <c r="K34" s="1079"/>
      <c r="L34" s="158"/>
      <c r="M34" s="491"/>
      <c r="N34" s="54"/>
      <c r="O34" s="1549"/>
      <c r="P34" s="1550"/>
      <c r="Q34" s="1303" t="str">
        <f>V34</f>
        <v>Inner row
Interior modules</v>
      </c>
      <c r="R34" s="1250"/>
      <c r="S34" s="1250"/>
      <c r="T34" s="1250"/>
      <c r="U34" s="1251"/>
      <c r="V34" s="1249" t="str">
        <f>V32</f>
        <v>Inner row
Interior modules</v>
      </c>
      <c r="W34" s="1250"/>
      <c r="X34" s="1250"/>
      <c r="Y34" s="1250"/>
      <c r="Z34" s="1251"/>
      <c r="AA34" s="1240" t="str">
        <f>AA32</f>
        <v>Inner row
1st-10th module</v>
      </c>
      <c r="AB34" s="1241"/>
      <c r="AC34" s="1241"/>
      <c r="AD34" s="1241"/>
      <c r="AE34" s="1242"/>
      <c r="AF34" s="1276" t="str">
        <f>AF32</f>
        <v>Inner row
Interior modules</v>
      </c>
      <c r="AG34" s="1277"/>
      <c r="AH34" s="1277"/>
      <c r="AI34" s="1277"/>
      <c r="AJ34" s="1278"/>
      <c r="AK34" s="1285" t="str">
        <f>AK32</f>
        <v>Inner row
1st-10th module</v>
      </c>
      <c r="AL34" s="1286"/>
      <c r="AM34" s="1286"/>
      <c r="AN34" s="1286"/>
      <c r="AO34" s="1287"/>
      <c r="AP34" s="1294" t="str">
        <f>AP32</f>
        <v>Inner row
Interior modules</v>
      </c>
      <c r="AQ34" s="1295"/>
      <c r="AR34" s="1295"/>
      <c r="AS34" s="1295"/>
      <c r="AT34" s="1296"/>
      <c r="AU34" s="1486" t="str">
        <f>AU32</f>
        <v>Inner row
1st-10th module</v>
      </c>
      <c r="AV34" s="1487"/>
      <c r="AW34" s="1487"/>
      <c r="AX34" s="1487"/>
      <c r="AY34" s="1488"/>
      <c r="AZ34" s="1504" t="str">
        <f>AZ32</f>
        <v>Inner row
Interior modules</v>
      </c>
      <c r="BA34" s="1505"/>
      <c r="BB34" s="1505"/>
      <c r="BC34" s="1505"/>
      <c r="BD34" s="1506"/>
      <c r="BE34" s="1495" t="str">
        <f>BE32</f>
        <v>Inner row
1st-10th module</v>
      </c>
      <c r="BF34" s="1496"/>
      <c r="BG34" s="1496"/>
      <c r="BH34" s="1496"/>
      <c r="BI34" s="1497"/>
      <c r="BJ34" s="1549"/>
      <c r="BK34" s="1550"/>
      <c r="BL34" s="360"/>
      <c r="BM34" s="1436" t="s">
        <v>78</v>
      </c>
      <c r="BO34" s="491"/>
      <c r="BP34" s="54"/>
      <c r="BQ34" s="1549"/>
      <c r="BR34" s="1550"/>
      <c r="BS34" s="1652" t="str">
        <f>BE34</f>
        <v>Inner row
1st-10th module</v>
      </c>
      <c r="BT34" s="1653"/>
      <c r="BU34" s="1653"/>
      <c r="BV34" s="1653"/>
      <c r="BW34" s="1654"/>
      <c r="BX34" s="1602" t="str">
        <f>AZ34</f>
        <v>Inner row
Interior modules</v>
      </c>
      <c r="BY34" s="1603"/>
      <c r="BZ34" s="1603"/>
      <c r="CA34" s="1603"/>
      <c r="CB34" s="1604"/>
      <c r="CC34" s="1572" t="str">
        <f>AP34</f>
        <v>Inner row
Interior modules</v>
      </c>
      <c r="CD34" s="1573"/>
      <c r="CE34" s="1573"/>
      <c r="CF34" s="1573"/>
      <c r="CG34" s="1574"/>
      <c r="CH34" s="1294" t="str">
        <f>AP34</f>
        <v>Inner row
Interior modules</v>
      </c>
      <c r="CI34" s="1295"/>
      <c r="CJ34" s="1295"/>
      <c r="CK34" s="1295"/>
      <c r="CL34" s="1296"/>
      <c r="CM34" s="1285" t="str">
        <f>AK34</f>
        <v>Inner row
1st-10th module</v>
      </c>
      <c r="CN34" s="1286"/>
      <c r="CO34" s="1286"/>
      <c r="CP34" s="1286"/>
      <c r="CQ34" s="1287"/>
      <c r="CR34" s="1276" t="str">
        <f>AF34</f>
        <v>Inner row
Interior modules</v>
      </c>
      <c r="CS34" s="1277"/>
      <c r="CT34" s="1277"/>
      <c r="CU34" s="1277"/>
      <c r="CV34" s="1278"/>
      <c r="CW34" s="1240" t="str">
        <f>AA34</f>
        <v>Inner row
1st-10th module</v>
      </c>
      <c r="CX34" s="1241"/>
      <c r="CY34" s="1241"/>
      <c r="CZ34" s="1241"/>
      <c r="DA34" s="1242"/>
      <c r="DB34" s="1249" t="str">
        <f>V34</f>
        <v>Inner row
Interior modules</v>
      </c>
      <c r="DC34" s="1250"/>
      <c r="DD34" s="1250"/>
      <c r="DE34" s="1250"/>
      <c r="DF34" s="1251"/>
      <c r="DG34" s="1249" t="str">
        <f>Q34</f>
        <v>Inner row
Interior modules</v>
      </c>
      <c r="DH34" s="1250"/>
      <c r="DI34" s="1250"/>
      <c r="DJ34" s="1250"/>
      <c r="DK34" s="1482"/>
      <c r="DL34" s="1549"/>
      <c r="DM34" s="1550"/>
      <c r="DN34" s="360"/>
      <c r="DO34" s="1436" t="s">
        <v>78</v>
      </c>
    </row>
    <row r="35" spans="1:119" ht="13.5" customHeight="1" thickBot="1" x14ac:dyDescent="0.25">
      <c r="B35" s="417"/>
      <c r="C35" s="43"/>
      <c r="D35" s="46"/>
      <c r="E35" s="46"/>
      <c r="F35" s="606"/>
      <c r="G35" s="46"/>
      <c r="H35" s="46"/>
      <c r="I35" s="46"/>
      <c r="J35" s="418"/>
      <c r="K35" s="46"/>
      <c r="L35" s="158"/>
      <c r="M35" s="491"/>
      <c r="N35" s="54"/>
      <c r="O35" s="1549"/>
      <c r="P35" s="1550"/>
      <c r="Q35" s="1304"/>
      <c r="R35" s="1253"/>
      <c r="S35" s="1253"/>
      <c r="T35" s="1253"/>
      <c r="U35" s="1254"/>
      <c r="V35" s="1252"/>
      <c r="W35" s="1253"/>
      <c r="X35" s="1253"/>
      <c r="Y35" s="1253"/>
      <c r="Z35" s="1254"/>
      <c r="AA35" s="1243"/>
      <c r="AB35" s="1244"/>
      <c r="AC35" s="1244"/>
      <c r="AD35" s="1244"/>
      <c r="AE35" s="1245"/>
      <c r="AF35" s="1279"/>
      <c r="AG35" s="1280"/>
      <c r="AH35" s="1280"/>
      <c r="AI35" s="1280"/>
      <c r="AJ35" s="1281"/>
      <c r="AK35" s="1288"/>
      <c r="AL35" s="1289"/>
      <c r="AM35" s="1289"/>
      <c r="AN35" s="1289"/>
      <c r="AO35" s="1290"/>
      <c r="AP35" s="1297"/>
      <c r="AQ35" s="1298"/>
      <c r="AR35" s="1298"/>
      <c r="AS35" s="1298"/>
      <c r="AT35" s="1299"/>
      <c r="AU35" s="1489"/>
      <c r="AV35" s="1490"/>
      <c r="AW35" s="1490"/>
      <c r="AX35" s="1490"/>
      <c r="AY35" s="1491"/>
      <c r="AZ35" s="1507"/>
      <c r="BA35" s="1508"/>
      <c r="BB35" s="1508"/>
      <c r="BC35" s="1508"/>
      <c r="BD35" s="1509"/>
      <c r="BE35" s="1498"/>
      <c r="BF35" s="1499"/>
      <c r="BG35" s="1499"/>
      <c r="BH35" s="1499"/>
      <c r="BI35" s="1500"/>
      <c r="BJ35" s="1549"/>
      <c r="BK35" s="1550"/>
      <c r="BL35" s="360"/>
      <c r="BM35" s="1436"/>
      <c r="BO35" s="491"/>
      <c r="BP35" s="54"/>
      <c r="BQ35" s="1549"/>
      <c r="BR35" s="1550"/>
      <c r="BS35" s="1632"/>
      <c r="BT35" s="1633"/>
      <c r="BU35" s="1633"/>
      <c r="BV35" s="1633"/>
      <c r="BW35" s="1634"/>
      <c r="BX35" s="1605"/>
      <c r="BY35" s="1606"/>
      <c r="BZ35" s="1606"/>
      <c r="CA35" s="1606"/>
      <c r="CB35" s="1607"/>
      <c r="CC35" s="1575"/>
      <c r="CD35" s="1576"/>
      <c r="CE35" s="1576"/>
      <c r="CF35" s="1576"/>
      <c r="CG35" s="1577"/>
      <c r="CH35" s="1297"/>
      <c r="CI35" s="1298"/>
      <c r="CJ35" s="1298"/>
      <c r="CK35" s="1298"/>
      <c r="CL35" s="1299"/>
      <c r="CM35" s="1288"/>
      <c r="CN35" s="1289"/>
      <c r="CO35" s="1289"/>
      <c r="CP35" s="1289"/>
      <c r="CQ35" s="1290"/>
      <c r="CR35" s="1279"/>
      <c r="CS35" s="1280"/>
      <c r="CT35" s="1280"/>
      <c r="CU35" s="1280"/>
      <c r="CV35" s="1281"/>
      <c r="CW35" s="1243"/>
      <c r="CX35" s="1244"/>
      <c r="CY35" s="1244"/>
      <c r="CZ35" s="1244"/>
      <c r="DA35" s="1245"/>
      <c r="DB35" s="1252"/>
      <c r="DC35" s="1253"/>
      <c r="DD35" s="1253"/>
      <c r="DE35" s="1253"/>
      <c r="DF35" s="1254"/>
      <c r="DG35" s="1252"/>
      <c r="DH35" s="1253"/>
      <c r="DI35" s="1253"/>
      <c r="DJ35" s="1253"/>
      <c r="DK35" s="1483"/>
      <c r="DL35" s="1549"/>
      <c r="DM35" s="1550"/>
      <c r="DN35" s="360"/>
      <c r="DO35" s="1436"/>
    </row>
    <row r="36" spans="1:119" ht="13.5" customHeight="1" thickBot="1" x14ac:dyDescent="0.25">
      <c r="B36" s="1428" t="s">
        <v>418</v>
      </c>
      <c r="C36" s="1429"/>
      <c r="D36" s="1429"/>
      <c r="E36" s="1429"/>
      <c r="F36" s="1429"/>
      <c r="G36" s="1429"/>
      <c r="H36" s="1429"/>
      <c r="I36" s="1429"/>
      <c r="J36" s="1430"/>
      <c r="K36" s="1077"/>
      <c r="L36" s="158"/>
      <c r="M36" s="491"/>
      <c r="N36" s="54"/>
      <c r="O36" s="1549"/>
      <c r="P36" s="1550"/>
      <c r="Q36" s="1305"/>
      <c r="R36" s="1256"/>
      <c r="S36" s="1256"/>
      <c r="T36" s="1256"/>
      <c r="U36" s="1257"/>
      <c r="V36" s="1255"/>
      <c r="W36" s="1256"/>
      <c r="X36" s="1256"/>
      <c r="Y36" s="1256"/>
      <c r="Z36" s="1257"/>
      <c r="AA36" s="1246"/>
      <c r="AB36" s="1247"/>
      <c r="AC36" s="1247"/>
      <c r="AD36" s="1247"/>
      <c r="AE36" s="1248"/>
      <c r="AF36" s="1282"/>
      <c r="AG36" s="1283"/>
      <c r="AH36" s="1283"/>
      <c r="AI36" s="1283"/>
      <c r="AJ36" s="1284"/>
      <c r="AK36" s="1291"/>
      <c r="AL36" s="1292"/>
      <c r="AM36" s="1292"/>
      <c r="AN36" s="1292"/>
      <c r="AO36" s="1293"/>
      <c r="AP36" s="1300"/>
      <c r="AQ36" s="1301"/>
      <c r="AR36" s="1301"/>
      <c r="AS36" s="1301"/>
      <c r="AT36" s="1302"/>
      <c r="AU36" s="1492"/>
      <c r="AV36" s="1493"/>
      <c r="AW36" s="1493"/>
      <c r="AX36" s="1493"/>
      <c r="AY36" s="1494"/>
      <c r="AZ36" s="1510"/>
      <c r="BA36" s="1511"/>
      <c r="BB36" s="1511"/>
      <c r="BC36" s="1511"/>
      <c r="BD36" s="1512"/>
      <c r="BE36" s="1501"/>
      <c r="BF36" s="1502"/>
      <c r="BG36" s="1502"/>
      <c r="BH36" s="1502"/>
      <c r="BI36" s="1503"/>
      <c r="BJ36" s="1549"/>
      <c r="BK36" s="1550"/>
      <c r="BL36" s="360"/>
      <c r="BM36" s="485"/>
      <c r="BO36" s="491"/>
      <c r="BP36" s="54"/>
      <c r="BQ36" s="1549"/>
      <c r="BR36" s="1550"/>
      <c r="BS36" s="1635"/>
      <c r="BT36" s="1636"/>
      <c r="BU36" s="1636"/>
      <c r="BV36" s="1636"/>
      <c r="BW36" s="1637"/>
      <c r="BX36" s="1608"/>
      <c r="BY36" s="1609"/>
      <c r="BZ36" s="1609"/>
      <c r="CA36" s="1609"/>
      <c r="CB36" s="1610"/>
      <c r="CC36" s="1599"/>
      <c r="CD36" s="1600"/>
      <c r="CE36" s="1600"/>
      <c r="CF36" s="1600"/>
      <c r="CG36" s="1601"/>
      <c r="CH36" s="1300"/>
      <c r="CI36" s="1301"/>
      <c r="CJ36" s="1301"/>
      <c r="CK36" s="1301"/>
      <c r="CL36" s="1302"/>
      <c r="CM36" s="1291"/>
      <c r="CN36" s="1292"/>
      <c r="CO36" s="1292"/>
      <c r="CP36" s="1292"/>
      <c r="CQ36" s="1293"/>
      <c r="CR36" s="1282"/>
      <c r="CS36" s="1283"/>
      <c r="CT36" s="1283"/>
      <c r="CU36" s="1283"/>
      <c r="CV36" s="1284"/>
      <c r="CW36" s="1246"/>
      <c r="CX36" s="1247"/>
      <c r="CY36" s="1247"/>
      <c r="CZ36" s="1247"/>
      <c r="DA36" s="1248"/>
      <c r="DB36" s="1255"/>
      <c r="DC36" s="1256"/>
      <c r="DD36" s="1256"/>
      <c r="DE36" s="1256"/>
      <c r="DF36" s="1257"/>
      <c r="DG36" s="1255"/>
      <c r="DH36" s="1256"/>
      <c r="DI36" s="1256"/>
      <c r="DJ36" s="1256"/>
      <c r="DK36" s="1484"/>
      <c r="DL36" s="1549"/>
      <c r="DM36" s="1550"/>
      <c r="DN36" s="360"/>
      <c r="DO36" s="485"/>
    </row>
    <row r="37" spans="1:119" ht="13.5" customHeight="1" x14ac:dyDescent="0.2">
      <c r="B37" s="1403" t="s">
        <v>419</v>
      </c>
      <c r="C37" s="1404"/>
      <c r="D37" s="1404"/>
      <c r="E37" s="1404"/>
      <c r="F37" s="1404"/>
      <c r="G37" s="1404"/>
      <c r="H37" s="1404"/>
      <c r="I37" s="1404"/>
      <c r="J37" s="1405"/>
      <c r="K37" s="1080"/>
      <c r="L37" s="436"/>
      <c r="M37" s="493"/>
      <c r="N37" s="54"/>
      <c r="O37" s="1549"/>
      <c r="P37" s="1550"/>
      <c r="Q37" s="1303" t="str">
        <f>V37</f>
        <v>Inner row
Interior modules</v>
      </c>
      <c r="R37" s="1250"/>
      <c r="S37" s="1250"/>
      <c r="T37" s="1250"/>
      <c r="U37" s="1251"/>
      <c r="V37" s="1249" t="str">
        <f>V32</f>
        <v>Inner row
Interior modules</v>
      </c>
      <c r="W37" s="1250"/>
      <c r="X37" s="1250"/>
      <c r="Y37" s="1250"/>
      <c r="Z37" s="1251"/>
      <c r="AA37" s="1240" t="str">
        <f>AA32</f>
        <v>Inner row
1st-10th module</v>
      </c>
      <c r="AB37" s="1241"/>
      <c r="AC37" s="1241"/>
      <c r="AD37" s="1241"/>
      <c r="AE37" s="1242"/>
      <c r="AF37" s="1276" t="str">
        <f>AF32</f>
        <v>Inner row
Interior modules</v>
      </c>
      <c r="AG37" s="1277"/>
      <c r="AH37" s="1277"/>
      <c r="AI37" s="1277"/>
      <c r="AJ37" s="1278"/>
      <c r="AK37" s="1285" t="str">
        <f>AK32</f>
        <v>Inner row
1st-10th module</v>
      </c>
      <c r="AL37" s="1286"/>
      <c r="AM37" s="1286"/>
      <c r="AN37" s="1286"/>
      <c r="AO37" s="1287"/>
      <c r="AP37" s="1294" t="str">
        <f>AP32</f>
        <v>Inner row
Interior modules</v>
      </c>
      <c r="AQ37" s="1295"/>
      <c r="AR37" s="1295"/>
      <c r="AS37" s="1295"/>
      <c r="AT37" s="1296"/>
      <c r="AU37" s="1486" t="str">
        <f>AU32</f>
        <v>Inner row
1st-10th module</v>
      </c>
      <c r="AV37" s="1487"/>
      <c r="AW37" s="1487"/>
      <c r="AX37" s="1487"/>
      <c r="AY37" s="1488"/>
      <c r="AZ37" s="1455" t="s">
        <v>454</v>
      </c>
      <c r="BA37" s="1456"/>
      <c r="BB37" s="1456"/>
      <c r="BC37" s="1456"/>
      <c r="BD37" s="1457"/>
      <c r="BE37" s="1473" t="s">
        <v>480</v>
      </c>
      <c r="BF37" s="1474"/>
      <c r="BG37" s="1474"/>
      <c r="BH37" s="1474"/>
      <c r="BI37" s="1475"/>
      <c r="BJ37" s="1549"/>
      <c r="BK37" s="1550"/>
      <c r="BL37" s="360"/>
      <c r="BM37" s="485"/>
      <c r="BO37" s="493"/>
      <c r="BP37" s="54"/>
      <c r="BQ37" s="1549"/>
      <c r="BR37" s="1550"/>
      <c r="BS37" s="1581" t="str">
        <f>BE37</f>
        <v>South row (only if array interrupted)
1st-10th module</v>
      </c>
      <c r="BT37" s="1582"/>
      <c r="BU37" s="1582"/>
      <c r="BV37" s="1582"/>
      <c r="BW37" s="1583"/>
      <c r="BX37" s="1590" t="str">
        <f>AZ37</f>
        <v>South row (only if array interrupted)
Interior modules</v>
      </c>
      <c r="BY37" s="1591"/>
      <c r="BZ37" s="1591"/>
      <c r="CA37" s="1591"/>
      <c r="CB37" s="1592"/>
      <c r="CC37" s="1776" t="str">
        <f>AP37</f>
        <v>Inner row
Interior modules</v>
      </c>
      <c r="CD37" s="1776"/>
      <c r="CE37" s="1776"/>
      <c r="CF37" s="1776"/>
      <c r="CG37" s="1776"/>
      <c r="CH37" s="1759" t="str">
        <f>AP37</f>
        <v>Inner row
Interior modules</v>
      </c>
      <c r="CI37" s="1759"/>
      <c r="CJ37" s="1759"/>
      <c r="CK37" s="1759"/>
      <c r="CL37" s="1759"/>
      <c r="CM37" s="1760" t="str">
        <f>AK37</f>
        <v>Inner row
1st-10th module</v>
      </c>
      <c r="CN37" s="1760"/>
      <c r="CO37" s="1760"/>
      <c r="CP37" s="1760"/>
      <c r="CQ37" s="1760"/>
      <c r="CR37" s="1761" t="str">
        <f>AF37</f>
        <v>Inner row
Interior modules</v>
      </c>
      <c r="CS37" s="1761"/>
      <c r="CT37" s="1761"/>
      <c r="CU37" s="1761"/>
      <c r="CV37" s="1761"/>
      <c r="CW37" s="1762" t="str">
        <f>AA37</f>
        <v>Inner row
1st-10th module</v>
      </c>
      <c r="CX37" s="1762"/>
      <c r="CY37" s="1762"/>
      <c r="CZ37" s="1762"/>
      <c r="DA37" s="1762"/>
      <c r="DB37" s="1757" t="str">
        <f>V37</f>
        <v>Inner row
Interior modules</v>
      </c>
      <c r="DC37" s="1757"/>
      <c r="DD37" s="1757"/>
      <c r="DE37" s="1757"/>
      <c r="DF37" s="1757"/>
      <c r="DG37" s="1757" t="str">
        <f>Q37</f>
        <v>Inner row
Interior modules</v>
      </c>
      <c r="DH37" s="1757"/>
      <c r="DI37" s="1757"/>
      <c r="DJ37" s="1757"/>
      <c r="DK37" s="1758"/>
      <c r="DL37" s="1549"/>
      <c r="DM37" s="1550"/>
      <c r="DN37" s="360"/>
      <c r="DO37" s="485"/>
    </row>
    <row r="38" spans="1:119" ht="13.5" customHeight="1" x14ac:dyDescent="0.2">
      <c r="B38" s="412" t="s">
        <v>420</v>
      </c>
      <c r="C38" s="43"/>
      <c r="D38" s="43"/>
      <c r="F38" s="57" t="s">
        <v>421</v>
      </c>
      <c r="G38" s="43"/>
      <c r="H38" s="43"/>
      <c r="J38" s="352"/>
      <c r="L38" s="436"/>
      <c r="M38" s="153"/>
      <c r="N38" s="54"/>
      <c r="O38" s="1549"/>
      <c r="P38" s="1550"/>
      <c r="Q38" s="1304"/>
      <c r="R38" s="1253"/>
      <c r="S38" s="1253"/>
      <c r="T38" s="1253"/>
      <c r="U38" s="1254"/>
      <c r="V38" s="1252"/>
      <c r="W38" s="1253"/>
      <c r="X38" s="1253"/>
      <c r="Y38" s="1253"/>
      <c r="Z38" s="1254"/>
      <c r="AA38" s="1243"/>
      <c r="AB38" s="1244"/>
      <c r="AC38" s="1244"/>
      <c r="AD38" s="1244"/>
      <c r="AE38" s="1245"/>
      <c r="AF38" s="1279"/>
      <c r="AG38" s="1280"/>
      <c r="AH38" s="1280"/>
      <c r="AI38" s="1280"/>
      <c r="AJ38" s="1281"/>
      <c r="AK38" s="1288"/>
      <c r="AL38" s="1289"/>
      <c r="AM38" s="1289"/>
      <c r="AN38" s="1289"/>
      <c r="AO38" s="1290"/>
      <c r="AP38" s="1297"/>
      <c r="AQ38" s="1298"/>
      <c r="AR38" s="1298"/>
      <c r="AS38" s="1298"/>
      <c r="AT38" s="1299"/>
      <c r="AU38" s="1489"/>
      <c r="AV38" s="1490"/>
      <c r="AW38" s="1490"/>
      <c r="AX38" s="1490"/>
      <c r="AY38" s="1491"/>
      <c r="AZ38" s="1458"/>
      <c r="BA38" s="1459"/>
      <c r="BB38" s="1459"/>
      <c r="BC38" s="1459"/>
      <c r="BD38" s="1460"/>
      <c r="BE38" s="1476"/>
      <c r="BF38" s="1477"/>
      <c r="BG38" s="1477"/>
      <c r="BH38" s="1477"/>
      <c r="BI38" s="1478"/>
      <c r="BJ38" s="1549"/>
      <c r="BK38" s="1550"/>
      <c r="BL38" s="360"/>
      <c r="BM38" s="485"/>
      <c r="BO38" s="153"/>
      <c r="BP38" s="54"/>
      <c r="BQ38" s="1549"/>
      <c r="BR38" s="1550"/>
      <c r="BS38" s="1584"/>
      <c r="BT38" s="1585"/>
      <c r="BU38" s="1585"/>
      <c r="BV38" s="1585"/>
      <c r="BW38" s="1586"/>
      <c r="BX38" s="1593"/>
      <c r="BY38" s="1594"/>
      <c r="BZ38" s="1594"/>
      <c r="CA38" s="1594"/>
      <c r="CB38" s="1595"/>
      <c r="CC38" s="1744"/>
      <c r="CD38" s="1744"/>
      <c r="CE38" s="1744"/>
      <c r="CF38" s="1744"/>
      <c r="CG38" s="1744"/>
      <c r="CH38" s="1745"/>
      <c r="CI38" s="1745"/>
      <c r="CJ38" s="1745"/>
      <c r="CK38" s="1745"/>
      <c r="CL38" s="1745"/>
      <c r="CM38" s="1754"/>
      <c r="CN38" s="1754"/>
      <c r="CO38" s="1754"/>
      <c r="CP38" s="1754"/>
      <c r="CQ38" s="1754"/>
      <c r="CR38" s="1756"/>
      <c r="CS38" s="1756"/>
      <c r="CT38" s="1756"/>
      <c r="CU38" s="1756"/>
      <c r="CV38" s="1756"/>
      <c r="CW38" s="1747"/>
      <c r="CX38" s="1747"/>
      <c r="CY38" s="1747"/>
      <c r="CZ38" s="1747"/>
      <c r="DA38" s="1747"/>
      <c r="DB38" s="1749"/>
      <c r="DC38" s="1749"/>
      <c r="DD38" s="1749"/>
      <c r="DE38" s="1749"/>
      <c r="DF38" s="1749"/>
      <c r="DG38" s="1749"/>
      <c r="DH38" s="1749"/>
      <c r="DI38" s="1749"/>
      <c r="DJ38" s="1749"/>
      <c r="DK38" s="1751"/>
      <c r="DL38" s="1549"/>
      <c r="DM38" s="1550"/>
      <c r="DN38" s="360"/>
      <c r="DO38" s="485"/>
    </row>
    <row r="39" spans="1:119" ht="13.5" customHeight="1" x14ac:dyDescent="0.2">
      <c r="B39" s="42" t="s">
        <v>422</v>
      </c>
      <c r="C39" s="200">
        <v>9</v>
      </c>
      <c r="D39" s="43"/>
      <c r="E39" s="43"/>
      <c r="F39" s="42" t="s">
        <v>422</v>
      </c>
      <c r="G39" s="200">
        <v>48</v>
      </c>
      <c r="H39" s="616"/>
      <c r="J39" s="370"/>
      <c r="L39" s="436"/>
      <c r="M39" s="153"/>
      <c r="N39" s="54"/>
      <c r="O39" s="1549"/>
      <c r="P39" s="1550"/>
      <c r="Q39" s="1305"/>
      <c r="R39" s="1256"/>
      <c r="S39" s="1256"/>
      <c r="T39" s="1256"/>
      <c r="U39" s="1257"/>
      <c r="V39" s="1255"/>
      <c r="W39" s="1256"/>
      <c r="X39" s="1256"/>
      <c r="Y39" s="1256"/>
      <c r="Z39" s="1257"/>
      <c r="AA39" s="1246"/>
      <c r="AB39" s="1247"/>
      <c r="AC39" s="1247"/>
      <c r="AD39" s="1247"/>
      <c r="AE39" s="1248"/>
      <c r="AF39" s="1282"/>
      <c r="AG39" s="1283"/>
      <c r="AH39" s="1283"/>
      <c r="AI39" s="1283"/>
      <c r="AJ39" s="1284"/>
      <c r="AK39" s="1291"/>
      <c r="AL39" s="1292"/>
      <c r="AM39" s="1292"/>
      <c r="AN39" s="1292"/>
      <c r="AO39" s="1293"/>
      <c r="AP39" s="1300"/>
      <c r="AQ39" s="1301"/>
      <c r="AR39" s="1301"/>
      <c r="AS39" s="1301"/>
      <c r="AT39" s="1302"/>
      <c r="AU39" s="1492"/>
      <c r="AV39" s="1493"/>
      <c r="AW39" s="1493"/>
      <c r="AX39" s="1493"/>
      <c r="AY39" s="1494"/>
      <c r="AZ39" s="1461"/>
      <c r="BA39" s="1462"/>
      <c r="BB39" s="1462"/>
      <c r="BC39" s="1462"/>
      <c r="BD39" s="1463"/>
      <c r="BE39" s="1479"/>
      <c r="BF39" s="1480"/>
      <c r="BG39" s="1480"/>
      <c r="BH39" s="1480"/>
      <c r="BI39" s="1481"/>
      <c r="BJ39" s="1549"/>
      <c r="BK39" s="1550"/>
      <c r="BL39" s="488"/>
      <c r="BM39" s="555"/>
      <c r="BO39" s="153"/>
      <c r="BP39" s="54"/>
      <c r="BQ39" s="1549"/>
      <c r="BR39" s="1550"/>
      <c r="BS39" s="1587"/>
      <c r="BT39" s="1588"/>
      <c r="BU39" s="1588"/>
      <c r="BV39" s="1588"/>
      <c r="BW39" s="1589"/>
      <c r="BX39" s="1596"/>
      <c r="BY39" s="1597"/>
      <c r="BZ39" s="1597"/>
      <c r="CA39" s="1597"/>
      <c r="CB39" s="1598"/>
      <c r="CC39" s="1744"/>
      <c r="CD39" s="1744"/>
      <c r="CE39" s="1744"/>
      <c r="CF39" s="1744"/>
      <c r="CG39" s="1744"/>
      <c r="CH39" s="1745"/>
      <c r="CI39" s="1745"/>
      <c r="CJ39" s="1745"/>
      <c r="CK39" s="1745"/>
      <c r="CL39" s="1745"/>
      <c r="CM39" s="1754"/>
      <c r="CN39" s="1754"/>
      <c r="CO39" s="1754"/>
      <c r="CP39" s="1754"/>
      <c r="CQ39" s="1754"/>
      <c r="CR39" s="1756"/>
      <c r="CS39" s="1756"/>
      <c r="CT39" s="1756"/>
      <c r="CU39" s="1756"/>
      <c r="CV39" s="1756"/>
      <c r="CW39" s="1747"/>
      <c r="CX39" s="1747"/>
      <c r="CY39" s="1747"/>
      <c r="CZ39" s="1747"/>
      <c r="DA39" s="1747"/>
      <c r="DB39" s="1749"/>
      <c r="DC39" s="1749"/>
      <c r="DD39" s="1749"/>
      <c r="DE39" s="1749"/>
      <c r="DF39" s="1749"/>
      <c r="DG39" s="1749"/>
      <c r="DH39" s="1749"/>
      <c r="DI39" s="1749"/>
      <c r="DJ39" s="1749"/>
      <c r="DK39" s="1751"/>
      <c r="DL39" s="1549"/>
      <c r="DM39" s="1550"/>
      <c r="DN39" s="488"/>
      <c r="DO39" s="555"/>
    </row>
    <row r="40" spans="1:119" ht="13.5" customHeight="1" x14ac:dyDescent="0.2">
      <c r="B40" s="617" t="s">
        <v>423</v>
      </c>
      <c r="C40" s="411">
        <f>C39</f>
        <v>9</v>
      </c>
      <c r="D40" s="46"/>
      <c r="E40" s="43"/>
      <c r="F40" s="42" t="s">
        <v>423</v>
      </c>
      <c r="G40" s="411">
        <f>G39</f>
        <v>48</v>
      </c>
      <c r="H40" s="338"/>
      <c r="J40" s="370"/>
      <c r="L40" s="299"/>
      <c r="M40" s="491"/>
      <c r="N40" s="54"/>
      <c r="O40" s="1549"/>
      <c r="P40" s="1550"/>
      <c r="Q40" s="1303" t="str">
        <f>V40</f>
        <v>Inner row
Interior modules</v>
      </c>
      <c r="R40" s="1250"/>
      <c r="S40" s="1250"/>
      <c r="T40" s="1250"/>
      <c r="U40" s="1251"/>
      <c r="V40" s="1249" t="str">
        <f>V32</f>
        <v>Inner row
Interior modules</v>
      </c>
      <c r="W40" s="1250"/>
      <c r="X40" s="1250"/>
      <c r="Y40" s="1250"/>
      <c r="Z40" s="1251"/>
      <c r="AA40" s="1240" t="str">
        <f>AA32</f>
        <v>Inner row
1st-10th module</v>
      </c>
      <c r="AB40" s="1241"/>
      <c r="AC40" s="1241"/>
      <c r="AD40" s="1241"/>
      <c r="AE40" s="1242"/>
      <c r="AF40" s="1276" t="str">
        <f>AF32</f>
        <v>Inner row
Interior modules</v>
      </c>
      <c r="AG40" s="1277"/>
      <c r="AH40" s="1277"/>
      <c r="AI40" s="1277"/>
      <c r="AJ40" s="1278"/>
      <c r="AK40" s="1285" t="str">
        <f>AK32</f>
        <v>Inner row
1st-10th module</v>
      </c>
      <c r="AL40" s="1286"/>
      <c r="AM40" s="1286"/>
      <c r="AN40" s="1286"/>
      <c r="AO40" s="1287"/>
      <c r="AP40" s="1294" t="str">
        <f>AP32</f>
        <v>Inner row
Interior modules</v>
      </c>
      <c r="AQ40" s="1295"/>
      <c r="AR40" s="1295"/>
      <c r="AS40" s="1295"/>
      <c r="AT40" s="1296"/>
      <c r="AU40" s="1486" t="str">
        <f>AU32</f>
        <v>Inner row
1st-10th module</v>
      </c>
      <c r="AV40" s="1487"/>
      <c r="AW40" s="1487"/>
      <c r="AX40" s="1487"/>
      <c r="AY40" s="1488"/>
      <c r="AZ40" s="1464" t="s">
        <v>456</v>
      </c>
      <c r="BA40" s="1465"/>
      <c r="BB40" s="1465"/>
      <c r="BC40" s="1465"/>
      <c r="BD40" s="1466"/>
      <c r="BE40" s="1617" t="s">
        <v>481</v>
      </c>
      <c r="BF40" s="1618"/>
      <c r="BG40" s="1618"/>
      <c r="BH40" s="1618"/>
      <c r="BI40" s="1619"/>
      <c r="BJ40" s="1549"/>
      <c r="BK40" s="1550"/>
      <c r="BL40" s="360"/>
      <c r="BM40" s="484"/>
      <c r="BO40" s="491"/>
      <c r="BP40" s="54"/>
      <c r="BQ40" s="1549"/>
      <c r="BR40" s="1550"/>
      <c r="BS40" s="1666" t="str">
        <f>BE40</f>
        <v>North row (only if array interrupted)
1st-10th module</v>
      </c>
      <c r="BT40" s="1667"/>
      <c r="BU40" s="1667"/>
      <c r="BV40" s="1667"/>
      <c r="BW40" s="1668"/>
      <c r="BX40" s="1675" t="str">
        <f t="shared" ref="BX40" si="0">AZ40</f>
        <v>North row (only if array interrupted)
Interior modules</v>
      </c>
      <c r="BY40" s="1676"/>
      <c r="BZ40" s="1676"/>
      <c r="CA40" s="1676"/>
      <c r="CB40" s="1677"/>
      <c r="CC40" s="1744" t="str">
        <f t="shared" ref="CC40" si="1">AU40</f>
        <v>Inner row
1st-10th module</v>
      </c>
      <c r="CD40" s="1744"/>
      <c r="CE40" s="1744"/>
      <c r="CF40" s="1744"/>
      <c r="CG40" s="1744"/>
      <c r="CH40" s="1745" t="str">
        <f t="shared" ref="CH40" si="2">AP40</f>
        <v>Inner row
Interior modules</v>
      </c>
      <c r="CI40" s="1745"/>
      <c r="CJ40" s="1745"/>
      <c r="CK40" s="1745"/>
      <c r="CL40" s="1745"/>
      <c r="CM40" s="1754" t="str">
        <f t="shared" ref="CM40" si="3">AK40</f>
        <v>Inner row
1st-10th module</v>
      </c>
      <c r="CN40" s="1754"/>
      <c r="CO40" s="1754"/>
      <c r="CP40" s="1754"/>
      <c r="CQ40" s="1754"/>
      <c r="CR40" s="1756" t="str">
        <f t="shared" ref="CR40" si="4">AF40</f>
        <v>Inner row
Interior modules</v>
      </c>
      <c r="CS40" s="1756"/>
      <c r="CT40" s="1756"/>
      <c r="CU40" s="1756"/>
      <c r="CV40" s="1756"/>
      <c r="CW40" s="1747" t="str">
        <f t="shared" ref="CW40" si="5">AA40</f>
        <v>Inner row
1st-10th module</v>
      </c>
      <c r="CX40" s="1747"/>
      <c r="CY40" s="1747"/>
      <c r="CZ40" s="1747"/>
      <c r="DA40" s="1747"/>
      <c r="DB40" s="1749" t="str">
        <f t="shared" ref="DB40" si="6">V40</f>
        <v>Inner row
Interior modules</v>
      </c>
      <c r="DC40" s="1749"/>
      <c r="DD40" s="1749"/>
      <c r="DE40" s="1749"/>
      <c r="DF40" s="1749"/>
      <c r="DG40" s="1749" t="str">
        <f t="shared" ref="DG40" si="7">Q40</f>
        <v>Inner row
Interior modules</v>
      </c>
      <c r="DH40" s="1749"/>
      <c r="DI40" s="1749"/>
      <c r="DJ40" s="1749"/>
      <c r="DK40" s="1751"/>
      <c r="DL40" s="1549"/>
      <c r="DM40" s="1550"/>
      <c r="DN40" s="360"/>
      <c r="DO40" s="484"/>
    </row>
    <row r="41" spans="1:119" ht="13.5" customHeight="1" thickBot="1" x14ac:dyDescent="0.25">
      <c r="B41" s="614"/>
      <c r="C41" s="615"/>
      <c r="D41" s="420"/>
      <c r="E41" s="421"/>
      <c r="F41" s="422"/>
      <c r="G41" s="422"/>
      <c r="H41" s="422"/>
      <c r="I41" s="422"/>
      <c r="J41" s="423"/>
      <c r="K41" s="1074"/>
      <c r="L41" s="299"/>
      <c r="M41" s="491"/>
      <c r="N41" s="54"/>
      <c r="O41" s="1549"/>
      <c r="P41" s="1550"/>
      <c r="Q41" s="1304"/>
      <c r="R41" s="1253"/>
      <c r="S41" s="1253"/>
      <c r="T41" s="1253"/>
      <c r="U41" s="1254"/>
      <c r="V41" s="1252"/>
      <c r="W41" s="1253"/>
      <c r="X41" s="1253"/>
      <c r="Y41" s="1253"/>
      <c r="Z41" s="1254"/>
      <c r="AA41" s="1243"/>
      <c r="AB41" s="1244"/>
      <c r="AC41" s="1244"/>
      <c r="AD41" s="1244"/>
      <c r="AE41" s="1245"/>
      <c r="AF41" s="1279"/>
      <c r="AG41" s="1280"/>
      <c r="AH41" s="1280"/>
      <c r="AI41" s="1280"/>
      <c r="AJ41" s="1281"/>
      <c r="AK41" s="1288"/>
      <c r="AL41" s="1289"/>
      <c r="AM41" s="1289"/>
      <c r="AN41" s="1289"/>
      <c r="AO41" s="1290"/>
      <c r="AP41" s="1297"/>
      <c r="AQ41" s="1298"/>
      <c r="AR41" s="1298"/>
      <c r="AS41" s="1298"/>
      <c r="AT41" s="1299"/>
      <c r="AU41" s="1489"/>
      <c r="AV41" s="1490"/>
      <c r="AW41" s="1490"/>
      <c r="AX41" s="1490"/>
      <c r="AY41" s="1491"/>
      <c r="AZ41" s="1467"/>
      <c r="BA41" s="1468"/>
      <c r="BB41" s="1468"/>
      <c r="BC41" s="1468"/>
      <c r="BD41" s="1469"/>
      <c r="BE41" s="1620"/>
      <c r="BF41" s="1621"/>
      <c r="BG41" s="1621"/>
      <c r="BH41" s="1621"/>
      <c r="BI41" s="1622"/>
      <c r="BJ41" s="1549"/>
      <c r="BK41" s="1550"/>
      <c r="BL41" s="360"/>
      <c r="BM41" s="485"/>
      <c r="BO41" s="491"/>
      <c r="BP41" s="54"/>
      <c r="BQ41" s="1549"/>
      <c r="BR41" s="1550"/>
      <c r="BS41" s="1669"/>
      <c r="BT41" s="1670"/>
      <c r="BU41" s="1670"/>
      <c r="BV41" s="1670"/>
      <c r="BW41" s="1671"/>
      <c r="BX41" s="1678"/>
      <c r="BY41" s="1679"/>
      <c r="BZ41" s="1679"/>
      <c r="CA41" s="1679"/>
      <c r="CB41" s="1680"/>
      <c r="CC41" s="1744"/>
      <c r="CD41" s="1744"/>
      <c r="CE41" s="1744"/>
      <c r="CF41" s="1744"/>
      <c r="CG41" s="1744"/>
      <c r="CH41" s="1745"/>
      <c r="CI41" s="1745"/>
      <c r="CJ41" s="1745"/>
      <c r="CK41" s="1745"/>
      <c r="CL41" s="1745"/>
      <c r="CM41" s="1754"/>
      <c r="CN41" s="1754"/>
      <c r="CO41" s="1754"/>
      <c r="CP41" s="1754"/>
      <c r="CQ41" s="1754"/>
      <c r="CR41" s="1756"/>
      <c r="CS41" s="1756"/>
      <c r="CT41" s="1756"/>
      <c r="CU41" s="1756"/>
      <c r="CV41" s="1756"/>
      <c r="CW41" s="1747"/>
      <c r="CX41" s="1747"/>
      <c r="CY41" s="1747"/>
      <c r="CZ41" s="1747"/>
      <c r="DA41" s="1747"/>
      <c r="DB41" s="1749"/>
      <c r="DC41" s="1749"/>
      <c r="DD41" s="1749"/>
      <c r="DE41" s="1749"/>
      <c r="DF41" s="1749"/>
      <c r="DG41" s="1749"/>
      <c r="DH41" s="1749"/>
      <c r="DI41" s="1749"/>
      <c r="DJ41" s="1749"/>
      <c r="DK41" s="1751"/>
      <c r="DL41" s="1549"/>
      <c r="DM41" s="1550"/>
      <c r="DN41" s="360"/>
      <c r="DO41" s="485"/>
    </row>
    <row r="42" spans="1:119" ht="13.5" customHeight="1" thickTop="1" x14ac:dyDescent="0.2">
      <c r="D42" s="18"/>
      <c r="E42" s="18"/>
      <c r="F42" s="159"/>
      <c r="G42" s="22"/>
      <c r="H42" s="22"/>
      <c r="I42" s="22"/>
      <c r="J42" s="22"/>
      <c r="K42" s="1075" t="s">
        <v>521</v>
      </c>
      <c r="L42" s="299"/>
      <c r="M42" s="491"/>
      <c r="N42" s="54"/>
      <c r="O42" s="1549"/>
      <c r="P42" s="1550"/>
      <c r="Q42" s="1305"/>
      <c r="R42" s="1256"/>
      <c r="S42" s="1256"/>
      <c r="T42" s="1256"/>
      <c r="U42" s="1257"/>
      <c r="V42" s="1255"/>
      <c r="W42" s="1256"/>
      <c r="X42" s="1256"/>
      <c r="Y42" s="1256"/>
      <c r="Z42" s="1257"/>
      <c r="AA42" s="1246"/>
      <c r="AB42" s="1247"/>
      <c r="AC42" s="1247"/>
      <c r="AD42" s="1247"/>
      <c r="AE42" s="1248"/>
      <c r="AF42" s="1282"/>
      <c r="AG42" s="1283"/>
      <c r="AH42" s="1283"/>
      <c r="AI42" s="1283"/>
      <c r="AJ42" s="1284"/>
      <c r="AK42" s="1291"/>
      <c r="AL42" s="1292"/>
      <c r="AM42" s="1292"/>
      <c r="AN42" s="1292"/>
      <c r="AO42" s="1293"/>
      <c r="AP42" s="1300"/>
      <c r="AQ42" s="1301"/>
      <c r="AR42" s="1301"/>
      <c r="AS42" s="1301"/>
      <c r="AT42" s="1302"/>
      <c r="AU42" s="1492"/>
      <c r="AV42" s="1493"/>
      <c r="AW42" s="1493"/>
      <c r="AX42" s="1493"/>
      <c r="AY42" s="1494"/>
      <c r="AZ42" s="1470"/>
      <c r="BA42" s="1471"/>
      <c r="BB42" s="1471"/>
      <c r="BC42" s="1471"/>
      <c r="BD42" s="1472"/>
      <c r="BE42" s="1623"/>
      <c r="BF42" s="1624"/>
      <c r="BG42" s="1624"/>
      <c r="BH42" s="1624"/>
      <c r="BI42" s="1625"/>
      <c r="BJ42" s="1549"/>
      <c r="BK42" s="1550"/>
      <c r="BL42" s="360"/>
      <c r="BM42" s="485"/>
      <c r="BO42" s="491"/>
      <c r="BP42" s="54"/>
      <c r="BQ42" s="1549"/>
      <c r="BR42" s="1550"/>
      <c r="BS42" s="1672"/>
      <c r="BT42" s="1673"/>
      <c r="BU42" s="1673"/>
      <c r="BV42" s="1673"/>
      <c r="BW42" s="1674"/>
      <c r="BX42" s="1681"/>
      <c r="BY42" s="1682"/>
      <c r="BZ42" s="1682"/>
      <c r="CA42" s="1682"/>
      <c r="CB42" s="1683"/>
      <c r="CC42" s="1744"/>
      <c r="CD42" s="1744"/>
      <c r="CE42" s="1744"/>
      <c r="CF42" s="1744"/>
      <c r="CG42" s="1744"/>
      <c r="CH42" s="1745"/>
      <c r="CI42" s="1745"/>
      <c r="CJ42" s="1745"/>
      <c r="CK42" s="1745"/>
      <c r="CL42" s="1745"/>
      <c r="CM42" s="1754"/>
      <c r="CN42" s="1754"/>
      <c r="CO42" s="1754"/>
      <c r="CP42" s="1754"/>
      <c r="CQ42" s="1754"/>
      <c r="CR42" s="1756"/>
      <c r="CS42" s="1756"/>
      <c r="CT42" s="1756"/>
      <c r="CU42" s="1756"/>
      <c r="CV42" s="1756"/>
      <c r="CW42" s="1747"/>
      <c r="CX42" s="1747"/>
      <c r="CY42" s="1747"/>
      <c r="CZ42" s="1747"/>
      <c r="DA42" s="1747"/>
      <c r="DB42" s="1749"/>
      <c r="DC42" s="1749"/>
      <c r="DD42" s="1749"/>
      <c r="DE42" s="1749"/>
      <c r="DF42" s="1749"/>
      <c r="DG42" s="1749"/>
      <c r="DH42" s="1749"/>
      <c r="DI42" s="1749"/>
      <c r="DJ42" s="1749"/>
      <c r="DK42" s="1751"/>
      <c r="DL42" s="1549"/>
      <c r="DM42" s="1550"/>
      <c r="DN42" s="360"/>
      <c r="DO42" s="485"/>
    </row>
    <row r="43" spans="1:119" ht="13.5" customHeight="1" thickBot="1" x14ac:dyDescent="0.25">
      <c r="D43" s="18"/>
      <c r="E43" s="18"/>
      <c r="F43" s="159"/>
      <c r="G43" s="22"/>
      <c r="H43" s="22"/>
      <c r="I43" s="22"/>
      <c r="J43" s="22"/>
      <c r="K43" s="1076" t="s">
        <v>522</v>
      </c>
      <c r="L43" s="299"/>
      <c r="M43" s="491"/>
      <c r="N43" s="54"/>
      <c r="O43" s="1549"/>
      <c r="P43" s="1550"/>
      <c r="Q43" s="1303" t="str">
        <f>V43</f>
        <v>Inner row
Interior modules</v>
      </c>
      <c r="R43" s="1250"/>
      <c r="S43" s="1250"/>
      <c r="T43" s="1250"/>
      <c r="U43" s="1251"/>
      <c r="V43" s="1249" t="str">
        <f>V32</f>
        <v>Inner row
Interior modules</v>
      </c>
      <c r="W43" s="1250"/>
      <c r="X43" s="1250"/>
      <c r="Y43" s="1250"/>
      <c r="Z43" s="1251"/>
      <c r="AA43" s="1240" t="str">
        <f>AA32</f>
        <v>Inner row
1st-10th module</v>
      </c>
      <c r="AB43" s="1241"/>
      <c r="AC43" s="1241"/>
      <c r="AD43" s="1241"/>
      <c r="AE43" s="1242"/>
      <c r="AF43" s="1276" t="str">
        <f>AF32</f>
        <v>Inner row
Interior modules</v>
      </c>
      <c r="AG43" s="1277"/>
      <c r="AH43" s="1277"/>
      <c r="AI43" s="1277"/>
      <c r="AJ43" s="1278"/>
      <c r="AK43" s="1285" t="str">
        <f>AK32</f>
        <v>Inner row
1st-10th module</v>
      </c>
      <c r="AL43" s="1286"/>
      <c r="AM43" s="1286"/>
      <c r="AN43" s="1286"/>
      <c r="AO43" s="1287"/>
      <c r="AP43" s="1294" t="str">
        <f>AP32</f>
        <v>Inner row
Interior modules</v>
      </c>
      <c r="AQ43" s="1295"/>
      <c r="AR43" s="1295"/>
      <c r="AS43" s="1295"/>
      <c r="AT43" s="1296"/>
      <c r="AU43" s="1563" t="str">
        <f>AU32</f>
        <v>Inner row
1st-10th module</v>
      </c>
      <c r="AV43" s="1564"/>
      <c r="AW43" s="1564"/>
      <c r="AX43" s="1564"/>
      <c r="AY43" s="1565"/>
      <c r="AZ43" s="1437" t="str">
        <f>CONCATENATE(B108,CHAR(10),E63)</f>
        <v>Inner row
Interior modules</v>
      </c>
      <c r="BA43" s="1438"/>
      <c r="BB43" s="1438"/>
      <c r="BC43" s="1438"/>
      <c r="BD43" s="1439"/>
      <c r="BE43" s="1446" t="str">
        <f>CONCATENATE(B108,CHAR(10),E62)</f>
        <v>Inner row
1st-10th module</v>
      </c>
      <c r="BF43" s="1447"/>
      <c r="BG43" s="1447"/>
      <c r="BH43" s="1447"/>
      <c r="BI43" s="1448"/>
      <c r="BJ43" s="1549"/>
      <c r="BK43" s="1550"/>
      <c r="BL43" s="360"/>
      <c r="BM43" s="556"/>
      <c r="BO43" s="491"/>
      <c r="BP43" s="54"/>
      <c r="BQ43" s="1549"/>
      <c r="BR43" s="1550"/>
      <c r="BS43" s="1684" t="str">
        <f>BE43</f>
        <v>Inner row
1st-10th module</v>
      </c>
      <c r="BT43" s="1685"/>
      <c r="BU43" s="1685"/>
      <c r="BV43" s="1685"/>
      <c r="BW43" s="1686"/>
      <c r="BX43" s="1655" t="str">
        <f>AZ43</f>
        <v>Inner row
Interior modules</v>
      </c>
      <c r="BY43" s="1656"/>
      <c r="BZ43" s="1656"/>
      <c r="CA43" s="1656"/>
      <c r="CB43" s="1657"/>
      <c r="CC43" s="1780" t="str">
        <f t="shared" ref="CC43" si="8">AU43</f>
        <v>Inner row
1st-10th module</v>
      </c>
      <c r="CD43" s="1780"/>
      <c r="CE43" s="1780"/>
      <c r="CF43" s="1780"/>
      <c r="CG43" s="1780"/>
      <c r="CH43" s="1745" t="str">
        <f t="shared" ref="CH43" si="9">AP43</f>
        <v>Inner row
Interior modules</v>
      </c>
      <c r="CI43" s="1745"/>
      <c r="CJ43" s="1745"/>
      <c r="CK43" s="1745"/>
      <c r="CL43" s="1745"/>
      <c r="CM43" s="1754" t="str">
        <f t="shared" ref="CM43" si="10">AK43</f>
        <v>Inner row
1st-10th module</v>
      </c>
      <c r="CN43" s="1754"/>
      <c r="CO43" s="1754"/>
      <c r="CP43" s="1754"/>
      <c r="CQ43" s="1754"/>
      <c r="CR43" s="1756" t="str">
        <f t="shared" ref="CR43" si="11">AF43</f>
        <v>Inner row
Interior modules</v>
      </c>
      <c r="CS43" s="1756"/>
      <c r="CT43" s="1756"/>
      <c r="CU43" s="1756"/>
      <c r="CV43" s="1756"/>
      <c r="CW43" s="1747" t="str">
        <f t="shared" ref="CW43" si="12">AA43</f>
        <v>Inner row
1st-10th module</v>
      </c>
      <c r="CX43" s="1747"/>
      <c r="CY43" s="1747"/>
      <c r="CZ43" s="1747"/>
      <c r="DA43" s="1747"/>
      <c r="DB43" s="1749" t="str">
        <f t="shared" ref="DB43" si="13">V43</f>
        <v>Inner row
Interior modules</v>
      </c>
      <c r="DC43" s="1749"/>
      <c r="DD43" s="1749"/>
      <c r="DE43" s="1749"/>
      <c r="DF43" s="1749"/>
      <c r="DG43" s="1749" t="str">
        <f t="shared" ref="DG43" si="14">Q43</f>
        <v>Inner row
Interior modules</v>
      </c>
      <c r="DH43" s="1749"/>
      <c r="DI43" s="1749"/>
      <c r="DJ43" s="1749"/>
      <c r="DK43" s="1751"/>
      <c r="DL43" s="1549"/>
      <c r="DM43" s="1550"/>
      <c r="DN43" s="360"/>
      <c r="DO43" s="556"/>
    </row>
    <row r="44" spans="1:119" ht="13.5" customHeight="1" thickTop="1" thickBot="1" x14ac:dyDescent="0.3">
      <c r="A44" s="24"/>
      <c r="B44" s="1389" t="s">
        <v>425</v>
      </c>
      <c r="C44" s="1390"/>
      <c r="D44" s="1391"/>
      <c r="E44" s="1406" t="s">
        <v>354</v>
      </c>
      <c r="F44" s="1407"/>
      <c r="G44" s="1407"/>
      <c r="H44" s="1407"/>
      <c r="I44" s="1408"/>
      <c r="J44" s="656"/>
      <c r="K44" s="20" t="s">
        <v>523</v>
      </c>
      <c r="L44" s="118"/>
      <c r="M44" s="491"/>
      <c r="N44" s="54"/>
      <c r="O44" s="1549"/>
      <c r="P44" s="1550"/>
      <c r="Q44" s="1304"/>
      <c r="R44" s="1253"/>
      <c r="S44" s="1253"/>
      <c r="T44" s="1253"/>
      <c r="U44" s="1254"/>
      <c r="V44" s="1252"/>
      <c r="W44" s="1253"/>
      <c r="X44" s="1253"/>
      <c r="Y44" s="1253"/>
      <c r="Z44" s="1254"/>
      <c r="AA44" s="1243"/>
      <c r="AB44" s="1244"/>
      <c r="AC44" s="1244"/>
      <c r="AD44" s="1244"/>
      <c r="AE44" s="1245"/>
      <c r="AF44" s="1279"/>
      <c r="AG44" s="1280"/>
      <c r="AH44" s="1280"/>
      <c r="AI44" s="1280"/>
      <c r="AJ44" s="1281"/>
      <c r="AK44" s="1288"/>
      <c r="AL44" s="1289"/>
      <c r="AM44" s="1289"/>
      <c r="AN44" s="1289"/>
      <c r="AO44" s="1290"/>
      <c r="AP44" s="1297"/>
      <c r="AQ44" s="1298"/>
      <c r="AR44" s="1298"/>
      <c r="AS44" s="1298"/>
      <c r="AT44" s="1299"/>
      <c r="AU44" s="1566"/>
      <c r="AV44" s="1567"/>
      <c r="AW44" s="1567"/>
      <c r="AX44" s="1567"/>
      <c r="AY44" s="1568"/>
      <c r="AZ44" s="1440"/>
      <c r="BA44" s="1441"/>
      <c r="BB44" s="1441"/>
      <c r="BC44" s="1441"/>
      <c r="BD44" s="1442"/>
      <c r="BE44" s="1449"/>
      <c r="BF44" s="1450"/>
      <c r="BG44" s="1450"/>
      <c r="BH44" s="1450"/>
      <c r="BI44" s="1451"/>
      <c r="BJ44" s="1549"/>
      <c r="BK44" s="1550"/>
      <c r="BL44" s="360"/>
      <c r="BM44" s="375"/>
      <c r="BO44" s="491"/>
      <c r="BP44" s="54"/>
      <c r="BQ44" s="1549"/>
      <c r="BR44" s="1550"/>
      <c r="BS44" s="1687"/>
      <c r="BT44" s="1688"/>
      <c r="BU44" s="1688"/>
      <c r="BV44" s="1688"/>
      <c r="BW44" s="1689"/>
      <c r="BX44" s="1658"/>
      <c r="BY44" s="1659"/>
      <c r="BZ44" s="1659"/>
      <c r="CA44" s="1659"/>
      <c r="CB44" s="1660"/>
      <c r="CC44" s="1780"/>
      <c r="CD44" s="1780"/>
      <c r="CE44" s="1780"/>
      <c r="CF44" s="1780"/>
      <c r="CG44" s="1780"/>
      <c r="CH44" s="1745"/>
      <c r="CI44" s="1745"/>
      <c r="CJ44" s="1745"/>
      <c r="CK44" s="1745"/>
      <c r="CL44" s="1745"/>
      <c r="CM44" s="1754"/>
      <c r="CN44" s="1754"/>
      <c r="CO44" s="1754"/>
      <c r="CP44" s="1754"/>
      <c r="CQ44" s="1754"/>
      <c r="CR44" s="1756"/>
      <c r="CS44" s="1756"/>
      <c r="CT44" s="1756"/>
      <c r="CU44" s="1756"/>
      <c r="CV44" s="1756"/>
      <c r="CW44" s="1747"/>
      <c r="CX44" s="1747"/>
      <c r="CY44" s="1747"/>
      <c r="CZ44" s="1747"/>
      <c r="DA44" s="1747"/>
      <c r="DB44" s="1749"/>
      <c r="DC44" s="1749"/>
      <c r="DD44" s="1749"/>
      <c r="DE44" s="1749"/>
      <c r="DF44" s="1749"/>
      <c r="DG44" s="1749"/>
      <c r="DH44" s="1749"/>
      <c r="DI44" s="1749"/>
      <c r="DJ44" s="1749"/>
      <c r="DK44" s="1751"/>
      <c r="DL44" s="1549"/>
      <c r="DM44" s="1550"/>
      <c r="DN44" s="360"/>
      <c r="DO44" s="375"/>
    </row>
    <row r="45" spans="1:119" ht="13.5" customHeight="1" x14ac:dyDescent="0.25">
      <c r="A45" s="24"/>
      <c r="B45" s="1392"/>
      <c r="C45" s="1393"/>
      <c r="D45" s="1394"/>
      <c r="E45" s="1207" t="s">
        <v>424</v>
      </c>
      <c r="F45" s="1373" t="s">
        <v>355</v>
      </c>
      <c r="G45" s="1375" t="s">
        <v>356</v>
      </c>
      <c r="H45" s="1205" t="s">
        <v>357</v>
      </c>
      <c r="I45" s="1306" t="s">
        <v>358</v>
      </c>
      <c r="J45" s="656"/>
      <c r="K45" s="1046" t="s">
        <v>518</v>
      </c>
      <c r="L45" s="118"/>
      <c r="M45" s="491"/>
      <c r="N45" s="54"/>
      <c r="O45" s="1549"/>
      <c r="P45" s="1550"/>
      <c r="Q45" s="1305"/>
      <c r="R45" s="1256"/>
      <c r="S45" s="1256"/>
      <c r="T45" s="1256"/>
      <c r="U45" s="1257"/>
      <c r="V45" s="1255"/>
      <c r="W45" s="1256"/>
      <c r="X45" s="1256"/>
      <c r="Y45" s="1256"/>
      <c r="Z45" s="1257"/>
      <c r="AA45" s="1246"/>
      <c r="AB45" s="1247"/>
      <c r="AC45" s="1247"/>
      <c r="AD45" s="1247"/>
      <c r="AE45" s="1248"/>
      <c r="AF45" s="1282"/>
      <c r="AG45" s="1283"/>
      <c r="AH45" s="1283"/>
      <c r="AI45" s="1283"/>
      <c r="AJ45" s="1284"/>
      <c r="AK45" s="1291"/>
      <c r="AL45" s="1292"/>
      <c r="AM45" s="1292"/>
      <c r="AN45" s="1292"/>
      <c r="AO45" s="1293"/>
      <c r="AP45" s="1300"/>
      <c r="AQ45" s="1301"/>
      <c r="AR45" s="1301"/>
      <c r="AS45" s="1301"/>
      <c r="AT45" s="1302"/>
      <c r="AU45" s="1569"/>
      <c r="AV45" s="1570"/>
      <c r="AW45" s="1570"/>
      <c r="AX45" s="1570"/>
      <c r="AY45" s="1571"/>
      <c r="AZ45" s="1443"/>
      <c r="BA45" s="1444"/>
      <c r="BB45" s="1444"/>
      <c r="BC45" s="1444"/>
      <c r="BD45" s="1445"/>
      <c r="BE45" s="1452"/>
      <c r="BF45" s="1453"/>
      <c r="BG45" s="1453"/>
      <c r="BH45" s="1453"/>
      <c r="BI45" s="1454"/>
      <c r="BJ45" s="1549"/>
      <c r="BK45" s="1550"/>
      <c r="BL45" s="360"/>
      <c r="BM45" s="1436"/>
      <c r="BO45" s="491"/>
      <c r="BP45" s="54"/>
      <c r="BQ45" s="1549"/>
      <c r="BR45" s="1550"/>
      <c r="BS45" s="1690"/>
      <c r="BT45" s="1691"/>
      <c r="BU45" s="1691"/>
      <c r="BV45" s="1691"/>
      <c r="BW45" s="1692"/>
      <c r="BX45" s="1661"/>
      <c r="BY45" s="1662"/>
      <c r="BZ45" s="1662"/>
      <c r="CA45" s="1662"/>
      <c r="CB45" s="1663"/>
      <c r="CC45" s="1780"/>
      <c r="CD45" s="1780"/>
      <c r="CE45" s="1780"/>
      <c r="CF45" s="1780"/>
      <c r="CG45" s="1780"/>
      <c r="CH45" s="1745"/>
      <c r="CI45" s="1745"/>
      <c r="CJ45" s="1745"/>
      <c r="CK45" s="1745"/>
      <c r="CL45" s="1745"/>
      <c r="CM45" s="1754"/>
      <c r="CN45" s="1754"/>
      <c r="CO45" s="1754"/>
      <c r="CP45" s="1754"/>
      <c r="CQ45" s="1754"/>
      <c r="CR45" s="1756"/>
      <c r="CS45" s="1756"/>
      <c r="CT45" s="1756"/>
      <c r="CU45" s="1756"/>
      <c r="CV45" s="1756"/>
      <c r="CW45" s="1747"/>
      <c r="CX45" s="1747"/>
      <c r="CY45" s="1747"/>
      <c r="CZ45" s="1747"/>
      <c r="DA45" s="1747"/>
      <c r="DB45" s="1749"/>
      <c r="DC45" s="1749"/>
      <c r="DD45" s="1749"/>
      <c r="DE45" s="1749"/>
      <c r="DF45" s="1749"/>
      <c r="DG45" s="1749"/>
      <c r="DH45" s="1749"/>
      <c r="DI45" s="1749"/>
      <c r="DJ45" s="1749"/>
      <c r="DK45" s="1751"/>
      <c r="DL45" s="1549"/>
      <c r="DM45" s="1550"/>
      <c r="DN45" s="360"/>
      <c r="DO45" s="1436"/>
    </row>
    <row r="46" spans="1:119" ht="13.5" customHeight="1" thickBot="1" x14ac:dyDescent="0.3">
      <c r="A46" s="24"/>
      <c r="B46" s="1392"/>
      <c r="C46" s="1393"/>
      <c r="D46" s="1394"/>
      <c r="E46" s="1208"/>
      <c r="F46" s="1374"/>
      <c r="G46" s="1376"/>
      <c r="H46" s="1206"/>
      <c r="I46" s="1307"/>
      <c r="J46" s="656"/>
      <c r="K46" s="1050" t="s">
        <v>520</v>
      </c>
      <c r="L46" s="118"/>
      <c r="M46" s="491"/>
      <c r="N46" s="54"/>
      <c r="O46" s="1549"/>
      <c r="P46" s="1550"/>
      <c r="Q46" s="1303" t="str">
        <f>V46</f>
        <v>Inner row
Interior modules</v>
      </c>
      <c r="R46" s="1250"/>
      <c r="S46" s="1250"/>
      <c r="T46" s="1250"/>
      <c r="U46" s="1251"/>
      <c r="V46" s="1249" t="str">
        <f>V32</f>
        <v>Inner row
Interior modules</v>
      </c>
      <c r="W46" s="1250"/>
      <c r="X46" s="1250"/>
      <c r="Y46" s="1250"/>
      <c r="Z46" s="1251"/>
      <c r="AA46" s="1240" t="str">
        <f>AA32</f>
        <v>Inner row
1st-10th module</v>
      </c>
      <c r="AB46" s="1241"/>
      <c r="AC46" s="1241"/>
      <c r="AD46" s="1241"/>
      <c r="AE46" s="1242"/>
      <c r="AF46" s="1276" t="str">
        <f>AF32</f>
        <v>Inner row
Interior modules</v>
      </c>
      <c r="AG46" s="1277"/>
      <c r="AH46" s="1277"/>
      <c r="AI46" s="1277"/>
      <c r="AJ46" s="1278"/>
      <c r="AK46" s="1285" t="str">
        <f>AK32</f>
        <v>Inner row
1st-10th module</v>
      </c>
      <c r="AL46" s="1286"/>
      <c r="AM46" s="1286"/>
      <c r="AN46" s="1286"/>
      <c r="AO46" s="1287"/>
      <c r="AP46" s="1294" t="str">
        <f>AP32</f>
        <v>Inner row
Interior modules</v>
      </c>
      <c r="AQ46" s="1295"/>
      <c r="AR46" s="1295"/>
      <c r="AS46" s="1295"/>
      <c r="AT46" s="1296"/>
      <c r="AU46" s="1563" t="str">
        <f>AU32</f>
        <v>Inner row
1st-10th module</v>
      </c>
      <c r="AV46" s="1564"/>
      <c r="AW46" s="1564"/>
      <c r="AX46" s="1564"/>
      <c r="AY46" s="1565"/>
      <c r="AZ46" s="1437" t="str">
        <f>AZ43</f>
        <v>Inner row
Interior modules</v>
      </c>
      <c r="BA46" s="1438"/>
      <c r="BB46" s="1438"/>
      <c r="BC46" s="1438"/>
      <c r="BD46" s="1439"/>
      <c r="BE46" s="1446" t="str">
        <f>BE43</f>
        <v>Inner row
1st-10th module</v>
      </c>
      <c r="BF46" s="1447"/>
      <c r="BG46" s="1447"/>
      <c r="BH46" s="1447"/>
      <c r="BI46" s="1448"/>
      <c r="BJ46" s="1549"/>
      <c r="BK46" s="1550"/>
      <c r="BL46" s="360"/>
      <c r="BM46" s="1436"/>
      <c r="BO46" s="491"/>
      <c r="BP46" s="54"/>
      <c r="BQ46" s="1549"/>
      <c r="BR46" s="1550"/>
      <c r="BS46" s="1684" t="str">
        <f>BE46</f>
        <v>Inner row
1st-10th module</v>
      </c>
      <c r="BT46" s="1685"/>
      <c r="BU46" s="1685"/>
      <c r="BV46" s="1685"/>
      <c r="BW46" s="1686"/>
      <c r="BX46" s="1655" t="str">
        <f>AZ46</f>
        <v>Inner row
Interior modules</v>
      </c>
      <c r="BY46" s="1656"/>
      <c r="BZ46" s="1656"/>
      <c r="CA46" s="1656"/>
      <c r="CB46" s="1657"/>
      <c r="CC46" s="1563" t="str">
        <f>AP46</f>
        <v>Inner row
Interior modules</v>
      </c>
      <c r="CD46" s="1564"/>
      <c r="CE46" s="1564"/>
      <c r="CF46" s="1564"/>
      <c r="CG46" s="1565"/>
      <c r="CH46" s="1294" t="str">
        <f>AP46</f>
        <v>Inner row
Interior modules</v>
      </c>
      <c r="CI46" s="1295"/>
      <c r="CJ46" s="1295"/>
      <c r="CK46" s="1295"/>
      <c r="CL46" s="1296"/>
      <c r="CM46" s="1285" t="str">
        <f>AK46</f>
        <v>Inner row
1st-10th module</v>
      </c>
      <c r="CN46" s="1286"/>
      <c r="CO46" s="1286"/>
      <c r="CP46" s="1286"/>
      <c r="CQ46" s="1287"/>
      <c r="CR46" s="1276" t="str">
        <f>AF46</f>
        <v>Inner row
Interior modules</v>
      </c>
      <c r="CS46" s="1277"/>
      <c r="CT46" s="1277"/>
      <c r="CU46" s="1277"/>
      <c r="CV46" s="1278"/>
      <c r="CW46" s="1240" t="str">
        <f>AA46</f>
        <v>Inner row
1st-10th module</v>
      </c>
      <c r="CX46" s="1241"/>
      <c r="CY46" s="1241"/>
      <c r="CZ46" s="1241"/>
      <c r="DA46" s="1242"/>
      <c r="DB46" s="1249" t="str">
        <f>V46</f>
        <v>Inner row
Interior modules</v>
      </c>
      <c r="DC46" s="1250"/>
      <c r="DD46" s="1250"/>
      <c r="DE46" s="1250"/>
      <c r="DF46" s="1251"/>
      <c r="DG46" s="1249" t="str">
        <f>Q46</f>
        <v>Inner row
Interior modules</v>
      </c>
      <c r="DH46" s="1250"/>
      <c r="DI46" s="1250"/>
      <c r="DJ46" s="1250"/>
      <c r="DK46" s="1482"/>
      <c r="DL46" s="1549"/>
      <c r="DM46" s="1550"/>
      <c r="DN46" s="360"/>
      <c r="DO46" s="1436"/>
    </row>
    <row r="47" spans="1:119" ht="13.5" customHeight="1" thickBot="1" x14ac:dyDescent="0.3">
      <c r="A47" s="24"/>
      <c r="B47" s="1395"/>
      <c r="C47" s="1781"/>
      <c r="D47" s="1397"/>
      <c r="E47" s="1379"/>
      <c r="F47" s="589">
        <f>VLOOKUP(F11,C104:J119,5,FALSE)</f>
        <v>1</v>
      </c>
      <c r="G47" s="590">
        <f>VLOOKUP(F11,C104:J119,6,FALSE)</f>
        <v>1</v>
      </c>
      <c r="H47" s="590">
        <f>VLOOKUP(F11,C104:J119,7,FALSE)</f>
        <v>0.9</v>
      </c>
      <c r="I47" s="404">
        <f>VLOOKUP(F11,C104:J119,8,FALSE)</f>
        <v>0.9</v>
      </c>
      <c r="J47" s="656"/>
      <c r="K47" s="1047" t="s">
        <v>519</v>
      </c>
      <c r="L47" s="118"/>
      <c r="M47" s="491"/>
      <c r="N47" s="54"/>
      <c r="O47" s="1549"/>
      <c r="P47" s="1550"/>
      <c r="Q47" s="1304"/>
      <c r="R47" s="1253"/>
      <c r="S47" s="1253"/>
      <c r="T47" s="1253"/>
      <c r="U47" s="1254"/>
      <c r="V47" s="1252"/>
      <c r="W47" s="1253"/>
      <c r="X47" s="1253"/>
      <c r="Y47" s="1253"/>
      <c r="Z47" s="1254"/>
      <c r="AA47" s="1243"/>
      <c r="AB47" s="1244"/>
      <c r="AC47" s="1244"/>
      <c r="AD47" s="1244"/>
      <c r="AE47" s="1245"/>
      <c r="AF47" s="1279"/>
      <c r="AG47" s="1280"/>
      <c r="AH47" s="1280"/>
      <c r="AI47" s="1280"/>
      <c r="AJ47" s="1281"/>
      <c r="AK47" s="1288"/>
      <c r="AL47" s="1289"/>
      <c r="AM47" s="1289"/>
      <c r="AN47" s="1289"/>
      <c r="AO47" s="1290"/>
      <c r="AP47" s="1297"/>
      <c r="AQ47" s="1298"/>
      <c r="AR47" s="1298"/>
      <c r="AS47" s="1298"/>
      <c r="AT47" s="1299"/>
      <c r="AU47" s="1566"/>
      <c r="AV47" s="1567"/>
      <c r="AW47" s="1567"/>
      <c r="AX47" s="1567"/>
      <c r="AY47" s="1568"/>
      <c r="AZ47" s="1440"/>
      <c r="BA47" s="1441"/>
      <c r="BB47" s="1441"/>
      <c r="BC47" s="1441"/>
      <c r="BD47" s="1442"/>
      <c r="BE47" s="1449"/>
      <c r="BF47" s="1450"/>
      <c r="BG47" s="1450"/>
      <c r="BH47" s="1450"/>
      <c r="BI47" s="1451"/>
      <c r="BJ47" s="1549"/>
      <c r="BK47" s="1550"/>
      <c r="BL47" s="360"/>
      <c r="BM47" s="485"/>
      <c r="BO47" s="491"/>
      <c r="BP47" s="54"/>
      <c r="BQ47" s="1549"/>
      <c r="BR47" s="1550"/>
      <c r="BS47" s="1687"/>
      <c r="BT47" s="1688"/>
      <c r="BU47" s="1688"/>
      <c r="BV47" s="1688"/>
      <c r="BW47" s="1689"/>
      <c r="BX47" s="1658"/>
      <c r="BY47" s="1659"/>
      <c r="BZ47" s="1659"/>
      <c r="CA47" s="1659"/>
      <c r="CB47" s="1660"/>
      <c r="CC47" s="1566"/>
      <c r="CD47" s="1567"/>
      <c r="CE47" s="1567"/>
      <c r="CF47" s="1567"/>
      <c r="CG47" s="1568"/>
      <c r="CH47" s="1297"/>
      <c r="CI47" s="1298"/>
      <c r="CJ47" s="1298"/>
      <c r="CK47" s="1298"/>
      <c r="CL47" s="1299"/>
      <c r="CM47" s="1288"/>
      <c r="CN47" s="1289"/>
      <c r="CO47" s="1289"/>
      <c r="CP47" s="1289"/>
      <c r="CQ47" s="1290"/>
      <c r="CR47" s="1279"/>
      <c r="CS47" s="1280"/>
      <c r="CT47" s="1280"/>
      <c r="CU47" s="1280"/>
      <c r="CV47" s="1281"/>
      <c r="CW47" s="1243"/>
      <c r="CX47" s="1244"/>
      <c r="CY47" s="1244"/>
      <c r="CZ47" s="1244"/>
      <c r="DA47" s="1245"/>
      <c r="DB47" s="1252"/>
      <c r="DC47" s="1253"/>
      <c r="DD47" s="1253"/>
      <c r="DE47" s="1253"/>
      <c r="DF47" s="1254"/>
      <c r="DG47" s="1252"/>
      <c r="DH47" s="1253"/>
      <c r="DI47" s="1253"/>
      <c r="DJ47" s="1253"/>
      <c r="DK47" s="1483"/>
      <c r="DL47" s="1549"/>
      <c r="DM47" s="1550"/>
      <c r="DN47" s="360"/>
      <c r="DO47" s="485"/>
    </row>
    <row r="48" spans="1:119" ht="13.5" customHeight="1" thickTop="1" thickBot="1" x14ac:dyDescent="0.25">
      <c r="A48" s="24"/>
      <c r="B48" s="1386" t="s">
        <v>426</v>
      </c>
      <c r="C48" s="1387"/>
      <c r="D48" s="1387"/>
      <c r="E48" s="1388"/>
      <c r="F48" s="1377"/>
      <c r="G48" s="1378"/>
      <c r="H48" s="1377" t="s">
        <v>479</v>
      </c>
      <c r="I48" s="1313"/>
      <c r="J48" s="1360" t="s">
        <v>305</v>
      </c>
      <c r="K48" s="1782" t="s">
        <v>304</v>
      </c>
      <c r="L48" s="118"/>
      <c r="M48" s="491"/>
      <c r="N48" s="54"/>
      <c r="O48" s="1549"/>
      <c r="P48" s="1550"/>
      <c r="Q48" s="1305"/>
      <c r="R48" s="1256"/>
      <c r="S48" s="1256"/>
      <c r="T48" s="1256"/>
      <c r="U48" s="1257"/>
      <c r="V48" s="1255"/>
      <c r="W48" s="1256"/>
      <c r="X48" s="1256"/>
      <c r="Y48" s="1256"/>
      <c r="Z48" s="1257"/>
      <c r="AA48" s="1246"/>
      <c r="AB48" s="1247"/>
      <c r="AC48" s="1247"/>
      <c r="AD48" s="1247"/>
      <c r="AE48" s="1248"/>
      <c r="AF48" s="1282"/>
      <c r="AG48" s="1283"/>
      <c r="AH48" s="1283"/>
      <c r="AI48" s="1283"/>
      <c r="AJ48" s="1284"/>
      <c r="AK48" s="1291"/>
      <c r="AL48" s="1292"/>
      <c r="AM48" s="1292"/>
      <c r="AN48" s="1292"/>
      <c r="AO48" s="1293"/>
      <c r="AP48" s="1300"/>
      <c r="AQ48" s="1301"/>
      <c r="AR48" s="1301"/>
      <c r="AS48" s="1301"/>
      <c r="AT48" s="1302"/>
      <c r="AU48" s="1569"/>
      <c r="AV48" s="1570"/>
      <c r="AW48" s="1570"/>
      <c r="AX48" s="1570"/>
      <c r="AY48" s="1571"/>
      <c r="AZ48" s="1443"/>
      <c r="BA48" s="1444"/>
      <c r="BB48" s="1444"/>
      <c r="BC48" s="1444"/>
      <c r="BD48" s="1445"/>
      <c r="BE48" s="1452"/>
      <c r="BF48" s="1453"/>
      <c r="BG48" s="1453"/>
      <c r="BH48" s="1453"/>
      <c r="BI48" s="1454"/>
      <c r="BJ48" s="1549"/>
      <c r="BK48" s="1550"/>
      <c r="BL48" s="360"/>
      <c r="BM48" s="485"/>
      <c r="BO48" s="491"/>
      <c r="BP48" s="54"/>
      <c r="BQ48" s="1549"/>
      <c r="BR48" s="1550"/>
      <c r="BS48" s="1690"/>
      <c r="BT48" s="1691"/>
      <c r="BU48" s="1691"/>
      <c r="BV48" s="1691"/>
      <c r="BW48" s="1692"/>
      <c r="BX48" s="1661"/>
      <c r="BY48" s="1662"/>
      <c r="BZ48" s="1662"/>
      <c r="CA48" s="1662"/>
      <c r="CB48" s="1663"/>
      <c r="CC48" s="1569"/>
      <c r="CD48" s="1570"/>
      <c r="CE48" s="1570"/>
      <c r="CF48" s="1570"/>
      <c r="CG48" s="1571"/>
      <c r="CH48" s="1300"/>
      <c r="CI48" s="1301"/>
      <c r="CJ48" s="1301"/>
      <c r="CK48" s="1301"/>
      <c r="CL48" s="1302"/>
      <c r="CM48" s="1291"/>
      <c r="CN48" s="1292"/>
      <c r="CO48" s="1292"/>
      <c r="CP48" s="1292"/>
      <c r="CQ48" s="1293"/>
      <c r="CR48" s="1282"/>
      <c r="CS48" s="1283"/>
      <c r="CT48" s="1283"/>
      <c r="CU48" s="1283"/>
      <c r="CV48" s="1284"/>
      <c r="CW48" s="1246"/>
      <c r="CX48" s="1247"/>
      <c r="CY48" s="1247"/>
      <c r="CZ48" s="1247"/>
      <c r="DA48" s="1248"/>
      <c r="DB48" s="1255"/>
      <c r="DC48" s="1256"/>
      <c r="DD48" s="1256"/>
      <c r="DE48" s="1256"/>
      <c r="DF48" s="1257"/>
      <c r="DG48" s="1255"/>
      <c r="DH48" s="1256"/>
      <c r="DI48" s="1256"/>
      <c r="DJ48" s="1256"/>
      <c r="DK48" s="1484"/>
      <c r="DL48" s="1549"/>
      <c r="DM48" s="1550"/>
      <c r="DN48" s="360"/>
      <c r="DO48" s="485"/>
    </row>
    <row r="49" spans="1:120" ht="27" customHeight="1" thickBot="1" x14ac:dyDescent="0.25">
      <c r="A49" s="24"/>
      <c r="B49" s="1369" t="s">
        <v>429</v>
      </c>
      <c r="C49" s="1370"/>
      <c r="D49" s="1371"/>
      <c r="E49" s="349" t="s">
        <v>430</v>
      </c>
      <c r="F49" s="599" t="s">
        <v>431</v>
      </c>
      <c r="G49" s="600" t="s">
        <v>432</v>
      </c>
      <c r="H49" s="599" t="s">
        <v>431</v>
      </c>
      <c r="I49" s="601" t="s">
        <v>432</v>
      </c>
      <c r="J49" s="1361"/>
      <c r="K49" s="1355"/>
      <c r="L49" s="118"/>
      <c r="M49" s="491"/>
      <c r="N49" s="54"/>
      <c r="O49" s="1549"/>
      <c r="P49" s="1550"/>
      <c r="Q49" s="1304" t="str">
        <f>V49</f>
        <v>Inner row
Interior modules</v>
      </c>
      <c r="R49" s="1253"/>
      <c r="S49" s="1253"/>
      <c r="T49" s="1253"/>
      <c r="U49" s="1254"/>
      <c r="V49" s="1249" t="str">
        <f>V32</f>
        <v>Inner row
Interior modules</v>
      </c>
      <c r="W49" s="1250"/>
      <c r="X49" s="1250"/>
      <c r="Y49" s="1250"/>
      <c r="Z49" s="1251"/>
      <c r="AA49" s="1240" t="str">
        <f>AA32</f>
        <v>Inner row
1st-10th module</v>
      </c>
      <c r="AB49" s="1241"/>
      <c r="AC49" s="1241"/>
      <c r="AD49" s="1241"/>
      <c r="AE49" s="1242"/>
      <c r="AF49" s="1276" t="str">
        <f>AF32</f>
        <v>Inner row
Interior modules</v>
      </c>
      <c r="AG49" s="1277"/>
      <c r="AH49" s="1277"/>
      <c r="AI49" s="1277"/>
      <c r="AJ49" s="1278"/>
      <c r="AK49" s="1285" t="str">
        <f>AK32</f>
        <v>Inner row
1st-10th module</v>
      </c>
      <c r="AL49" s="1286"/>
      <c r="AM49" s="1286"/>
      <c r="AN49" s="1286"/>
      <c r="AO49" s="1287"/>
      <c r="AP49" s="1294" t="str">
        <f>AP32</f>
        <v>Inner row
Interior modules</v>
      </c>
      <c r="AQ49" s="1295"/>
      <c r="AR49" s="1295"/>
      <c r="AS49" s="1295"/>
      <c r="AT49" s="1296"/>
      <c r="AU49" s="1563" t="str">
        <f>AU32</f>
        <v>Inner row
1st-10th module</v>
      </c>
      <c r="AV49" s="1564"/>
      <c r="AW49" s="1564"/>
      <c r="AX49" s="1564"/>
      <c r="AY49" s="1565"/>
      <c r="AZ49" s="1267" t="str">
        <f>AZ43</f>
        <v>Inner row
Interior modules</v>
      </c>
      <c r="BA49" s="1268"/>
      <c r="BB49" s="1268"/>
      <c r="BC49" s="1268"/>
      <c r="BD49" s="1269"/>
      <c r="BE49" s="1258" t="str">
        <f>BE43</f>
        <v>Inner row
1st-10th module</v>
      </c>
      <c r="BF49" s="1259"/>
      <c r="BG49" s="1259"/>
      <c r="BH49" s="1259"/>
      <c r="BI49" s="1260"/>
      <c r="BJ49" s="1549"/>
      <c r="BK49" s="1550"/>
      <c r="BL49" s="360"/>
      <c r="BM49" s="485"/>
      <c r="BO49" s="491"/>
      <c r="BP49" s="54"/>
      <c r="BQ49" s="1549"/>
      <c r="BR49" s="1550"/>
      <c r="BS49" s="1645" t="str">
        <f>BE49</f>
        <v>Inner row
1st-10th module</v>
      </c>
      <c r="BT49" s="1259"/>
      <c r="BU49" s="1259"/>
      <c r="BV49" s="1259"/>
      <c r="BW49" s="1646"/>
      <c r="BX49" s="1267" t="str">
        <f t="shared" ref="BX49" si="15">AZ49</f>
        <v>Inner row
Interior modules</v>
      </c>
      <c r="BY49" s="1268"/>
      <c r="BZ49" s="1268"/>
      <c r="CA49" s="1268"/>
      <c r="CB49" s="1269"/>
      <c r="CC49" s="1566" t="str">
        <f t="shared" ref="CC49" si="16">AU49</f>
        <v>Inner row
1st-10th module</v>
      </c>
      <c r="CD49" s="1567"/>
      <c r="CE49" s="1567"/>
      <c r="CF49" s="1567"/>
      <c r="CG49" s="1568"/>
      <c r="CH49" s="1297" t="str">
        <f t="shared" ref="CH49" si="17">AP49</f>
        <v>Inner row
Interior modules</v>
      </c>
      <c r="CI49" s="1298"/>
      <c r="CJ49" s="1298"/>
      <c r="CK49" s="1298"/>
      <c r="CL49" s="1299"/>
      <c r="CM49" s="1288" t="str">
        <f t="shared" ref="CM49" si="18">AK49</f>
        <v>Inner row
1st-10th module</v>
      </c>
      <c r="CN49" s="1289"/>
      <c r="CO49" s="1289"/>
      <c r="CP49" s="1289"/>
      <c r="CQ49" s="1290"/>
      <c r="CR49" s="1279" t="str">
        <f t="shared" ref="CR49" si="19">AF49</f>
        <v>Inner row
Interior modules</v>
      </c>
      <c r="CS49" s="1280"/>
      <c r="CT49" s="1280"/>
      <c r="CU49" s="1280"/>
      <c r="CV49" s="1281"/>
      <c r="CW49" s="1243" t="str">
        <f t="shared" ref="CW49" si="20">AA49</f>
        <v>Inner row
1st-10th module</v>
      </c>
      <c r="CX49" s="1244"/>
      <c r="CY49" s="1244"/>
      <c r="CZ49" s="1244"/>
      <c r="DA49" s="1245"/>
      <c r="DB49" s="1252" t="str">
        <f t="shared" ref="DB49" si="21">V49</f>
        <v>Inner row
Interior modules</v>
      </c>
      <c r="DC49" s="1253"/>
      <c r="DD49" s="1253"/>
      <c r="DE49" s="1253"/>
      <c r="DF49" s="1254"/>
      <c r="DG49" s="1252" t="str">
        <f t="shared" ref="DG49" si="22">Q49</f>
        <v>Inner row
Interior modules</v>
      </c>
      <c r="DH49" s="1253"/>
      <c r="DI49" s="1253"/>
      <c r="DJ49" s="1253"/>
      <c r="DK49" s="1483"/>
      <c r="DL49" s="1549"/>
      <c r="DM49" s="1550"/>
      <c r="DN49" s="360"/>
      <c r="DO49" s="485"/>
    </row>
    <row r="50" spans="1:120" ht="13.5" customHeight="1" thickTop="1" thickBot="1" x14ac:dyDescent="0.25">
      <c r="A50" s="24"/>
      <c r="B50" s="1383" t="s">
        <v>339</v>
      </c>
      <c r="C50" s="1384"/>
      <c r="D50" s="1384"/>
      <c r="E50" s="1384"/>
      <c r="F50" s="1384"/>
      <c r="G50" s="1384"/>
      <c r="H50" s="1384"/>
      <c r="I50" s="1384"/>
      <c r="J50" s="1385"/>
      <c r="K50" s="1049"/>
      <c r="L50" s="118"/>
      <c r="M50" s="491"/>
      <c r="N50" s="54"/>
      <c r="O50" s="1549"/>
      <c r="P50" s="1550"/>
      <c r="Q50" s="1305"/>
      <c r="R50" s="1256"/>
      <c r="S50" s="1256"/>
      <c r="T50" s="1256"/>
      <c r="U50" s="1257"/>
      <c r="V50" s="1255"/>
      <c r="W50" s="1256"/>
      <c r="X50" s="1256"/>
      <c r="Y50" s="1256"/>
      <c r="Z50" s="1257"/>
      <c r="AA50" s="1246"/>
      <c r="AB50" s="1247"/>
      <c r="AC50" s="1247"/>
      <c r="AD50" s="1247"/>
      <c r="AE50" s="1248"/>
      <c r="AF50" s="1282"/>
      <c r="AG50" s="1283"/>
      <c r="AH50" s="1283"/>
      <c r="AI50" s="1283"/>
      <c r="AJ50" s="1284"/>
      <c r="AK50" s="1291"/>
      <c r="AL50" s="1292"/>
      <c r="AM50" s="1292"/>
      <c r="AN50" s="1292"/>
      <c r="AO50" s="1293"/>
      <c r="AP50" s="1300"/>
      <c r="AQ50" s="1301"/>
      <c r="AR50" s="1301"/>
      <c r="AS50" s="1301"/>
      <c r="AT50" s="1302"/>
      <c r="AU50" s="1569"/>
      <c r="AV50" s="1570"/>
      <c r="AW50" s="1570"/>
      <c r="AX50" s="1570"/>
      <c r="AY50" s="1571"/>
      <c r="AZ50" s="1270"/>
      <c r="BA50" s="1271"/>
      <c r="BB50" s="1271"/>
      <c r="BC50" s="1271"/>
      <c r="BD50" s="1272"/>
      <c r="BE50" s="1261"/>
      <c r="BF50" s="1262"/>
      <c r="BG50" s="1262"/>
      <c r="BH50" s="1262"/>
      <c r="BI50" s="1263"/>
      <c r="BJ50" s="1549"/>
      <c r="BK50" s="1550"/>
      <c r="BL50" s="360"/>
      <c r="BM50" s="485"/>
      <c r="BO50" s="491"/>
      <c r="BP50" s="54"/>
      <c r="BQ50" s="1549"/>
      <c r="BR50" s="1550"/>
      <c r="BS50" s="1647"/>
      <c r="BT50" s="1262"/>
      <c r="BU50" s="1262"/>
      <c r="BV50" s="1262"/>
      <c r="BW50" s="1648"/>
      <c r="BX50" s="1270"/>
      <c r="BY50" s="1271"/>
      <c r="BZ50" s="1271"/>
      <c r="CA50" s="1271"/>
      <c r="CB50" s="1272"/>
      <c r="CC50" s="1569"/>
      <c r="CD50" s="1570"/>
      <c r="CE50" s="1570"/>
      <c r="CF50" s="1570"/>
      <c r="CG50" s="1571"/>
      <c r="CH50" s="1300"/>
      <c r="CI50" s="1301"/>
      <c r="CJ50" s="1301"/>
      <c r="CK50" s="1301"/>
      <c r="CL50" s="1302"/>
      <c r="CM50" s="1291"/>
      <c r="CN50" s="1292"/>
      <c r="CO50" s="1292"/>
      <c r="CP50" s="1292"/>
      <c r="CQ50" s="1293"/>
      <c r="CR50" s="1282"/>
      <c r="CS50" s="1283"/>
      <c r="CT50" s="1283"/>
      <c r="CU50" s="1283"/>
      <c r="CV50" s="1284"/>
      <c r="CW50" s="1246"/>
      <c r="CX50" s="1247"/>
      <c r="CY50" s="1247"/>
      <c r="CZ50" s="1247"/>
      <c r="DA50" s="1248"/>
      <c r="DB50" s="1255"/>
      <c r="DC50" s="1256"/>
      <c r="DD50" s="1256"/>
      <c r="DE50" s="1256"/>
      <c r="DF50" s="1257"/>
      <c r="DG50" s="1255"/>
      <c r="DH50" s="1256"/>
      <c r="DI50" s="1256"/>
      <c r="DJ50" s="1256"/>
      <c r="DK50" s="1484"/>
      <c r="DL50" s="1549"/>
      <c r="DM50" s="1550"/>
      <c r="DN50" s="360"/>
      <c r="DO50" s="485"/>
    </row>
    <row r="51" spans="1:120" ht="13.5" customHeight="1" x14ac:dyDescent="0.2">
      <c r="A51" s="24"/>
      <c r="B51" s="1345" t="str">
        <f>'int. presets cp_5d+wd'!B26</f>
        <v>North row</v>
      </c>
      <c r="C51" s="1346"/>
      <c r="D51" s="1347"/>
      <c r="E51" s="342" t="str">
        <f>'int. presets cp_5d+wd'!C26</f>
        <v>1st-10th module</v>
      </c>
      <c r="F51" s="539"/>
      <c r="G51" s="657"/>
      <c r="H51" s="539">
        <f ca="1">(-'int. presets cp_5d+wd'!I26*COS($F$18*PI()/180)*$F$21-'int. presets cp_5d+wd'!I35*COS($I$18*PI()/180)*$I$21)*$F$47*$C$25*1000/9.81/$I$47*$D$101*'int. presets cp_5d+wd'!$I$246-$H$47/$I$47*$C$20*$F$21</f>
        <v>57.818259810694727</v>
      </c>
      <c r="I51" s="934">
        <f ca="1">(SQRT(((-'int. presets cp_5d+wd'!D26*SIN($F$18*PI()/180)*$F$21+'int. presets cp_5d+wd'!D35*SIN($I$18*PI()/180)*$I$21)*$C$25*1000)^2+(0.001*$C$25*1000*$F$21)^2)/$C$30+(-'int. presets cp_5d+wd'!D26*COS($F$18*PI()/180)*$F$21-'int. presets cp_5d+wd'!D35*COS($I$18*PI()/180)*$I$21)*$C$25*1000)/9.81*$G$47/$I$47*$F$101*'int. presets cp_5d+wd'!$D$246-$H$47/$I$47*$C$20*$F$21</f>
        <v>29.953277270529075</v>
      </c>
      <c r="J51" s="994">
        <f t="shared" ref="J51:J58" ca="1" si="23">MAX(H51,I51)</f>
        <v>57.818259810694727</v>
      </c>
      <c r="K51" s="943">
        <f ca="1">J51*2.20462</f>
        <v>127.46729194385379</v>
      </c>
      <c r="L51" s="118"/>
      <c r="M51" s="491"/>
      <c r="N51" s="54"/>
      <c r="O51" s="1549"/>
      <c r="P51" s="1550"/>
      <c r="Q51" s="1304" t="str">
        <f>V51</f>
        <v>Inner row
Interior modules</v>
      </c>
      <c r="R51" s="1253"/>
      <c r="S51" s="1253"/>
      <c r="T51" s="1253"/>
      <c r="U51" s="1254"/>
      <c r="V51" s="1252" t="str">
        <f>V32</f>
        <v>Inner row
Interior modules</v>
      </c>
      <c r="W51" s="1253"/>
      <c r="X51" s="1253"/>
      <c r="Y51" s="1253"/>
      <c r="Z51" s="1254"/>
      <c r="AA51" s="1243" t="str">
        <f>AA32</f>
        <v>Inner row
1st-10th module</v>
      </c>
      <c r="AB51" s="1244"/>
      <c r="AC51" s="1244"/>
      <c r="AD51" s="1244"/>
      <c r="AE51" s="1245"/>
      <c r="AF51" s="1279" t="str">
        <f>AF32</f>
        <v>Inner row
Interior modules</v>
      </c>
      <c r="AG51" s="1280"/>
      <c r="AH51" s="1280"/>
      <c r="AI51" s="1280"/>
      <c r="AJ51" s="1281"/>
      <c r="AK51" s="1288" t="str">
        <f>AK32</f>
        <v>Inner row
1st-10th module</v>
      </c>
      <c r="AL51" s="1289"/>
      <c r="AM51" s="1289"/>
      <c r="AN51" s="1289"/>
      <c r="AO51" s="1290"/>
      <c r="AP51" s="1297" t="str">
        <f>AP32</f>
        <v>Inner row
Interior modules</v>
      </c>
      <c r="AQ51" s="1298"/>
      <c r="AR51" s="1298"/>
      <c r="AS51" s="1298"/>
      <c r="AT51" s="1299"/>
      <c r="AU51" s="1566" t="str">
        <f>AU32</f>
        <v>Inner row
1st-10th module</v>
      </c>
      <c r="AV51" s="1567"/>
      <c r="AW51" s="1567"/>
      <c r="AX51" s="1567"/>
      <c r="AY51" s="1568"/>
      <c r="AZ51" s="1267" t="str">
        <f>AZ43</f>
        <v>Inner row
Interior modules</v>
      </c>
      <c r="BA51" s="1268"/>
      <c r="BB51" s="1268"/>
      <c r="BC51" s="1268"/>
      <c r="BD51" s="1269"/>
      <c r="BE51" s="1258" t="str">
        <f>BE43</f>
        <v>Inner row
1st-10th module</v>
      </c>
      <c r="BF51" s="1259"/>
      <c r="BG51" s="1259"/>
      <c r="BH51" s="1259"/>
      <c r="BI51" s="1260"/>
      <c r="BJ51" s="1549"/>
      <c r="BK51" s="1550"/>
      <c r="BL51" s="488"/>
      <c r="BM51" s="485"/>
      <c r="BO51" s="491"/>
      <c r="BP51" s="54"/>
      <c r="BQ51" s="1549"/>
      <c r="BR51" s="1550"/>
      <c r="BS51" s="1777" t="str">
        <f>BE51</f>
        <v>Inner row
1st-10th module</v>
      </c>
      <c r="BT51" s="1778"/>
      <c r="BU51" s="1778"/>
      <c r="BV51" s="1778"/>
      <c r="BW51" s="1778"/>
      <c r="BX51" s="1779" t="str">
        <f>AZ51</f>
        <v>Inner row
Interior modules</v>
      </c>
      <c r="BY51" s="1779"/>
      <c r="BZ51" s="1779"/>
      <c r="CA51" s="1779"/>
      <c r="CB51" s="1779"/>
      <c r="CC51" s="1566" t="str">
        <f>AU51</f>
        <v>Inner row
1st-10th module</v>
      </c>
      <c r="CD51" s="1567"/>
      <c r="CE51" s="1567"/>
      <c r="CF51" s="1567"/>
      <c r="CG51" s="1568"/>
      <c r="CH51" s="1297" t="str">
        <f>AP51</f>
        <v>Inner row
Interior modules</v>
      </c>
      <c r="CI51" s="1298"/>
      <c r="CJ51" s="1298"/>
      <c r="CK51" s="1298"/>
      <c r="CL51" s="1299"/>
      <c r="CM51" s="1288" t="str">
        <f>AK51</f>
        <v>Inner row
1st-10th module</v>
      </c>
      <c r="CN51" s="1289"/>
      <c r="CO51" s="1289"/>
      <c r="CP51" s="1289"/>
      <c r="CQ51" s="1290"/>
      <c r="CR51" s="1279" t="str">
        <f>AF51</f>
        <v>Inner row
Interior modules</v>
      </c>
      <c r="CS51" s="1280"/>
      <c r="CT51" s="1280"/>
      <c r="CU51" s="1280"/>
      <c r="CV51" s="1281"/>
      <c r="CW51" s="1243" t="str">
        <f>AA51</f>
        <v>Inner row
1st-10th module</v>
      </c>
      <c r="CX51" s="1244"/>
      <c r="CY51" s="1244"/>
      <c r="CZ51" s="1244"/>
      <c r="DA51" s="1245"/>
      <c r="DB51" s="1252" t="str">
        <f>V51</f>
        <v>Inner row
Interior modules</v>
      </c>
      <c r="DC51" s="1253"/>
      <c r="DD51" s="1253"/>
      <c r="DE51" s="1253"/>
      <c r="DF51" s="1254"/>
      <c r="DG51" s="1252" t="str">
        <f>Q51</f>
        <v>Inner row
Interior modules</v>
      </c>
      <c r="DH51" s="1253"/>
      <c r="DI51" s="1253"/>
      <c r="DJ51" s="1253"/>
      <c r="DK51" s="1483"/>
      <c r="DL51" s="1549"/>
      <c r="DM51" s="1550"/>
      <c r="DN51" s="488"/>
      <c r="DO51" s="485"/>
    </row>
    <row r="52" spans="1:120" ht="13.5" customHeight="1" thickBot="1" x14ac:dyDescent="0.25">
      <c r="A52" s="24"/>
      <c r="B52" s="1348"/>
      <c r="C52" s="1349"/>
      <c r="D52" s="1350"/>
      <c r="E52" s="343" t="str">
        <f>'int. presets cp_5d+wd'!C27</f>
        <v>Interior modules</v>
      </c>
      <c r="F52" s="405"/>
      <c r="G52" s="406"/>
      <c r="H52" s="407">
        <f ca="1">(-'int. presets cp_5d+wd'!I27*COS($F$18*PI()/180)*$F$21-'int. presets cp_5d+wd'!I36*COS($I$18*PI()/180)*$I$21)*$F$47*$C$25*1000/9.81/$I$47*$D$101*'int. presets cp_5d+wd'!$I$246-$H$47/$I$47*$C$20*$F$21</f>
        <v>38.350043501463517</v>
      </c>
      <c r="I52" s="935">
        <f ca="1">(SQRT(((-'int. presets cp_5d+wd'!D27*SIN($F$18*PI()/180)*$F$21+'int. presets cp_5d+wd'!D36*SIN($I$18*PI()/180)*$I$21)*$C$25*1000)^2+(0.001*$C$25*1000*$F$21)^2)/$C$30+(-'int. presets cp_5d+wd'!D27*COS($F$18*PI()/180)*$F$21-'int. presets cp_5d+wd'!D36*COS($I$18*PI()/180)*$I$21)*$C$25*1000)/9.81*$G$47/$I$47*$F$101*'int. presets cp_5d+wd'!$D$246-$H$47/$I$47*$C$20*$F$21</f>
        <v>18.347332754399122</v>
      </c>
      <c r="J52" s="995">
        <f t="shared" ca="1" si="23"/>
        <v>38.350043501463517</v>
      </c>
      <c r="K52" s="944">
        <f t="shared" ref="K52:K94" ca="1" si="24">J52*2.20462</f>
        <v>84.54727290419649</v>
      </c>
      <c r="L52" s="118"/>
      <c r="M52" s="491"/>
      <c r="N52" s="54"/>
      <c r="O52" s="1549"/>
      <c r="P52" s="1550"/>
      <c r="Q52" s="1304"/>
      <c r="R52" s="1253"/>
      <c r="S52" s="1253"/>
      <c r="T52" s="1253"/>
      <c r="U52" s="1254"/>
      <c r="V52" s="1252"/>
      <c r="W52" s="1253"/>
      <c r="X52" s="1253"/>
      <c r="Y52" s="1253"/>
      <c r="Z52" s="1254"/>
      <c r="AA52" s="1243"/>
      <c r="AB52" s="1244"/>
      <c r="AC52" s="1244"/>
      <c r="AD52" s="1244"/>
      <c r="AE52" s="1245"/>
      <c r="AF52" s="1279"/>
      <c r="AG52" s="1280"/>
      <c r="AH52" s="1280"/>
      <c r="AI52" s="1280"/>
      <c r="AJ52" s="1281"/>
      <c r="AK52" s="1288"/>
      <c r="AL52" s="1289"/>
      <c r="AM52" s="1289"/>
      <c r="AN52" s="1289"/>
      <c r="AO52" s="1290"/>
      <c r="AP52" s="1297"/>
      <c r="AQ52" s="1298"/>
      <c r="AR52" s="1298"/>
      <c r="AS52" s="1298"/>
      <c r="AT52" s="1299"/>
      <c r="AU52" s="1566"/>
      <c r="AV52" s="1567"/>
      <c r="AW52" s="1567"/>
      <c r="AX52" s="1567"/>
      <c r="AY52" s="1568"/>
      <c r="AZ52" s="1270"/>
      <c r="BA52" s="1271"/>
      <c r="BB52" s="1271"/>
      <c r="BC52" s="1271"/>
      <c r="BD52" s="1272"/>
      <c r="BE52" s="1261"/>
      <c r="BF52" s="1262"/>
      <c r="BG52" s="1262"/>
      <c r="BH52" s="1262"/>
      <c r="BI52" s="1263"/>
      <c r="BJ52" s="1549"/>
      <c r="BK52" s="1550"/>
      <c r="BL52" s="360"/>
      <c r="BM52" s="604">
        <f>IF(20&lt;'building data'!$C$21,MAX(0,'building data'!$C$21-20),0)</f>
        <v>71.44</v>
      </c>
      <c r="BO52" s="491"/>
      <c r="BP52" s="54"/>
      <c r="BQ52" s="1549"/>
      <c r="BR52" s="1550"/>
      <c r="BS52" s="1777"/>
      <c r="BT52" s="1778"/>
      <c r="BU52" s="1778"/>
      <c r="BV52" s="1778"/>
      <c r="BW52" s="1778"/>
      <c r="BX52" s="1779"/>
      <c r="BY52" s="1779"/>
      <c r="BZ52" s="1779"/>
      <c r="CA52" s="1779"/>
      <c r="CB52" s="1779"/>
      <c r="CC52" s="1566"/>
      <c r="CD52" s="1567"/>
      <c r="CE52" s="1567"/>
      <c r="CF52" s="1567"/>
      <c r="CG52" s="1568"/>
      <c r="CH52" s="1297"/>
      <c r="CI52" s="1298"/>
      <c r="CJ52" s="1298"/>
      <c r="CK52" s="1298"/>
      <c r="CL52" s="1299"/>
      <c r="CM52" s="1288"/>
      <c r="CN52" s="1289"/>
      <c r="CO52" s="1289"/>
      <c r="CP52" s="1289"/>
      <c r="CQ52" s="1290"/>
      <c r="CR52" s="1279"/>
      <c r="CS52" s="1280"/>
      <c r="CT52" s="1280"/>
      <c r="CU52" s="1280"/>
      <c r="CV52" s="1281"/>
      <c r="CW52" s="1243"/>
      <c r="CX52" s="1244"/>
      <c r="CY52" s="1244"/>
      <c r="CZ52" s="1244"/>
      <c r="DA52" s="1245"/>
      <c r="DB52" s="1252"/>
      <c r="DC52" s="1253"/>
      <c r="DD52" s="1253"/>
      <c r="DE52" s="1253"/>
      <c r="DF52" s="1254"/>
      <c r="DG52" s="1252"/>
      <c r="DH52" s="1253"/>
      <c r="DI52" s="1253"/>
      <c r="DJ52" s="1253"/>
      <c r="DK52" s="1483"/>
      <c r="DL52" s="1549"/>
      <c r="DM52" s="1550"/>
      <c r="DN52" s="360"/>
      <c r="DO52" s="604">
        <f>IF(20&lt;'building data'!$C$21,MAX(0,'building data'!$C$21-20),0)</f>
        <v>71.44</v>
      </c>
    </row>
    <row r="53" spans="1:120" ht="13.5" customHeight="1" x14ac:dyDescent="0.2">
      <c r="A53" s="24"/>
      <c r="B53" s="1345" t="str">
        <f>'int. presets cp_5d+wd'!B28</f>
        <v>Inner rows, 2nd to 4th row from north</v>
      </c>
      <c r="C53" s="1346" t="e">
        <f>#REF!</f>
        <v>#REF!</v>
      </c>
      <c r="D53" s="1347" t="e">
        <f>#REF!</f>
        <v>#REF!</v>
      </c>
      <c r="E53" s="342" t="str">
        <f>'int. presets cp_5d+wd'!C28</f>
        <v>1st-10th module</v>
      </c>
      <c r="F53" s="405"/>
      <c r="G53" s="406"/>
      <c r="H53" s="405">
        <f ca="1">(-'int. presets cp_5d+wd'!I28*COS($F$18*PI()/180)*$F$21-'int. presets cp_5d+wd'!I37*COS($I$18*PI()/180)*$I$21)*$F$47*$C$25*1000/9.81/$I$47*$D$101*'int. presets cp_5d+wd'!$I$246-$H$47/$I$47*$C$20*$F$21</f>
        <v>33.945031028531247</v>
      </c>
      <c r="I53" s="934">
        <f ca="1">(SQRT(((-'int. presets cp_5d+wd'!D28*SIN($F$18*PI()/180)*$F$21+'int. presets cp_5d+wd'!D37*SIN($I$18*PI()/180)*$I$21)*$C$25*1000)^2+(0.001*$C$25*1000*$F$21)^2)/$C$30+(-'int. presets cp_5d+wd'!D28*COS($F$18*PI()/180)*$F$21-'int. presets cp_5d+wd'!D37*COS($I$18*PI()/180)*$I$21)*$C$25*1000)/9.81*$G$47/$I$47*$F$101*'int. presets cp_5d+wd'!$D$246-$H$47/$I$47*$C$20*$F$21</f>
        <v>31.960375921791996</v>
      </c>
      <c r="J53" s="996">
        <f t="shared" ca="1" si="23"/>
        <v>33.945031028531247</v>
      </c>
      <c r="K53" s="945">
        <f t="shared" ca="1" si="24"/>
        <v>74.835894306120551</v>
      </c>
      <c r="L53" s="118"/>
      <c r="M53" s="491"/>
      <c r="N53" s="54"/>
      <c r="O53" s="1549"/>
      <c r="P53" s="1550"/>
      <c r="Q53" s="1305"/>
      <c r="R53" s="1256"/>
      <c r="S53" s="1256"/>
      <c r="T53" s="1256"/>
      <c r="U53" s="1257"/>
      <c r="V53" s="1255"/>
      <c r="W53" s="1256"/>
      <c r="X53" s="1256"/>
      <c r="Y53" s="1256"/>
      <c r="Z53" s="1257"/>
      <c r="AA53" s="1246"/>
      <c r="AB53" s="1247"/>
      <c r="AC53" s="1247"/>
      <c r="AD53" s="1247"/>
      <c r="AE53" s="1248"/>
      <c r="AF53" s="1282"/>
      <c r="AG53" s="1283"/>
      <c r="AH53" s="1283"/>
      <c r="AI53" s="1283"/>
      <c r="AJ53" s="1284"/>
      <c r="AK53" s="1291"/>
      <c r="AL53" s="1292"/>
      <c r="AM53" s="1292"/>
      <c r="AN53" s="1292"/>
      <c r="AO53" s="1293"/>
      <c r="AP53" s="1300"/>
      <c r="AQ53" s="1301"/>
      <c r="AR53" s="1301"/>
      <c r="AS53" s="1301"/>
      <c r="AT53" s="1302"/>
      <c r="AU53" s="1569"/>
      <c r="AV53" s="1570"/>
      <c r="AW53" s="1570"/>
      <c r="AX53" s="1570"/>
      <c r="AY53" s="1571"/>
      <c r="AZ53" s="1273"/>
      <c r="BA53" s="1274"/>
      <c r="BB53" s="1274"/>
      <c r="BC53" s="1274"/>
      <c r="BD53" s="1275"/>
      <c r="BE53" s="1264"/>
      <c r="BF53" s="1265"/>
      <c r="BG53" s="1265"/>
      <c r="BH53" s="1265"/>
      <c r="BI53" s="1266"/>
      <c r="BJ53" s="1549"/>
      <c r="BK53" s="1550"/>
      <c r="BL53" s="360"/>
      <c r="BM53" s="602" t="s">
        <v>0</v>
      </c>
      <c r="BO53" s="491"/>
      <c r="BP53" s="54"/>
      <c r="BQ53" s="1549"/>
      <c r="BR53" s="1550"/>
      <c r="BS53" s="1777"/>
      <c r="BT53" s="1778"/>
      <c r="BU53" s="1778"/>
      <c r="BV53" s="1778"/>
      <c r="BW53" s="1778"/>
      <c r="BX53" s="1779"/>
      <c r="BY53" s="1779"/>
      <c r="BZ53" s="1779"/>
      <c r="CA53" s="1779"/>
      <c r="CB53" s="1779"/>
      <c r="CC53" s="1569"/>
      <c r="CD53" s="1570"/>
      <c r="CE53" s="1570"/>
      <c r="CF53" s="1570"/>
      <c r="CG53" s="1571"/>
      <c r="CH53" s="1300"/>
      <c r="CI53" s="1301"/>
      <c r="CJ53" s="1301"/>
      <c r="CK53" s="1301"/>
      <c r="CL53" s="1302"/>
      <c r="CM53" s="1291"/>
      <c r="CN53" s="1292"/>
      <c r="CO53" s="1292"/>
      <c r="CP53" s="1292"/>
      <c r="CQ53" s="1293"/>
      <c r="CR53" s="1282"/>
      <c r="CS53" s="1283"/>
      <c r="CT53" s="1283"/>
      <c r="CU53" s="1283"/>
      <c r="CV53" s="1284"/>
      <c r="CW53" s="1246"/>
      <c r="CX53" s="1247"/>
      <c r="CY53" s="1247"/>
      <c r="CZ53" s="1247"/>
      <c r="DA53" s="1248"/>
      <c r="DB53" s="1255"/>
      <c r="DC53" s="1256"/>
      <c r="DD53" s="1256"/>
      <c r="DE53" s="1256"/>
      <c r="DF53" s="1257"/>
      <c r="DG53" s="1255"/>
      <c r="DH53" s="1256"/>
      <c r="DI53" s="1256"/>
      <c r="DJ53" s="1256"/>
      <c r="DK53" s="1484"/>
      <c r="DL53" s="1549"/>
      <c r="DM53" s="1550"/>
      <c r="DN53" s="360"/>
      <c r="DO53" s="602" t="s">
        <v>0</v>
      </c>
    </row>
    <row r="54" spans="1:120" ht="13.5" customHeight="1" thickBot="1" x14ac:dyDescent="0.25">
      <c r="A54" s="24"/>
      <c r="B54" s="1348" t="e">
        <f>#REF!</f>
        <v>#REF!</v>
      </c>
      <c r="C54" s="1349" t="e">
        <f>#REF!</f>
        <v>#REF!</v>
      </c>
      <c r="D54" s="1350" t="e">
        <f>#REF!</f>
        <v>#REF!</v>
      </c>
      <c r="E54" s="343" t="str">
        <f>'int. presets cp_5d+wd'!C29</f>
        <v>Interior modules</v>
      </c>
      <c r="F54" s="405"/>
      <c r="G54" s="406"/>
      <c r="H54" s="407">
        <f ca="1">(-'int. presets cp_5d+wd'!I29*COS($F$18*PI()/180)*$F$21-'int. presets cp_5d+wd'!I38*COS($I$18*PI()/180)*$I$21)*$F$47*$C$25*1000/9.81/$I$47*$D$101*'int. presets cp_5d+wd'!$I$246-$H$47/$I$47*$C$20*$F$21</f>
        <v>26.719411668078262</v>
      </c>
      <c r="I54" s="935">
        <f ca="1">(SQRT(((-'int. presets cp_5d+wd'!D29*SIN($F$18*PI()/180)*$F$21+'int. presets cp_5d+wd'!D38*SIN($I$18*PI()/180)*$I$21)*$C$25*1000)^2+(0.001*$C$25*1000*$F$21)^2)/$C$30+(-'int. presets cp_5d+wd'!D29*COS($F$18*PI()/180)*$F$21-'int. presets cp_5d+wd'!D38*COS($I$18*PI()/180)*$I$21)*$C$25*1000)/9.81*$G$47/$I$47*$F$101*'int. presets cp_5d+wd'!$D$246-$H$47/$I$47*$C$20*$F$21</f>
        <v>18.347332754399122</v>
      </c>
      <c r="J54" s="995">
        <f t="shared" ca="1" si="23"/>
        <v>26.719411668078262</v>
      </c>
      <c r="K54" s="944">
        <f t="shared" ca="1" si="24"/>
        <v>58.906149351678692</v>
      </c>
      <c r="L54" s="118"/>
      <c r="M54" s="491"/>
      <c r="N54" s="54"/>
      <c r="O54" s="1549"/>
      <c r="P54" s="1550"/>
      <c r="Q54" s="1304" t="str">
        <f>V51</f>
        <v>Inner row
Interior modules</v>
      </c>
      <c r="R54" s="1253"/>
      <c r="S54" s="1253"/>
      <c r="T54" s="1253"/>
      <c r="U54" s="1254"/>
      <c r="V54" s="1252" t="str">
        <f>V32</f>
        <v>Inner row
Interior modules</v>
      </c>
      <c r="W54" s="1253"/>
      <c r="X54" s="1253"/>
      <c r="Y54" s="1253"/>
      <c r="Z54" s="1254"/>
      <c r="AA54" s="1243" t="str">
        <f>AA32</f>
        <v>Inner row
1st-10th module</v>
      </c>
      <c r="AB54" s="1244"/>
      <c r="AC54" s="1244"/>
      <c r="AD54" s="1244"/>
      <c r="AE54" s="1245"/>
      <c r="AF54" s="1279" t="str">
        <f>AF32</f>
        <v>Inner row
Interior modules</v>
      </c>
      <c r="AG54" s="1280"/>
      <c r="AH54" s="1280"/>
      <c r="AI54" s="1280"/>
      <c r="AJ54" s="1281"/>
      <c r="AK54" s="1288" t="str">
        <f>AK32</f>
        <v>Inner row
1st-10th module</v>
      </c>
      <c r="AL54" s="1289"/>
      <c r="AM54" s="1289"/>
      <c r="AN54" s="1289"/>
      <c r="AO54" s="1290"/>
      <c r="AP54" s="1297" t="str">
        <f>AP32</f>
        <v>Inner row
Interior modules</v>
      </c>
      <c r="AQ54" s="1298"/>
      <c r="AR54" s="1298"/>
      <c r="AS54" s="1298"/>
      <c r="AT54" s="1299"/>
      <c r="AU54" s="1489" t="str">
        <f>AU32</f>
        <v>Inner row
1st-10th module</v>
      </c>
      <c r="AV54" s="1490"/>
      <c r="AW54" s="1490"/>
      <c r="AX54" s="1490"/>
      <c r="AY54" s="1491"/>
      <c r="AZ54" s="1267" t="str">
        <f>AZ43</f>
        <v>Inner row
Interior modules</v>
      </c>
      <c r="BA54" s="1268"/>
      <c r="BB54" s="1268"/>
      <c r="BC54" s="1268"/>
      <c r="BD54" s="1269"/>
      <c r="BE54" s="1258" t="str">
        <f>BE43</f>
        <v>Inner row
1st-10th module</v>
      </c>
      <c r="BF54" s="1259"/>
      <c r="BG54" s="1259"/>
      <c r="BH54" s="1259"/>
      <c r="BI54" s="1260"/>
      <c r="BJ54" s="1549"/>
      <c r="BK54" s="1550"/>
      <c r="BL54" s="361"/>
      <c r="BM54" s="1436" t="s">
        <v>76</v>
      </c>
      <c r="BO54" s="491"/>
      <c r="BP54" s="54"/>
      <c r="BQ54" s="1549"/>
      <c r="BR54" s="1550"/>
      <c r="BS54" s="1777" t="str">
        <f>BE54</f>
        <v>Inner row
1st-10th module</v>
      </c>
      <c r="BT54" s="1778"/>
      <c r="BU54" s="1778"/>
      <c r="BV54" s="1778"/>
      <c r="BW54" s="1778"/>
      <c r="BX54" s="1779" t="str">
        <f>AZ54</f>
        <v>Inner row
Interior modules</v>
      </c>
      <c r="BY54" s="1779"/>
      <c r="BZ54" s="1779"/>
      <c r="CA54" s="1779"/>
      <c r="CB54" s="1779"/>
      <c r="CC54" s="1575" t="str">
        <f>AU54</f>
        <v>Inner row
1st-10th module</v>
      </c>
      <c r="CD54" s="1576"/>
      <c r="CE54" s="1576"/>
      <c r="CF54" s="1576"/>
      <c r="CG54" s="1577"/>
      <c r="CH54" s="1297" t="str">
        <f>AP54</f>
        <v>Inner row
Interior modules</v>
      </c>
      <c r="CI54" s="1298"/>
      <c r="CJ54" s="1298"/>
      <c r="CK54" s="1298"/>
      <c r="CL54" s="1299"/>
      <c r="CM54" s="1288" t="str">
        <f>AK54</f>
        <v>Inner row
1st-10th module</v>
      </c>
      <c r="CN54" s="1289"/>
      <c r="CO54" s="1289"/>
      <c r="CP54" s="1289"/>
      <c r="CQ54" s="1290"/>
      <c r="CR54" s="1279" t="str">
        <f>AF54</f>
        <v>Inner row
Interior modules</v>
      </c>
      <c r="CS54" s="1280"/>
      <c r="CT54" s="1280"/>
      <c r="CU54" s="1280"/>
      <c r="CV54" s="1281"/>
      <c r="CW54" s="1243" t="str">
        <f>AA54</f>
        <v>Inner row
1st-10th module</v>
      </c>
      <c r="CX54" s="1244"/>
      <c r="CY54" s="1244"/>
      <c r="CZ54" s="1244"/>
      <c r="DA54" s="1245"/>
      <c r="DB54" s="1252" t="str">
        <f>V54</f>
        <v>Inner row
Interior modules</v>
      </c>
      <c r="DC54" s="1253"/>
      <c r="DD54" s="1253"/>
      <c r="DE54" s="1253"/>
      <c r="DF54" s="1254"/>
      <c r="DG54" s="1252" t="str">
        <f>Q54</f>
        <v>Inner row
Interior modules</v>
      </c>
      <c r="DH54" s="1253"/>
      <c r="DI54" s="1253"/>
      <c r="DJ54" s="1253"/>
      <c r="DK54" s="1483"/>
      <c r="DL54" s="1549"/>
      <c r="DM54" s="1550"/>
      <c r="DN54" s="361"/>
      <c r="DO54" s="1436" t="s">
        <v>76</v>
      </c>
    </row>
    <row r="55" spans="1:120" ht="13.5" customHeight="1" x14ac:dyDescent="0.2">
      <c r="A55" s="24"/>
      <c r="B55" s="1345" t="str">
        <f>'int. presets cp_5d+wd'!B30</f>
        <v>Inner rows, from 5th row from north</v>
      </c>
      <c r="C55" s="1346" t="e">
        <f>#REF!</f>
        <v>#REF!</v>
      </c>
      <c r="D55" s="1347" t="e">
        <f>#REF!</f>
        <v>#REF!</v>
      </c>
      <c r="E55" s="342" t="str">
        <f>'int. presets cp_5d+wd'!C30</f>
        <v>1st-10th module</v>
      </c>
      <c r="F55" s="405"/>
      <c r="G55" s="406"/>
      <c r="H55" s="405">
        <f ca="1">(-'int. presets cp_5d+wd'!I30*COS($F$18*PI()/180)*$F$21-'int. presets cp_5d+wd'!I39*COS($I$18*PI()/180)*$I$21)*$F$47*$C$25*1000/9.81/$I$47*$D$101*'int. presets cp_5d+wd'!$I$246-$H$47/$I$47*$C$20*$F$21</f>
        <v>35.633329961677049</v>
      </c>
      <c r="I55" s="934">
        <f ca="1">(SQRT(((-'int. presets cp_5d+wd'!D30*SIN($F$18*PI()/180)*$F$21+'int. presets cp_5d+wd'!D39*SIN($I$18*PI()/180)*$I$21)*$C$25*1000)^2+(0.001*$C$25*1000*$F$21)^2)/$C$30+(-'int. presets cp_5d+wd'!D30*COS($F$18*PI()/180)*$F$21-'int. presets cp_5d+wd'!D39*COS($I$18*PI()/180)*$I$21)*$C$25*1000)/9.81*$G$47/$I$47*$F$101*'int. presets cp_5d+wd'!$D$246-$H$47/$I$47*$C$20*$F$21</f>
        <v>20.952873080980151</v>
      </c>
      <c r="J55" s="996">
        <f t="shared" ca="1" si="23"/>
        <v>35.633329961677049</v>
      </c>
      <c r="K55" s="945">
        <f t="shared" ca="1" si="24"/>
        <v>78.557951900112442</v>
      </c>
      <c r="L55" s="118"/>
      <c r="M55" s="493"/>
      <c r="N55" s="54"/>
      <c r="O55" s="1549"/>
      <c r="P55" s="1550"/>
      <c r="Q55" s="1304"/>
      <c r="R55" s="1253"/>
      <c r="S55" s="1253"/>
      <c r="T55" s="1253"/>
      <c r="U55" s="1254"/>
      <c r="V55" s="1252"/>
      <c r="W55" s="1253"/>
      <c r="X55" s="1253"/>
      <c r="Y55" s="1253"/>
      <c r="Z55" s="1254"/>
      <c r="AA55" s="1243"/>
      <c r="AB55" s="1244"/>
      <c r="AC55" s="1244"/>
      <c r="AD55" s="1244"/>
      <c r="AE55" s="1245"/>
      <c r="AF55" s="1279"/>
      <c r="AG55" s="1280"/>
      <c r="AH55" s="1280"/>
      <c r="AI55" s="1280"/>
      <c r="AJ55" s="1281"/>
      <c r="AK55" s="1288"/>
      <c r="AL55" s="1289"/>
      <c r="AM55" s="1289"/>
      <c r="AN55" s="1289"/>
      <c r="AO55" s="1290"/>
      <c r="AP55" s="1297"/>
      <c r="AQ55" s="1298"/>
      <c r="AR55" s="1298"/>
      <c r="AS55" s="1298"/>
      <c r="AT55" s="1299"/>
      <c r="AU55" s="1489"/>
      <c r="AV55" s="1490"/>
      <c r="AW55" s="1490"/>
      <c r="AX55" s="1490"/>
      <c r="AY55" s="1491"/>
      <c r="AZ55" s="1270"/>
      <c r="BA55" s="1271"/>
      <c r="BB55" s="1271"/>
      <c r="BC55" s="1271"/>
      <c r="BD55" s="1272"/>
      <c r="BE55" s="1261"/>
      <c r="BF55" s="1262"/>
      <c r="BG55" s="1262"/>
      <c r="BH55" s="1262"/>
      <c r="BI55" s="1263"/>
      <c r="BJ55" s="1549"/>
      <c r="BK55" s="1550"/>
      <c r="BL55" s="361"/>
      <c r="BM55" s="1436"/>
      <c r="BO55" s="493"/>
      <c r="BP55" s="54"/>
      <c r="BQ55" s="1549"/>
      <c r="BR55" s="1550"/>
      <c r="BS55" s="1777"/>
      <c r="BT55" s="1778"/>
      <c r="BU55" s="1778"/>
      <c r="BV55" s="1778"/>
      <c r="BW55" s="1778"/>
      <c r="BX55" s="1779"/>
      <c r="BY55" s="1779"/>
      <c r="BZ55" s="1779"/>
      <c r="CA55" s="1779"/>
      <c r="CB55" s="1779"/>
      <c r="CC55" s="1575"/>
      <c r="CD55" s="1576"/>
      <c r="CE55" s="1576"/>
      <c r="CF55" s="1576"/>
      <c r="CG55" s="1577"/>
      <c r="CH55" s="1297"/>
      <c r="CI55" s="1298"/>
      <c r="CJ55" s="1298"/>
      <c r="CK55" s="1298"/>
      <c r="CL55" s="1299"/>
      <c r="CM55" s="1288"/>
      <c r="CN55" s="1289"/>
      <c r="CO55" s="1289"/>
      <c r="CP55" s="1289"/>
      <c r="CQ55" s="1290"/>
      <c r="CR55" s="1279"/>
      <c r="CS55" s="1280"/>
      <c r="CT55" s="1280"/>
      <c r="CU55" s="1280"/>
      <c r="CV55" s="1281"/>
      <c r="CW55" s="1243"/>
      <c r="CX55" s="1244"/>
      <c r="CY55" s="1244"/>
      <c r="CZ55" s="1244"/>
      <c r="DA55" s="1245"/>
      <c r="DB55" s="1252"/>
      <c r="DC55" s="1253"/>
      <c r="DD55" s="1253"/>
      <c r="DE55" s="1253"/>
      <c r="DF55" s="1254"/>
      <c r="DG55" s="1252"/>
      <c r="DH55" s="1253"/>
      <c r="DI55" s="1253"/>
      <c r="DJ55" s="1253"/>
      <c r="DK55" s="1483"/>
      <c r="DL55" s="1549"/>
      <c r="DM55" s="1550"/>
      <c r="DN55" s="361"/>
      <c r="DO55" s="1436"/>
    </row>
    <row r="56" spans="1:120" ht="13.5" customHeight="1" thickBot="1" x14ac:dyDescent="0.25">
      <c r="A56" s="24"/>
      <c r="B56" s="1348" t="e">
        <f>#REF!</f>
        <v>#REF!</v>
      </c>
      <c r="C56" s="1349" t="e">
        <f>#REF!</f>
        <v>#REF!</v>
      </c>
      <c r="D56" s="1350" t="e">
        <f>#REF!</f>
        <v>#REF!</v>
      </c>
      <c r="E56" s="343" t="str">
        <f>'int. presets cp_5d+wd'!C31</f>
        <v>Interior modules</v>
      </c>
      <c r="F56" s="405"/>
      <c r="G56" s="406"/>
      <c r="H56" s="407">
        <f ca="1">(-'int. presets cp_5d+wd'!I31*COS($F$18*PI()/180)*$F$21-'int. presets cp_5d+wd'!I40*COS($I$18*PI()/180)*$I$21)*$F$47*$C$25*1000/9.81/$I$47*$D$101*'int. presets cp_5d+wd'!$I$246-$H$47/$I$47*$C$20*$F$21</f>
        <v>9.5140502082111986</v>
      </c>
      <c r="I56" s="935">
        <f ca="1">(SQRT(((-'int. presets cp_5d+wd'!D31*SIN($F$18*PI()/180)*$F$21+'int. presets cp_5d+wd'!D40*SIN($I$18*PI()/180)*$I$21)*$C$25*1000)^2+(0.001*$C$25*1000*$F$21)^2)/$C$30+(-'int. presets cp_5d+wd'!D31*COS($F$18*PI()/180)*$F$21-'int. presets cp_5d+wd'!D40*COS($I$18*PI()/180)*$I$21)*$C$25*1000)/9.81*$G$47/$I$47*$F$101*'int. presets cp_5d+wd'!$D$246-$H$47/$I$47*$C$20*$F$21</f>
        <v>18.347332754399122</v>
      </c>
      <c r="J56" s="995">
        <f t="shared" ca="1" si="23"/>
        <v>18.347332754399122</v>
      </c>
      <c r="K56" s="944">
        <f t="shared" ca="1" si="24"/>
        <v>40.448896737003388</v>
      </c>
      <c r="L56" s="118"/>
      <c r="M56" s="153"/>
      <c r="N56" s="56"/>
      <c r="O56" s="1549"/>
      <c r="P56" s="1550"/>
      <c r="Q56" s="1305"/>
      <c r="R56" s="1256"/>
      <c r="S56" s="1256"/>
      <c r="T56" s="1256"/>
      <c r="U56" s="1257"/>
      <c r="V56" s="1255"/>
      <c r="W56" s="1256"/>
      <c r="X56" s="1256"/>
      <c r="Y56" s="1256"/>
      <c r="Z56" s="1257"/>
      <c r="AA56" s="1246"/>
      <c r="AB56" s="1247"/>
      <c r="AC56" s="1247"/>
      <c r="AD56" s="1247"/>
      <c r="AE56" s="1248"/>
      <c r="AF56" s="1282"/>
      <c r="AG56" s="1283"/>
      <c r="AH56" s="1283"/>
      <c r="AI56" s="1283"/>
      <c r="AJ56" s="1284"/>
      <c r="AK56" s="1291"/>
      <c r="AL56" s="1292"/>
      <c r="AM56" s="1292"/>
      <c r="AN56" s="1292"/>
      <c r="AO56" s="1293"/>
      <c r="AP56" s="1300"/>
      <c r="AQ56" s="1301"/>
      <c r="AR56" s="1301"/>
      <c r="AS56" s="1301"/>
      <c r="AT56" s="1302"/>
      <c r="AU56" s="1492"/>
      <c r="AV56" s="1493"/>
      <c r="AW56" s="1493"/>
      <c r="AX56" s="1493"/>
      <c r="AY56" s="1494"/>
      <c r="AZ56" s="1273"/>
      <c r="BA56" s="1274"/>
      <c r="BB56" s="1274"/>
      <c r="BC56" s="1274"/>
      <c r="BD56" s="1275"/>
      <c r="BE56" s="1264"/>
      <c r="BF56" s="1265"/>
      <c r="BG56" s="1265"/>
      <c r="BH56" s="1265"/>
      <c r="BI56" s="1266"/>
      <c r="BJ56" s="1549"/>
      <c r="BK56" s="1550"/>
      <c r="BL56" s="361"/>
      <c r="BM56" s="485"/>
      <c r="BO56" s="153"/>
      <c r="BP56" s="56"/>
      <c r="BQ56" s="1549"/>
      <c r="BR56" s="1550"/>
      <c r="BS56" s="1777"/>
      <c r="BT56" s="1778"/>
      <c r="BU56" s="1778"/>
      <c r="BV56" s="1778"/>
      <c r="BW56" s="1778"/>
      <c r="BX56" s="1779"/>
      <c r="BY56" s="1779"/>
      <c r="BZ56" s="1779"/>
      <c r="CA56" s="1779"/>
      <c r="CB56" s="1779"/>
      <c r="CC56" s="1599"/>
      <c r="CD56" s="1600"/>
      <c r="CE56" s="1600"/>
      <c r="CF56" s="1600"/>
      <c r="CG56" s="1601"/>
      <c r="CH56" s="1300"/>
      <c r="CI56" s="1301"/>
      <c r="CJ56" s="1301"/>
      <c r="CK56" s="1301"/>
      <c r="CL56" s="1302"/>
      <c r="CM56" s="1291"/>
      <c r="CN56" s="1292"/>
      <c r="CO56" s="1292"/>
      <c r="CP56" s="1292"/>
      <c r="CQ56" s="1293"/>
      <c r="CR56" s="1282"/>
      <c r="CS56" s="1283"/>
      <c r="CT56" s="1283"/>
      <c r="CU56" s="1283"/>
      <c r="CV56" s="1284"/>
      <c r="CW56" s="1246"/>
      <c r="CX56" s="1247"/>
      <c r="CY56" s="1247"/>
      <c r="CZ56" s="1247"/>
      <c r="DA56" s="1248"/>
      <c r="DB56" s="1255"/>
      <c r="DC56" s="1256"/>
      <c r="DD56" s="1256"/>
      <c r="DE56" s="1256"/>
      <c r="DF56" s="1257"/>
      <c r="DG56" s="1255"/>
      <c r="DH56" s="1256"/>
      <c r="DI56" s="1256"/>
      <c r="DJ56" s="1256"/>
      <c r="DK56" s="1484"/>
      <c r="DL56" s="1549"/>
      <c r="DM56" s="1550"/>
      <c r="DN56" s="361"/>
      <c r="DO56" s="485"/>
    </row>
    <row r="57" spans="1:120" ht="13.5" customHeight="1" x14ac:dyDescent="0.2">
      <c r="A57" s="24"/>
      <c r="B57" s="1345" t="str">
        <f>'int. presets cp_5d+wd'!B32</f>
        <v>South row</v>
      </c>
      <c r="C57" s="1346" t="e">
        <f>#REF!</f>
        <v>#REF!</v>
      </c>
      <c r="D57" s="1347" t="e">
        <f>#REF!</f>
        <v>#REF!</v>
      </c>
      <c r="E57" s="342" t="str">
        <f>'int. presets cp_5d+wd'!C32</f>
        <v>1st-10th module</v>
      </c>
      <c r="F57" s="405"/>
      <c r="G57" s="406"/>
      <c r="H57" s="405">
        <f ca="1">(-'int. presets cp_5d+wd'!I32*COS($F$18*PI()/180)*$F$21-'int. presets cp_5d+wd'!I41*COS($I$18*PI()/180)*$I$21)*$F$47*$C$25*1000/9.81/$I$47*$D$101*'int. presets cp_5d+wd'!$I$246-$H$47/$I$47*$C$20*$F$21</f>
        <v>22.457693599613318</v>
      </c>
      <c r="I57" s="934">
        <f ca="1">(SQRT(((-'int. presets cp_5d+wd'!D32*SIN($F$18*PI()/180)*$F$21+'int. presets cp_5d+wd'!D41*SIN($I$18*PI()/180)*$I$21)*$C$25*1000)^2+(0.001*$C$25*1000*$F$21)^2)/$C$30+(-'int. presets cp_5d+wd'!D32*COS($F$18*PI()/180)*$F$21-'int. presets cp_5d+wd'!D41*COS($I$18*PI()/180)*$I$21)*$C$25*1000)/9.81*$G$47/$I$47*$F$101*'int. presets cp_5d+wd'!$D$246-$H$47/$I$47*$C$20*$F$21</f>
        <v>25.920291924241599</v>
      </c>
      <c r="J57" s="996">
        <f t="shared" ca="1" si="23"/>
        <v>25.920291924241599</v>
      </c>
      <c r="K57" s="945">
        <f t="shared" ca="1" si="24"/>
        <v>57.144393982021512</v>
      </c>
      <c r="L57" s="118"/>
      <c r="M57" s="493"/>
      <c r="N57" s="18"/>
      <c r="O57" s="1549"/>
      <c r="P57" s="1550"/>
      <c r="Q57" s="1304" t="str">
        <f>V51</f>
        <v>Inner row
Interior modules</v>
      </c>
      <c r="R57" s="1253"/>
      <c r="S57" s="1253"/>
      <c r="T57" s="1253"/>
      <c r="U57" s="1254"/>
      <c r="V57" s="1252" t="str">
        <f>V32</f>
        <v>Inner row
Interior modules</v>
      </c>
      <c r="W57" s="1253"/>
      <c r="X57" s="1253"/>
      <c r="Y57" s="1253"/>
      <c r="Z57" s="1254"/>
      <c r="AA57" s="1243" t="str">
        <f>AA32</f>
        <v>Inner row
1st-10th module</v>
      </c>
      <c r="AB57" s="1244"/>
      <c r="AC57" s="1244"/>
      <c r="AD57" s="1244"/>
      <c r="AE57" s="1245"/>
      <c r="AF57" s="1279" t="str">
        <f>AF32</f>
        <v>Inner row
Interior modules</v>
      </c>
      <c r="AG57" s="1280"/>
      <c r="AH57" s="1280"/>
      <c r="AI57" s="1280"/>
      <c r="AJ57" s="1281"/>
      <c r="AK57" s="1288" t="str">
        <f>AK32</f>
        <v>Inner row
1st-10th module</v>
      </c>
      <c r="AL57" s="1289"/>
      <c r="AM57" s="1289"/>
      <c r="AN57" s="1289"/>
      <c r="AO57" s="1290"/>
      <c r="AP57" s="1297" t="str">
        <f>AP32</f>
        <v>Inner row
Interior modules</v>
      </c>
      <c r="AQ57" s="1298"/>
      <c r="AR57" s="1298"/>
      <c r="AS57" s="1298"/>
      <c r="AT57" s="1299"/>
      <c r="AU57" s="1489" t="str">
        <f>AU32</f>
        <v>Inner row
1st-10th module</v>
      </c>
      <c r="AV57" s="1490"/>
      <c r="AW57" s="1490"/>
      <c r="AX57" s="1490"/>
      <c r="AY57" s="1491"/>
      <c r="AZ57" s="1267" t="str">
        <f>AZ43</f>
        <v>Inner row
Interior modules</v>
      </c>
      <c r="BA57" s="1268"/>
      <c r="BB57" s="1268"/>
      <c r="BC57" s="1268"/>
      <c r="BD57" s="1269"/>
      <c r="BE57" s="1258" t="str">
        <f>BE43</f>
        <v>Inner row
1st-10th module</v>
      </c>
      <c r="BF57" s="1259"/>
      <c r="BG57" s="1259"/>
      <c r="BH57" s="1259"/>
      <c r="BI57" s="1260"/>
      <c r="BJ57" s="1549"/>
      <c r="BK57" s="1550"/>
      <c r="BL57" s="361"/>
      <c r="BM57" s="485"/>
      <c r="BO57" s="493"/>
      <c r="BP57" s="18"/>
      <c r="BQ57" s="1549"/>
      <c r="BR57" s="1550"/>
      <c r="BS57" s="1777" t="str">
        <f>BE57</f>
        <v>Inner row
1st-10th module</v>
      </c>
      <c r="BT57" s="1778"/>
      <c r="BU57" s="1778"/>
      <c r="BV57" s="1778"/>
      <c r="BW57" s="1778"/>
      <c r="BX57" s="1779" t="str">
        <f t="shared" ref="BX57" si="25">AZ57</f>
        <v>Inner row
Interior modules</v>
      </c>
      <c r="BY57" s="1779"/>
      <c r="BZ57" s="1779"/>
      <c r="CA57" s="1779"/>
      <c r="CB57" s="1779"/>
      <c r="CC57" s="1776" t="str">
        <f t="shared" ref="CC57" si="26">AU57</f>
        <v>Inner row
1st-10th module</v>
      </c>
      <c r="CD57" s="1776"/>
      <c r="CE57" s="1776"/>
      <c r="CF57" s="1776"/>
      <c r="CG57" s="1776"/>
      <c r="CH57" s="1759" t="str">
        <f t="shared" ref="CH57" si="27">AP57</f>
        <v>Inner row
Interior modules</v>
      </c>
      <c r="CI57" s="1759"/>
      <c r="CJ57" s="1759"/>
      <c r="CK57" s="1759"/>
      <c r="CL57" s="1759"/>
      <c r="CM57" s="1760" t="str">
        <f t="shared" ref="CM57" si="28">AK57</f>
        <v>Inner row
1st-10th module</v>
      </c>
      <c r="CN57" s="1760"/>
      <c r="CO57" s="1760"/>
      <c r="CP57" s="1760"/>
      <c r="CQ57" s="1760"/>
      <c r="CR57" s="1761" t="str">
        <f t="shared" ref="CR57" si="29">AF57</f>
        <v>Inner row
Interior modules</v>
      </c>
      <c r="CS57" s="1761"/>
      <c r="CT57" s="1761"/>
      <c r="CU57" s="1761"/>
      <c r="CV57" s="1761"/>
      <c r="CW57" s="1762" t="str">
        <f t="shared" ref="CW57" si="30">AA57</f>
        <v>Inner row
1st-10th module</v>
      </c>
      <c r="CX57" s="1762"/>
      <c r="CY57" s="1762"/>
      <c r="CZ57" s="1762"/>
      <c r="DA57" s="1762"/>
      <c r="DB57" s="1757" t="str">
        <f t="shared" ref="DB57" si="31">V57</f>
        <v>Inner row
Interior modules</v>
      </c>
      <c r="DC57" s="1757"/>
      <c r="DD57" s="1757"/>
      <c r="DE57" s="1757"/>
      <c r="DF57" s="1757"/>
      <c r="DG57" s="1757" t="str">
        <f t="shared" ref="DG57" si="32">Q57</f>
        <v>Inner row
Interior modules</v>
      </c>
      <c r="DH57" s="1757"/>
      <c r="DI57" s="1757"/>
      <c r="DJ57" s="1757"/>
      <c r="DK57" s="1758"/>
      <c r="DL57" s="1549"/>
      <c r="DM57" s="1550"/>
      <c r="DN57" s="361"/>
      <c r="DO57" s="485"/>
    </row>
    <row r="58" spans="1:120" ht="13.5" customHeight="1" thickBot="1" x14ac:dyDescent="0.25">
      <c r="B58" s="1783" t="e">
        <f>#REF!</f>
        <v>#REF!</v>
      </c>
      <c r="C58" s="1784" t="e">
        <f>#REF!</f>
        <v>#REF!</v>
      </c>
      <c r="D58" s="1785" t="e">
        <f>#REF!</f>
        <v>#REF!</v>
      </c>
      <c r="E58" s="986" t="str">
        <f>'int. presets cp_5d+wd'!C33</f>
        <v>Interior modules</v>
      </c>
      <c r="F58" s="405"/>
      <c r="G58" s="406"/>
      <c r="H58" s="409">
        <f ca="1">(-'int. presets cp_5d+wd'!I33*COS($F$18*PI()/180)*$F$21-'int. presets cp_5d+wd'!I42*COS($I$18*PI()/180)*$I$21)*$F$47*$C$25*1000/9.81/$I$47*$D$101*'int. presets cp_5d+wd'!$I$246-$H$47/$I$47*$C$20*$F$21</f>
        <v>12.973122253107444</v>
      </c>
      <c r="I58" s="988">
        <f ca="1">(SQRT(((-'int. presets cp_5d+wd'!D33*SIN($F$18*PI()/180)*$F$21+'int. presets cp_5d+wd'!D42*SIN($I$18*PI()/180)*$I$21)*$C$25*1000)^2+(0.001*$C$25*1000*$F$21)^2)/$C$30+(-'int. presets cp_5d+wd'!D33*COS($F$18*PI()/180)*$F$21-'int. presets cp_5d+wd'!D42*COS($I$18*PI()/180)*$I$21)*$C$25*1000)/9.81*$G$47/$I$47*$F$101*'int. presets cp_5d+wd'!$D$246-$H$47/$I$47*$C$20*$F$21</f>
        <v>18.347332754399122</v>
      </c>
      <c r="J58" s="998">
        <f t="shared" ca="1" si="23"/>
        <v>18.347332754399122</v>
      </c>
      <c r="K58" s="944">
        <f t="shared" ca="1" si="24"/>
        <v>40.448896737003388</v>
      </c>
      <c r="L58" s="118"/>
      <c r="M58" s="153"/>
      <c r="N58" s="18"/>
      <c r="O58" s="1549"/>
      <c r="P58" s="1550"/>
      <c r="Q58" s="1304"/>
      <c r="R58" s="1253"/>
      <c r="S58" s="1253"/>
      <c r="T58" s="1253"/>
      <c r="U58" s="1254"/>
      <c r="V58" s="1252"/>
      <c r="W58" s="1253"/>
      <c r="X58" s="1253"/>
      <c r="Y58" s="1253"/>
      <c r="Z58" s="1254"/>
      <c r="AA58" s="1243"/>
      <c r="AB58" s="1244"/>
      <c r="AC58" s="1244"/>
      <c r="AD58" s="1244"/>
      <c r="AE58" s="1245"/>
      <c r="AF58" s="1279"/>
      <c r="AG58" s="1280"/>
      <c r="AH58" s="1280"/>
      <c r="AI58" s="1280"/>
      <c r="AJ58" s="1281"/>
      <c r="AK58" s="1288"/>
      <c r="AL58" s="1289"/>
      <c r="AM58" s="1289"/>
      <c r="AN58" s="1289"/>
      <c r="AO58" s="1290"/>
      <c r="AP58" s="1297"/>
      <c r="AQ58" s="1298"/>
      <c r="AR58" s="1298"/>
      <c r="AS58" s="1298"/>
      <c r="AT58" s="1299"/>
      <c r="AU58" s="1489"/>
      <c r="AV58" s="1490"/>
      <c r="AW58" s="1490"/>
      <c r="AX58" s="1490"/>
      <c r="AY58" s="1491"/>
      <c r="AZ58" s="1270"/>
      <c r="BA58" s="1271"/>
      <c r="BB58" s="1271"/>
      <c r="BC58" s="1271"/>
      <c r="BD58" s="1272"/>
      <c r="BE58" s="1261"/>
      <c r="BF58" s="1262"/>
      <c r="BG58" s="1262"/>
      <c r="BH58" s="1262"/>
      <c r="BI58" s="1263"/>
      <c r="BJ58" s="1549"/>
      <c r="BK58" s="1550"/>
      <c r="BL58" s="361"/>
      <c r="BM58" s="485"/>
      <c r="BO58" s="153"/>
      <c r="BP58" s="18"/>
      <c r="BQ58" s="1549"/>
      <c r="BR58" s="1550"/>
      <c r="BS58" s="1777"/>
      <c r="BT58" s="1778"/>
      <c r="BU58" s="1778"/>
      <c r="BV58" s="1778"/>
      <c r="BW58" s="1778"/>
      <c r="BX58" s="1779"/>
      <c r="BY58" s="1779"/>
      <c r="BZ58" s="1779"/>
      <c r="CA58" s="1779"/>
      <c r="CB58" s="1779"/>
      <c r="CC58" s="1744"/>
      <c r="CD58" s="1744"/>
      <c r="CE58" s="1744"/>
      <c r="CF58" s="1744"/>
      <c r="CG58" s="1744"/>
      <c r="CH58" s="1745"/>
      <c r="CI58" s="1745"/>
      <c r="CJ58" s="1745"/>
      <c r="CK58" s="1745"/>
      <c r="CL58" s="1745"/>
      <c r="CM58" s="1754"/>
      <c r="CN58" s="1754"/>
      <c r="CO58" s="1754"/>
      <c r="CP58" s="1754"/>
      <c r="CQ58" s="1754"/>
      <c r="CR58" s="1756"/>
      <c r="CS58" s="1756"/>
      <c r="CT58" s="1756"/>
      <c r="CU58" s="1756"/>
      <c r="CV58" s="1756"/>
      <c r="CW58" s="1747"/>
      <c r="CX58" s="1747"/>
      <c r="CY58" s="1747"/>
      <c r="CZ58" s="1747"/>
      <c r="DA58" s="1747"/>
      <c r="DB58" s="1749"/>
      <c r="DC58" s="1749"/>
      <c r="DD58" s="1749"/>
      <c r="DE58" s="1749"/>
      <c r="DF58" s="1749"/>
      <c r="DG58" s="1749"/>
      <c r="DH58" s="1749"/>
      <c r="DI58" s="1749"/>
      <c r="DJ58" s="1749"/>
      <c r="DK58" s="1751"/>
      <c r="DL58" s="1549"/>
      <c r="DM58" s="1550"/>
      <c r="DN58" s="361"/>
      <c r="DO58" s="485"/>
    </row>
    <row r="59" spans="1:120" ht="13.5" customHeight="1" thickTop="1" thickBot="1" x14ac:dyDescent="0.25">
      <c r="B59" s="1380" t="str">
        <f>'int. presets cp_5d+wd'!E24</f>
        <v>Roof position 2</v>
      </c>
      <c r="C59" s="1381"/>
      <c r="D59" s="1381"/>
      <c r="E59" s="1381"/>
      <c r="F59" s="1381"/>
      <c r="G59" s="1381"/>
      <c r="H59" s="1381"/>
      <c r="I59" s="1381"/>
      <c r="J59" s="1382"/>
      <c r="K59" s="1067"/>
      <c r="L59" s="118"/>
      <c r="M59" s="153"/>
      <c r="N59" s="20"/>
      <c r="O59" s="1549"/>
      <c r="P59" s="1550"/>
      <c r="Q59" s="1305"/>
      <c r="R59" s="1256"/>
      <c r="S59" s="1256"/>
      <c r="T59" s="1256"/>
      <c r="U59" s="1257"/>
      <c r="V59" s="1255"/>
      <c r="W59" s="1256"/>
      <c r="X59" s="1256"/>
      <c r="Y59" s="1256"/>
      <c r="Z59" s="1257"/>
      <c r="AA59" s="1246"/>
      <c r="AB59" s="1247"/>
      <c r="AC59" s="1247"/>
      <c r="AD59" s="1247"/>
      <c r="AE59" s="1248"/>
      <c r="AF59" s="1282"/>
      <c r="AG59" s="1283"/>
      <c r="AH59" s="1283"/>
      <c r="AI59" s="1283"/>
      <c r="AJ59" s="1284"/>
      <c r="AK59" s="1291"/>
      <c r="AL59" s="1292"/>
      <c r="AM59" s="1292"/>
      <c r="AN59" s="1292"/>
      <c r="AO59" s="1293"/>
      <c r="AP59" s="1300"/>
      <c r="AQ59" s="1301"/>
      <c r="AR59" s="1301"/>
      <c r="AS59" s="1301"/>
      <c r="AT59" s="1302"/>
      <c r="AU59" s="1492"/>
      <c r="AV59" s="1493"/>
      <c r="AW59" s="1493"/>
      <c r="AX59" s="1493"/>
      <c r="AY59" s="1494"/>
      <c r="AZ59" s="1273"/>
      <c r="BA59" s="1274"/>
      <c r="BB59" s="1274"/>
      <c r="BC59" s="1274"/>
      <c r="BD59" s="1275"/>
      <c r="BE59" s="1264"/>
      <c r="BF59" s="1265"/>
      <c r="BG59" s="1265"/>
      <c r="BH59" s="1265"/>
      <c r="BI59" s="1266"/>
      <c r="BJ59" s="1549"/>
      <c r="BK59" s="1550"/>
      <c r="BL59" s="361"/>
      <c r="BM59" s="485"/>
      <c r="BO59" s="153"/>
      <c r="BP59" s="20"/>
      <c r="BQ59" s="1549"/>
      <c r="BR59" s="1550"/>
      <c r="BS59" s="1777"/>
      <c r="BT59" s="1778"/>
      <c r="BU59" s="1778"/>
      <c r="BV59" s="1778"/>
      <c r="BW59" s="1778"/>
      <c r="BX59" s="1779"/>
      <c r="BY59" s="1779"/>
      <c r="BZ59" s="1779"/>
      <c r="CA59" s="1779"/>
      <c r="CB59" s="1779"/>
      <c r="CC59" s="1744"/>
      <c r="CD59" s="1744"/>
      <c r="CE59" s="1744"/>
      <c r="CF59" s="1744"/>
      <c r="CG59" s="1744"/>
      <c r="CH59" s="1745"/>
      <c r="CI59" s="1745"/>
      <c r="CJ59" s="1745"/>
      <c r="CK59" s="1745"/>
      <c r="CL59" s="1745"/>
      <c r="CM59" s="1754"/>
      <c r="CN59" s="1754"/>
      <c r="CO59" s="1754"/>
      <c r="CP59" s="1754"/>
      <c r="CQ59" s="1754"/>
      <c r="CR59" s="1756"/>
      <c r="CS59" s="1756"/>
      <c r="CT59" s="1756"/>
      <c r="CU59" s="1756"/>
      <c r="CV59" s="1756"/>
      <c r="CW59" s="1747"/>
      <c r="CX59" s="1747"/>
      <c r="CY59" s="1747"/>
      <c r="CZ59" s="1747"/>
      <c r="DA59" s="1747"/>
      <c r="DB59" s="1749"/>
      <c r="DC59" s="1749"/>
      <c r="DD59" s="1749"/>
      <c r="DE59" s="1749"/>
      <c r="DF59" s="1749"/>
      <c r="DG59" s="1749"/>
      <c r="DH59" s="1749"/>
      <c r="DI59" s="1749"/>
      <c r="DJ59" s="1749"/>
      <c r="DK59" s="1751"/>
      <c r="DL59" s="1549"/>
      <c r="DM59" s="1550"/>
      <c r="DN59" s="361"/>
      <c r="DO59" s="485"/>
    </row>
    <row r="60" spans="1:120" ht="13.5" customHeight="1" x14ac:dyDescent="0.2">
      <c r="A60" s="24"/>
      <c r="B60" s="1783" t="str">
        <f t="shared" ref="B60:E67" si="33">B51</f>
        <v>North row</v>
      </c>
      <c r="C60" s="1784">
        <f t="shared" si="33"/>
        <v>0</v>
      </c>
      <c r="D60" s="1785">
        <f t="shared" si="33"/>
        <v>0</v>
      </c>
      <c r="E60" s="478" t="str">
        <f t="shared" si="33"/>
        <v>1st-10th module</v>
      </c>
      <c r="F60" s="539"/>
      <c r="G60" s="657"/>
      <c r="H60" s="540">
        <f ca="1">(-'int. presets cp_5d+wd'!J26*COS($F$18*PI()/180)*$F$21-'int. presets cp_5d+wd'!J35*COS($I$18*PI()/180)*$I$21)*$F$47*$C$25*1000/9.81/$I$47*$D$101*'int. presets cp_5d+wd'!$J$246-$H$47/$I$47*$C$20*$F$21</f>
        <v>66.403642298753581</v>
      </c>
      <c r="I60" s="75">
        <f ca="1">(SQRT(((-'int. presets cp_5d+wd'!E26*SIN($F$18*PI()/180)*$F$21+'int. presets cp_5d+wd'!E35*SIN($I$18*PI()/180)*$I$21)*$C$25*1000)^2+(0.001*$C$25*1000*$F$21)^2)/$C$30+(-'int. presets cp_5d+wd'!E26*COS($F$18*PI()/180)*$F$21-'int. presets cp_5d+wd'!E35*COS($I$18*PI()/180)*$I$21)*$C$25*1000)/9.81*$G$47/$I$47*$F$101*'int. presets cp_5d+wd'!$E$246-$H$47/$I$47*$C$20*$F$21</f>
        <v>41.523577048987647</v>
      </c>
      <c r="J60" s="994">
        <f t="shared" ref="J60:J67" ca="1" si="34">MAX(H60,I60)</f>
        <v>66.403642298753581</v>
      </c>
      <c r="K60" s="1071">
        <f t="shared" ca="1" si="24"/>
        <v>146.3947978846781</v>
      </c>
      <c r="L60" s="118"/>
      <c r="M60" s="153"/>
      <c r="N60" s="20"/>
      <c r="O60" s="1549"/>
      <c r="P60" s="1550"/>
      <c r="Q60" s="1303" t="str">
        <f>V51</f>
        <v>Inner row
Interior modules</v>
      </c>
      <c r="R60" s="1250"/>
      <c r="S60" s="1250"/>
      <c r="T60" s="1250"/>
      <c r="U60" s="1251"/>
      <c r="V60" s="1249" t="str">
        <f>V32</f>
        <v>Inner row
Interior modules</v>
      </c>
      <c r="W60" s="1250"/>
      <c r="X60" s="1250"/>
      <c r="Y60" s="1250"/>
      <c r="Z60" s="1251"/>
      <c r="AA60" s="1240" t="str">
        <f>AA32</f>
        <v>Inner row
1st-10th module</v>
      </c>
      <c r="AB60" s="1241"/>
      <c r="AC60" s="1241"/>
      <c r="AD60" s="1241"/>
      <c r="AE60" s="1242"/>
      <c r="AF60" s="1276" t="str">
        <f>AF32</f>
        <v>Inner row
Interior modules</v>
      </c>
      <c r="AG60" s="1277"/>
      <c r="AH60" s="1277"/>
      <c r="AI60" s="1277"/>
      <c r="AJ60" s="1278"/>
      <c r="AK60" s="1285" t="str">
        <f>AK32</f>
        <v>Inner row
1st-10th module</v>
      </c>
      <c r="AL60" s="1286"/>
      <c r="AM60" s="1286"/>
      <c r="AN60" s="1286"/>
      <c r="AO60" s="1287"/>
      <c r="AP60" s="1294" t="str">
        <f>AP32</f>
        <v>Inner row
Interior modules</v>
      </c>
      <c r="AQ60" s="1295"/>
      <c r="AR60" s="1295"/>
      <c r="AS60" s="1295"/>
      <c r="AT60" s="1296"/>
      <c r="AU60" s="1486" t="str">
        <f>AU32</f>
        <v>Inner row
1st-10th module</v>
      </c>
      <c r="AV60" s="1487"/>
      <c r="AW60" s="1487"/>
      <c r="AX60" s="1487"/>
      <c r="AY60" s="1488"/>
      <c r="AZ60" s="1267" t="str">
        <f>AZ43</f>
        <v>Inner row
Interior modules</v>
      </c>
      <c r="BA60" s="1268"/>
      <c r="BB60" s="1268"/>
      <c r="BC60" s="1268"/>
      <c r="BD60" s="1269"/>
      <c r="BE60" s="1258" t="str">
        <f>BE43</f>
        <v>Inner row
1st-10th module</v>
      </c>
      <c r="BF60" s="1259"/>
      <c r="BG60" s="1259"/>
      <c r="BH60" s="1259"/>
      <c r="BI60" s="1260"/>
      <c r="BJ60" s="1549"/>
      <c r="BK60" s="1550"/>
      <c r="BL60" s="361"/>
      <c r="BM60" s="485"/>
      <c r="BO60" s="153"/>
      <c r="BP60" s="20"/>
      <c r="BQ60" s="1549"/>
      <c r="BR60" s="1550"/>
      <c r="BS60" s="1777" t="str">
        <f t="shared" ref="BS60" si="35">BE60</f>
        <v>Inner row
1st-10th module</v>
      </c>
      <c r="BT60" s="1778"/>
      <c r="BU60" s="1778"/>
      <c r="BV60" s="1778"/>
      <c r="BW60" s="1778"/>
      <c r="BX60" s="1779" t="str">
        <f t="shared" ref="BX60" si="36">AZ60</f>
        <v>Inner row
Interior modules</v>
      </c>
      <c r="BY60" s="1779"/>
      <c r="BZ60" s="1779"/>
      <c r="CA60" s="1779"/>
      <c r="CB60" s="1779"/>
      <c r="CC60" s="1744" t="str">
        <f t="shared" ref="CC60" si="37">AU60</f>
        <v>Inner row
1st-10th module</v>
      </c>
      <c r="CD60" s="1744"/>
      <c r="CE60" s="1744"/>
      <c r="CF60" s="1744"/>
      <c r="CG60" s="1744"/>
      <c r="CH60" s="1745" t="str">
        <f t="shared" ref="CH60" si="38">AP60</f>
        <v>Inner row
Interior modules</v>
      </c>
      <c r="CI60" s="1745"/>
      <c r="CJ60" s="1745"/>
      <c r="CK60" s="1745"/>
      <c r="CL60" s="1745"/>
      <c r="CM60" s="1754" t="str">
        <f t="shared" ref="CM60" si="39">AK60</f>
        <v>Inner row
1st-10th module</v>
      </c>
      <c r="CN60" s="1754"/>
      <c r="CO60" s="1754"/>
      <c r="CP60" s="1754"/>
      <c r="CQ60" s="1754"/>
      <c r="CR60" s="1756" t="str">
        <f t="shared" ref="CR60" si="40">AF60</f>
        <v>Inner row
Interior modules</v>
      </c>
      <c r="CS60" s="1756"/>
      <c r="CT60" s="1756"/>
      <c r="CU60" s="1756"/>
      <c r="CV60" s="1756"/>
      <c r="CW60" s="1747" t="str">
        <f t="shared" ref="CW60" si="41">AA60</f>
        <v>Inner row
1st-10th module</v>
      </c>
      <c r="CX60" s="1747"/>
      <c r="CY60" s="1747"/>
      <c r="CZ60" s="1747"/>
      <c r="DA60" s="1747"/>
      <c r="DB60" s="1749" t="str">
        <f t="shared" ref="DB60" si="42">V60</f>
        <v>Inner row
Interior modules</v>
      </c>
      <c r="DC60" s="1749"/>
      <c r="DD60" s="1749"/>
      <c r="DE60" s="1749"/>
      <c r="DF60" s="1749"/>
      <c r="DG60" s="1749" t="str">
        <f t="shared" ref="DG60" si="43">Q60</f>
        <v>Inner row
Interior modules</v>
      </c>
      <c r="DH60" s="1749"/>
      <c r="DI60" s="1749"/>
      <c r="DJ60" s="1749"/>
      <c r="DK60" s="1751"/>
      <c r="DL60" s="1549"/>
      <c r="DM60" s="1550"/>
      <c r="DN60" s="361"/>
      <c r="DO60" s="485"/>
    </row>
    <row r="61" spans="1:120" ht="13.5" customHeight="1" thickBot="1" x14ac:dyDescent="0.25">
      <c r="A61" s="24"/>
      <c r="B61" s="1348">
        <f t="shared" si="33"/>
        <v>0</v>
      </c>
      <c r="C61" s="1349">
        <f t="shared" si="33"/>
        <v>0</v>
      </c>
      <c r="D61" s="1350">
        <f t="shared" si="33"/>
        <v>0</v>
      </c>
      <c r="E61" s="481" t="str">
        <f t="shared" si="33"/>
        <v>Interior modules</v>
      </c>
      <c r="F61" s="405"/>
      <c r="G61" s="406"/>
      <c r="H61" s="199">
        <f ca="1">(-'int. presets cp_5d+wd'!J27*COS($F$18*PI()/180)*$F$21-'int. presets cp_5d+wd'!J36*COS($I$18*PI()/180)*$I$21)*$F$47*$C$25*1000/9.81/$I$47*$D$101*'int. presets cp_5d+wd'!$J$246-$H$47/$I$47*$C$20*$F$21</f>
        <v>61.711617369738988</v>
      </c>
      <c r="I61" s="936">
        <f ca="1">(SQRT(((-'int. presets cp_5d+wd'!E27*SIN($F$18*PI()/180)*$F$21+'int. presets cp_5d+wd'!E36*SIN($I$18*PI()/180)*$I$21)*$C$25*1000)^2+(0.001*$C$25*1000*$F$21)^2)/$C$30+(-'int. presets cp_5d+wd'!E27*COS($F$18*PI()/180)*$F$21-'int. presets cp_5d+wd'!E36*COS($I$18*PI()/180)*$I$21)*$C$25*1000)/9.81*$G$47/$I$47*$F$101*'int. presets cp_5d+wd'!$E$246-$H$47/$I$47*$C$20*$F$21</f>
        <v>36.136689584709472</v>
      </c>
      <c r="J61" s="995">
        <f t="shared" ca="1" si="34"/>
        <v>61.711617369738988</v>
      </c>
      <c r="K61" s="1072">
        <f t="shared" ca="1" si="24"/>
        <v>136.05066588567396</v>
      </c>
      <c r="L61" s="118"/>
      <c r="M61" s="153"/>
      <c r="N61" s="20"/>
      <c r="O61" s="1549"/>
      <c r="P61" s="1550"/>
      <c r="Q61" s="1304"/>
      <c r="R61" s="1253"/>
      <c r="S61" s="1253"/>
      <c r="T61" s="1253"/>
      <c r="U61" s="1254"/>
      <c r="V61" s="1252"/>
      <c r="W61" s="1253"/>
      <c r="X61" s="1253"/>
      <c r="Y61" s="1253"/>
      <c r="Z61" s="1254"/>
      <c r="AA61" s="1243"/>
      <c r="AB61" s="1244"/>
      <c r="AC61" s="1244"/>
      <c r="AD61" s="1244"/>
      <c r="AE61" s="1245"/>
      <c r="AF61" s="1279"/>
      <c r="AG61" s="1280"/>
      <c r="AH61" s="1280"/>
      <c r="AI61" s="1280"/>
      <c r="AJ61" s="1281"/>
      <c r="AK61" s="1288"/>
      <c r="AL61" s="1289"/>
      <c r="AM61" s="1289"/>
      <c r="AN61" s="1289"/>
      <c r="AO61" s="1290"/>
      <c r="AP61" s="1297"/>
      <c r="AQ61" s="1298"/>
      <c r="AR61" s="1298"/>
      <c r="AS61" s="1298"/>
      <c r="AT61" s="1299"/>
      <c r="AU61" s="1489"/>
      <c r="AV61" s="1490"/>
      <c r="AW61" s="1490"/>
      <c r="AX61" s="1490"/>
      <c r="AY61" s="1491"/>
      <c r="AZ61" s="1270"/>
      <c r="BA61" s="1271"/>
      <c r="BB61" s="1271"/>
      <c r="BC61" s="1271"/>
      <c r="BD61" s="1272"/>
      <c r="BE61" s="1261"/>
      <c r="BF61" s="1262"/>
      <c r="BG61" s="1262"/>
      <c r="BH61" s="1262"/>
      <c r="BI61" s="1263"/>
      <c r="BJ61" s="1549"/>
      <c r="BK61" s="1550"/>
      <c r="BL61" s="361"/>
      <c r="BM61" s="485"/>
      <c r="BO61" s="153"/>
      <c r="BP61" s="20"/>
      <c r="BQ61" s="1549"/>
      <c r="BR61" s="1550"/>
      <c r="BS61" s="1777"/>
      <c r="BT61" s="1778"/>
      <c r="BU61" s="1778"/>
      <c r="BV61" s="1778"/>
      <c r="BW61" s="1778"/>
      <c r="BX61" s="1779"/>
      <c r="BY61" s="1779"/>
      <c r="BZ61" s="1779"/>
      <c r="CA61" s="1779"/>
      <c r="CB61" s="1779"/>
      <c r="CC61" s="1744"/>
      <c r="CD61" s="1744"/>
      <c r="CE61" s="1744"/>
      <c r="CF61" s="1744"/>
      <c r="CG61" s="1744"/>
      <c r="CH61" s="1745"/>
      <c r="CI61" s="1745"/>
      <c r="CJ61" s="1745"/>
      <c r="CK61" s="1745"/>
      <c r="CL61" s="1745"/>
      <c r="CM61" s="1754"/>
      <c r="CN61" s="1754"/>
      <c r="CO61" s="1754"/>
      <c r="CP61" s="1754"/>
      <c r="CQ61" s="1754"/>
      <c r="CR61" s="1756"/>
      <c r="CS61" s="1756"/>
      <c r="CT61" s="1756"/>
      <c r="CU61" s="1756"/>
      <c r="CV61" s="1756"/>
      <c r="CW61" s="1747"/>
      <c r="CX61" s="1747"/>
      <c r="CY61" s="1747"/>
      <c r="CZ61" s="1747"/>
      <c r="DA61" s="1747"/>
      <c r="DB61" s="1749"/>
      <c r="DC61" s="1749"/>
      <c r="DD61" s="1749"/>
      <c r="DE61" s="1749"/>
      <c r="DF61" s="1749"/>
      <c r="DG61" s="1749"/>
      <c r="DH61" s="1749"/>
      <c r="DI61" s="1749"/>
      <c r="DJ61" s="1749"/>
      <c r="DK61" s="1751"/>
      <c r="DL61" s="1549"/>
      <c r="DM61" s="1550"/>
      <c r="DN61" s="361"/>
      <c r="DO61" s="485"/>
    </row>
    <row r="62" spans="1:120" s="75" customFormat="1" ht="13.5" customHeight="1" x14ac:dyDescent="0.2">
      <c r="B62" s="1345" t="str">
        <f t="shared" si="33"/>
        <v>Inner rows, 2nd to 4th row from north</v>
      </c>
      <c r="C62" s="1346" t="e">
        <f t="shared" si="33"/>
        <v>#REF!</v>
      </c>
      <c r="D62" s="1347" t="e">
        <f t="shared" si="33"/>
        <v>#REF!</v>
      </c>
      <c r="E62" s="479" t="str">
        <f t="shared" si="33"/>
        <v>1st-10th module</v>
      </c>
      <c r="F62" s="405"/>
      <c r="G62" s="406"/>
      <c r="H62" s="181">
        <f ca="1">(-'int. presets cp_5d+wd'!J28*COS($F$18*PI()/180)*$F$21-'int. presets cp_5d+wd'!J37*COS($I$18*PI()/180)*$I$21)*$F$47*$C$25*1000/9.81/$I$47*$D$101*'int. presets cp_5d+wd'!$J$246-$H$47/$I$47*$C$20*$F$21</f>
        <v>38.456526818189161</v>
      </c>
      <c r="I62" s="75">
        <f ca="1">(SQRT(((-'int. presets cp_5d+wd'!E28*SIN($F$18*PI()/180)*$F$21+'int. presets cp_5d+wd'!E37*SIN($I$18*PI()/180)*$I$21)*$C$25*1000)^2+(0.001*$C$25*1000*$F$21)^2)/$C$30+(-'int. presets cp_5d+wd'!E28*COS($F$18*PI()/180)*$F$21-'int. presets cp_5d+wd'!E37*COS($I$18*PI()/180)*$I$21)*$C$25*1000)/9.81*$G$47/$I$47*$F$101*'int. presets cp_5d+wd'!$E$246-$H$47/$I$47*$C$20*$F$21</f>
        <v>42.986984026305592</v>
      </c>
      <c r="J62" s="996">
        <f t="shared" ca="1" si="34"/>
        <v>42.986984026305592</v>
      </c>
      <c r="K62" s="1073">
        <f t="shared" ca="1" si="24"/>
        <v>94.76996472407383</v>
      </c>
      <c r="L62" s="118"/>
      <c r="M62" s="153"/>
      <c r="N62" s="20"/>
      <c r="O62" s="1549"/>
      <c r="P62" s="1550"/>
      <c r="Q62" s="1305"/>
      <c r="R62" s="1256"/>
      <c r="S62" s="1256"/>
      <c r="T62" s="1256"/>
      <c r="U62" s="1257"/>
      <c r="V62" s="1255"/>
      <c r="W62" s="1256"/>
      <c r="X62" s="1256"/>
      <c r="Y62" s="1256"/>
      <c r="Z62" s="1257"/>
      <c r="AA62" s="1246"/>
      <c r="AB62" s="1247"/>
      <c r="AC62" s="1247"/>
      <c r="AD62" s="1247"/>
      <c r="AE62" s="1248"/>
      <c r="AF62" s="1282"/>
      <c r="AG62" s="1283"/>
      <c r="AH62" s="1283"/>
      <c r="AI62" s="1283"/>
      <c r="AJ62" s="1284"/>
      <c r="AK62" s="1291"/>
      <c r="AL62" s="1292"/>
      <c r="AM62" s="1292"/>
      <c r="AN62" s="1292"/>
      <c r="AO62" s="1293"/>
      <c r="AP62" s="1300"/>
      <c r="AQ62" s="1301"/>
      <c r="AR62" s="1301"/>
      <c r="AS62" s="1301"/>
      <c r="AT62" s="1302"/>
      <c r="AU62" s="1492"/>
      <c r="AV62" s="1493"/>
      <c r="AW62" s="1493"/>
      <c r="AX62" s="1493"/>
      <c r="AY62" s="1494"/>
      <c r="AZ62" s="1273"/>
      <c r="BA62" s="1274"/>
      <c r="BB62" s="1274"/>
      <c r="BC62" s="1274"/>
      <c r="BD62" s="1275"/>
      <c r="BE62" s="1264"/>
      <c r="BF62" s="1265"/>
      <c r="BG62" s="1265"/>
      <c r="BH62" s="1265"/>
      <c r="BI62" s="1266"/>
      <c r="BJ62" s="1549"/>
      <c r="BK62" s="1550"/>
      <c r="BL62" s="361"/>
      <c r="BM62" s="486"/>
      <c r="BN62" s="1"/>
      <c r="BO62" s="153"/>
      <c r="BP62" s="20"/>
      <c r="BQ62" s="1549"/>
      <c r="BR62" s="1550"/>
      <c r="BS62" s="1777"/>
      <c r="BT62" s="1778"/>
      <c r="BU62" s="1778"/>
      <c r="BV62" s="1778"/>
      <c r="BW62" s="1778"/>
      <c r="BX62" s="1779"/>
      <c r="BY62" s="1779"/>
      <c r="BZ62" s="1779"/>
      <c r="CA62" s="1779"/>
      <c r="CB62" s="1779"/>
      <c r="CC62" s="1744"/>
      <c r="CD62" s="1744"/>
      <c r="CE62" s="1744"/>
      <c r="CF62" s="1744"/>
      <c r="CG62" s="1744"/>
      <c r="CH62" s="1745"/>
      <c r="CI62" s="1745"/>
      <c r="CJ62" s="1745"/>
      <c r="CK62" s="1745"/>
      <c r="CL62" s="1745"/>
      <c r="CM62" s="1754"/>
      <c r="CN62" s="1754"/>
      <c r="CO62" s="1754"/>
      <c r="CP62" s="1754"/>
      <c r="CQ62" s="1754"/>
      <c r="CR62" s="1756"/>
      <c r="CS62" s="1756"/>
      <c r="CT62" s="1756"/>
      <c r="CU62" s="1756"/>
      <c r="CV62" s="1756"/>
      <c r="CW62" s="1747"/>
      <c r="CX62" s="1747"/>
      <c r="CY62" s="1747"/>
      <c r="CZ62" s="1747"/>
      <c r="DA62" s="1747"/>
      <c r="DB62" s="1749"/>
      <c r="DC62" s="1749"/>
      <c r="DD62" s="1749"/>
      <c r="DE62" s="1749"/>
      <c r="DF62" s="1749"/>
      <c r="DG62" s="1749"/>
      <c r="DH62" s="1749"/>
      <c r="DI62" s="1749"/>
      <c r="DJ62" s="1749"/>
      <c r="DK62" s="1751"/>
      <c r="DL62" s="1549"/>
      <c r="DM62" s="1550"/>
      <c r="DN62" s="361"/>
      <c r="DO62" s="486"/>
      <c r="DP62" s="1"/>
    </row>
    <row r="63" spans="1:120" s="75" customFormat="1" ht="13.5" customHeight="1" thickBot="1" x14ac:dyDescent="0.25">
      <c r="B63" s="1348" t="e">
        <f t="shared" si="33"/>
        <v>#REF!</v>
      </c>
      <c r="C63" s="1349" t="e">
        <f t="shared" si="33"/>
        <v>#REF!</v>
      </c>
      <c r="D63" s="1350" t="e">
        <f t="shared" si="33"/>
        <v>#REF!</v>
      </c>
      <c r="E63" s="481" t="str">
        <f t="shared" si="33"/>
        <v>Interior modules</v>
      </c>
      <c r="F63" s="405"/>
      <c r="G63" s="406"/>
      <c r="H63" s="199">
        <f ca="1">(-'int. presets cp_5d+wd'!J29*COS($F$18*PI()/180)*$F$21-'int. presets cp_5d+wd'!J38*COS($I$18*PI()/180)*$I$21)*$F$47*$C$25*1000/9.81/$I$47*$D$101*'int. presets cp_5d+wd'!$J$246-$H$47/$I$47*$C$20*$F$21</f>
        <v>35.786891805185675</v>
      </c>
      <c r="I63" s="936">
        <f ca="1">(SQRT(((-'int. presets cp_5d+wd'!E29*SIN($F$18*PI()/180)*$F$21+'int. presets cp_5d+wd'!E38*SIN($I$18*PI()/180)*$I$21)*$C$25*1000)^2+(0.001*$C$25*1000*$F$21)^2)/$C$30+(-'int. presets cp_5d+wd'!E29*COS($F$18*PI()/180)*$F$21-'int. presets cp_5d+wd'!E38*COS($I$18*PI()/180)*$I$21)*$C$25*1000)/9.81*$G$47/$I$47*$F$101*'int. presets cp_5d+wd'!$E$246-$H$47/$I$47*$C$20*$F$21</f>
        <v>40.457654507540624</v>
      </c>
      <c r="J63" s="995">
        <f t="shared" ca="1" si="34"/>
        <v>40.457654507540624</v>
      </c>
      <c r="K63" s="1072">
        <f t="shared" ca="1" si="24"/>
        <v>89.193754280414197</v>
      </c>
      <c r="L63" s="118"/>
      <c r="M63" s="153"/>
      <c r="N63" s="20"/>
      <c r="O63" s="1549"/>
      <c r="P63" s="1550"/>
      <c r="Q63" s="1303" t="str">
        <f>V51</f>
        <v>Inner row
Interior modules</v>
      </c>
      <c r="R63" s="1250"/>
      <c r="S63" s="1250"/>
      <c r="T63" s="1250"/>
      <c r="U63" s="1251"/>
      <c r="V63" s="1249" t="str">
        <f>V32</f>
        <v>Inner row
Interior modules</v>
      </c>
      <c r="W63" s="1250"/>
      <c r="X63" s="1250"/>
      <c r="Y63" s="1250"/>
      <c r="Z63" s="1251"/>
      <c r="AA63" s="1240" t="str">
        <f>AA32</f>
        <v>Inner row
1st-10th module</v>
      </c>
      <c r="AB63" s="1241"/>
      <c r="AC63" s="1241"/>
      <c r="AD63" s="1241"/>
      <c r="AE63" s="1242"/>
      <c r="AF63" s="1276" t="str">
        <f>AF32</f>
        <v>Inner row
Interior modules</v>
      </c>
      <c r="AG63" s="1277"/>
      <c r="AH63" s="1277"/>
      <c r="AI63" s="1277"/>
      <c r="AJ63" s="1278"/>
      <c r="AK63" s="1285" t="str">
        <f>AK32</f>
        <v>Inner row
1st-10th module</v>
      </c>
      <c r="AL63" s="1286"/>
      <c r="AM63" s="1286"/>
      <c r="AN63" s="1286"/>
      <c r="AO63" s="1287"/>
      <c r="AP63" s="1294" t="str">
        <f>AP32</f>
        <v>Inner row
Interior modules</v>
      </c>
      <c r="AQ63" s="1295"/>
      <c r="AR63" s="1295"/>
      <c r="AS63" s="1295"/>
      <c r="AT63" s="1296"/>
      <c r="AU63" s="1486" t="str">
        <f>AU32</f>
        <v>Inner row
1st-10th module</v>
      </c>
      <c r="AV63" s="1487"/>
      <c r="AW63" s="1487"/>
      <c r="AX63" s="1487"/>
      <c r="AY63" s="1488"/>
      <c r="AZ63" s="1267" t="str">
        <f>AZ43</f>
        <v>Inner row
Interior modules</v>
      </c>
      <c r="BA63" s="1268"/>
      <c r="BB63" s="1268"/>
      <c r="BC63" s="1268"/>
      <c r="BD63" s="1269"/>
      <c r="BE63" s="1258" t="str">
        <f>BE43</f>
        <v>Inner row
1st-10th module</v>
      </c>
      <c r="BF63" s="1259"/>
      <c r="BG63" s="1259"/>
      <c r="BH63" s="1259"/>
      <c r="BI63" s="1260"/>
      <c r="BJ63" s="1549"/>
      <c r="BK63" s="1550"/>
      <c r="BL63" s="361"/>
      <c r="BM63" s="486"/>
      <c r="BN63" s="1"/>
      <c r="BO63" s="153"/>
      <c r="BP63" s="20"/>
      <c r="BQ63" s="1549"/>
      <c r="BR63" s="1550"/>
      <c r="BS63" s="1777" t="str">
        <f t="shared" ref="BS63" si="44">BE63</f>
        <v>Inner row
1st-10th module</v>
      </c>
      <c r="BT63" s="1778"/>
      <c r="BU63" s="1778"/>
      <c r="BV63" s="1778"/>
      <c r="BW63" s="1778"/>
      <c r="BX63" s="1779" t="str">
        <f t="shared" ref="BX63" si="45">AZ63</f>
        <v>Inner row
Interior modules</v>
      </c>
      <c r="BY63" s="1779"/>
      <c r="BZ63" s="1779"/>
      <c r="CA63" s="1779"/>
      <c r="CB63" s="1779"/>
      <c r="CC63" s="1744" t="str">
        <f t="shared" ref="CC63" si="46">AU63</f>
        <v>Inner row
1st-10th module</v>
      </c>
      <c r="CD63" s="1744"/>
      <c r="CE63" s="1744"/>
      <c r="CF63" s="1744"/>
      <c r="CG63" s="1744"/>
      <c r="CH63" s="1745" t="str">
        <f t="shared" ref="CH63" si="47">AP63</f>
        <v>Inner row
Interior modules</v>
      </c>
      <c r="CI63" s="1745"/>
      <c r="CJ63" s="1745"/>
      <c r="CK63" s="1745"/>
      <c r="CL63" s="1745"/>
      <c r="CM63" s="1754" t="str">
        <f t="shared" ref="CM63" si="48">AK63</f>
        <v>Inner row
1st-10th module</v>
      </c>
      <c r="CN63" s="1754"/>
      <c r="CO63" s="1754"/>
      <c r="CP63" s="1754"/>
      <c r="CQ63" s="1754"/>
      <c r="CR63" s="1756" t="str">
        <f t="shared" ref="CR63" si="49">AF63</f>
        <v>Inner row
Interior modules</v>
      </c>
      <c r="CS63" s="1756"/>
      <c r="CT63" s="1756"/>
      <c r="CU63" s="1756"/>
      <c r="CV63" s="1756"/>
      <c r="CW63" s="1747" t="str">
        <f t="shared" ref="CW63" si="50">AA63</f>
        <v>Inner row
1st-10th module</v>
      </c>
      <c r="CX63" s="1747"/>
      <c r="CY63" s="1747"/>
      <c r="CZ63" s="1747"/>
      <c r="DA63" s="1747"/>
      <c r="DB63" s="1749" t="str">
        <f t="shared" ref="DB63" si="51">V63</f>
        <v>Inner row
Interior modules</v>
      </c>
      <c r="DC63" s="1749"/>
      <c r="DD63" s="1749"/>
      <c r="DE63" s="1749"/>
      <c r="DF63" s="1749"/>
      <c r="DG63" s="1749" t="str">
        <f t="shared" ref="DG63" si="52">Q63</f>
        <v>Inner row
Interior modules</v>
      </c>
      <c r="DH63" s="1749"/>
      <c r="DI63" s="1749"/>
      <c r="DJ63" s="1749"/>
      <c r="DK63" s="1751"/>
      <c r="DL63" s="1549"/>
      <c r="DM63" s="1550"/>
      <c r="DN63" s="361"/>
      <c r="DO63" s="486"/>
      <c r="DP63" s="1"/>
    </row>
    <row r="64" spans="1:120" s="75" customFormat="1" ht="13.5" customHeight="1" x14ac:dyDescent="0.2">
      <c r="B64" s="1345" t="str">
        <f t="shared" si="33"/>
        <v>Inner rows, from 5th row from north</v>
      </c>
      <c r="C64" s="1346" t="e">
        <f t="shared" si="33"/>
        <v>#REF!</v>
      </c>
      <c r="D64" s="1347" t="e">
        <f t="shared" si="33"/>
        <v>#REF!</v>
      </c>
      <c r="E64" s="479" t="str">
        <f t="shared" si="33"/>
        <v>1st-10th module</v>
      </c>
      <c r="F64" s="405"/>
      <c r="G64" s="406"/>
      <c r="H64" s="181">
        <f ca="1">(-'int. presets cp_5d+wd'!J30*COS($F$18*PI()/180)*$F$21-'int. presets cp_5d+wd'!J39*COS($I$18*PI()/180)*$I$21)*$F$47*$C$25*1000/9.81/$I$47*$D$101*'int. presets cp_5d+wd'!$J$246-$H$47/$I$47*$C$20*$F$21</f>
        <v>27.333372126513243</v>
      </c>
      <c r="I64" s="75">
        <f ca="1">(SQRT(((-'int. presets cp_5d+wd'!E30*SIN($F$18*PI()/180)*$F$21+'int. presets cp_5d+wd'!E39*SIN($I$18*PI()/180)*$I$21)*$C$25*1000)^2+(0.001*$C$25*1000*$F$21)^2)/$C$30+(-'int. presets cp_5d+wd'!E30*COS($F$18*PI()/180)*$F$21-'int. presets cp_5d+wd'!E39*COS($I$18*PI()/180)*$I$21)*$C$25*1000)/9.81*$G$47/$I$47*$F$101*'int. presets cp_5d+wd'!$E$246-$H$47/$I$47*$C$20*$F$21</f>
        <v>33.341957301613476</v>
      </c>
      <c r="J64" s="996">
        <f t="shared" ca="1" si="34"/>
        <v>33.341957301613476</v>
      </c>
      <c r="K64" s="1073">
        <f t="shared" ca="1" si="24"/>
        <v>73.506345906283101</v>
      </c>
      <c r="L64" s="118"/>
      <c r="M64" s="153"/>
      <c r="N64" s="20"/>
      <c r="O64" s="1549"/>
      <c r="P64" s="1550"/>
      <c r="Q64" s="1304"/>
      <c r="R64" s="1253"/>
      <c r="S64" s="1253"/>
      <c r="T64" s="1253"/>
      <c r="U64" s="1254"/>
      <c r="V64" s="1252"/>
      <c r="W64" s="1253"/>
      <c r="X64" s="1253"/>
      <c r="Y64" s="1253"/>
      <c r="Z64" s="1254"/>
      <c r="AA64" s="1243"/>
      <c r="AB64" s="1244"/>
      <c r="AC64" s="1244"/>
      <c r="AD64" s="1244"/>
      <c r="AE64" s="1245"/>
      <c r="AF64" s="1279"/>
      <c r="AG64" s="1280"/>
      <c r="AH64" s="1280"/>
      <c r="AI64" s="1280"/>
      <c r="AJ64" s="1281"/>
      <c r="AK64" s="1288"/>
      <c r="AL64" s="1289"/>
      <c r="AM64" s="1289"/>
      <c r="AN64" s="1289"/>
      <c r="AO64" s="1290"/>
      <c r="AP64" s="1297"/>
      <c r="AQ64" s="1298"/>
      <c r="AR64" s="1298"/>
      <c r="AS64" s="1298"/>
      <c r="AT64" s="1299"/>
      <c r="AU64" s="1489"/>
      <c r="AV64" s="1490"/>
      <c r="AW64" s="1490"/>
      <c r="AX64" s="1490"/>
      <c r="AY64" s="1491"/>
      <c r="AZ64" s="1270"/>
      <c r="BA64" s="1271"/>
      <c r="BB64" s="1271"/>
      <c r="BC64" s="1271"/>
      <c r="BD64" s="1272"/>
      <c r="BE64" s="1261"/>
      <c r="BF64" s="1262"/>
      <c r="BG64" s="1262"/>
      <c r="BH64" s="1262"/>
      <c r="BI64" s="1263"/>
      <c r="BJ64" s="1549"/>
      <c r="BK64" s="1550"/>
      <c r="BL64" s="361"/>
      <c r="BM64" s="486"/>
      <c r="BN64" s="1"/>
      <c r="BO64" s="153"/>
      <c r="BP64" s="20"/>
      <c r="BQ64" s="1549"/>
      <c r="BR64" s="1550"/>
      <c r="BS64" s="1777"/>
      <c r="BT64" s="1778"/>
      <c r="BU64" s="1778"/>
      <c r="BV64" s="1778"/>
      <c r="BW64" s="1778"/>
      <c r="BX64" s="1779"/>
      <c r="BY64" s="1779"/>
      <c r="BZ64" s="1779"/>
      <c r="CA64" s="1779"/>
      <c r="CB64" s="1779"/>
      <c r="CC64" s="1744"/>
      <c r="CD64" s="1744"/>
      <c r="CE64" s="1744"/>
      <c r="CF64" s="1744"/>
      <c r="CG64" s="1744"/>
      <c r="CH64" s="1745"/>
      <c r="CI64" s="1745"/>
      <c r="CJ64" s="1745"/>
      <c r="CK64" s="1745"/>
      <c r="CL64" s="1745"/>
      <c r="CM64" s="1754"/>
      <c r="CN64" s="1754"/>
      <c r="CO64" s="1754"/>
      <c r="CP64" s="1754"/>
      <c r="CQ64" s="1754"/>
      <c r="CR64" s="1756"/>
      <c r="CS64" s="1756"/>
      <c r="CT64" s="1756"/>
      <c r="CU64" s="1756"/>
      <c r="CV64" s="1756"/>
      <c r="CW64" s="1747"/>
      <c r="CX64" s="1747"/>
      <c r="CY64" s="1747"/>
      <c r="CZ64" s="1747"/>
      <c r="DA64" s="1747"/>
      <c r="DB64" s="1749"/>
      <c r="DC64" s="1749"/>
      <c r="DD64" s="1749"/>
      <c r="DE64" s="1749"/>
      <c r="DF64" s="1749"/>
      <c r="DG64" s="1749"/>
      <c r="DH64" s="1749"/>
      <c r="DI64" s="1749"/>
      <c r="DJ64" s="1749"/>
      <c r="DK64" s="1751"/>
      <c r="DL64" s="1549"/>
      <c r="DM64" s="1550"/>
      <c r="DN64" s="361"/>
      <c r="DO64" s="486"/>
      <c r="DP64" s="1"/>
    </row>
    <row r="65" spans="2:120" s="75" customFormat="1" ht="13.5" customHeight="1" thickBot="1" x14ac:dyDescent="0.25">
      <c r="B65" s="1348" t="e">
        <f t="shared" si="33"/>
        <v>#REF!</v>
      </c>
      <c r="C65" s="1349" t="e">
        <f t="shared" si="33"/>
        <v>#REF!</v>
      </c>
      <c r="D65" s="1350" t="e">
        <f t="shared" si="33"/>
        <v>#REF!</v>
      </c>
      <c r="E65" s="481" t="str">
        <f t="shared" si="33"/>
        <v>Interior modules</v>
      </c>
      <c r="F65" s="405"/>
      <c r="G65" s="406"/>
      <c r="H65" s="199">
        <f ca="1">(-'int. presets cp_5d+wd'!J31*COS($F$18*PI()/180)*$F$21-'int. presets cp_5d+wd'!J40*COS($I$18*PI()/180)*$I$21)*$F$47*$C$25*1000/9.81/$I$47*$D$101*'int. presets cp_5d+wd'!$J$246-$H$47/$I$47*$C$20*$F$21</f>
        <v>27.256719957244773</v>
      </c>
      <c r="I65" s="936">
        <f ca="1">(SQRT(((-'int. presets cp_5d+wd'!E31*SIN($F$18*PI()/180)*$F$21+'int. presets cp_5d+wd'!E40*SIN($I$18*PI()/180)*$I$21)*$C$25*1000)^2+(0.001*$C$25*1000*$F$21)^2)/$C$30+(-'int. presets cp_5d+wd'!E31*COS($F$18*PI()/180)*$F$21-'int. presets cp_5d+wd'!E40*COS($I$18*PI()/180)*$I$21)*$C$25*1000)/9.81*$G$47/$I$47*$F$101*'int. presets cp_5d+wd'!$E$246-$H$47/$I$47*$C$20*$F$21</f>
        <v>35.742046495895323</v>
      </c>
      <c r="J65" s="995">
        <f t="shared" ca="1" si="34"/>
        <v>35.742046495895323</v>
      </c>
      <c r="K65" s="1072">
        <f t="shared" ca="1" si="24"/>
        <v>78.797630545780734</v>
      </c>
      <c r="L65" s="118"/>
      <c r="M65" s="153"/>
      <c r="N65" s="20"/>
      <c r="O65" s="1549"/>
      <c r="P65" s="1550"/>
      <c r="Q65" s="1305"/>
      <c r="R65" s="1256"/>
      <c r="S65" s="1256"/>
      <c r="T65" s="1256"/>
      <c r="U65" s="1257"/>
      <c r="V65" s="1255"/>
      <c r="W65" s="1256"/>
      <c r="X65" s="1256"/>
      <c r="Y65" s="1256"/>
      <c r="Z65" s="1257"/>
      <c r="AA65" s="1246"/>
      <c r="AB65" s="1247"/>
      <c r="AC65" s="1247"/>
      <c r="AD65" s="1247"/>
      <c r="AE65" s="1248"/>
      <c r="AF65" s="1282"/>
      <c r="AG65" s="1283"/>
      <c r="AH65" s="1283"/>
      <c r="AI65" s="1283"/>
      <c r="AJ65" s="1284"/>
      <c r="AK65" s="1291"/>
      <c r="AL65" s="1292"/>
      <c r="AM65" s="1292"/>
      <c r="AN65" s="1292"/>
      <c r="AO65" s="1293"/>
      <c r="AP65" s="1300"/>
      <c r="AQ65" s="1301"/>
      <c r="AR65" s="1301"/>
      <c r="AS65" s="1301"/>
      <c r="AT65" s="1302"/>
      <c r="AU65" s="1492"/>
      <c r="AV65" s="1493"/>
      <c r="AW65" s="1493"/>
      <c r="AX65" s="1493"/>
      <c r="AY65" s="1494"/>
      <c r="AZ65" s="1273"/>
      <c r="BA65" s="1274"/>
      <c r="BB65" s="1274"/>
      <c r="BC65" s="1274"/>
      <c r="BD65" s="1275"/>
      <c r="BE65" s="1264"/>
      <c r="BF65" s="1265"/>
      <c r="BG65" s="1265"/>
      <c r="BH65" s="1265"/>
      <c r="BI65" s="1266"/>
      <c r="BJ65" s="1549"/>
      <c r="BK65" s="1550"/>
      <c r="BL65" s="361"/>
      <c r="BM65" s="486"/>
      <c r="BN65" s="1"/>
      <c r="BO65" s="153"/>
      <c r="BP65" s="20"/>
      <c r="BQ65" s="1549"/>
      <c r="BR65" s="1550"/>
      <c r="BS65" s="1777"/>
      <c r="BT65" s="1778"/>
      <c r="BU65" s="1778"/>
      <c r="BV65" s="1778"/>
      <c r="BW65" s="1778"/>
      <c r="BX65" s="1779"/>
      <c r="BY65" s="1779"/>
      <c r="BZ65" s="1779"/>
      <c r="CA65" s="1779"/>
      <c r="CB65" s="1779"/>
      <c r="CC65" s="1744"/>
      <c r="CD65" s="1744"/>
      <c r="CE65" s="1744"/>
      <c r="CF65" s="1744"/>
      <c r="CG65" s="1744"/>
      <c r="CH65" s="1745"/>
      <c r="CI65" s="1745"/>
      <c r="CJ65" s="1745"/>
      <c r="CK65" s="1745"/>
      <c r="CL65" s="1745"/>
      <c r="CM65" s="1754"/>
      <c r="CN65" s="1754"/>
      <c r="CO65" s="1754"/>
      <c r="CP65" s="1754"/>
      <c r="CQ65" s="1754"/>
      <c r="CR65" s="1756"/>
      <c r="CS65" s="1756"/>
      <c r="CT65" s="1756"/>
      <c r="CU65" s="1756"/>
      <c r="CV65" s="1756"/>
      <c r="CW65" s="1747"/>
      <c r="CX65" s="1747"/>
      <c r="CY65" s="1747"/>
      <c r="CZ65" s="1747"/>
      <c r="DA65" s="1747"/>
      <c r="DB65" s="1749"/>
      <c r="DC65" s="1749"/>
      <c r="DD65" s="1749"/>
      <c r="DE65" s="1749"/>
      <c r="DF65" s="1749"/>
      <c r="DG65" s="1749"/>
      <c r="DH65" s="1749"/>
      <c r="DI65" s="1749"/>
      <c r="DJ65" s="1749"/>
      <c r="DK65" s="1751"/>
      <c r="DL65" s="1549"/>
      <c r="DM65" s="1550"/>
      <c r="DN65" s="361"/>
      <c r="DO65" s="486"/>
      <c r="DP65" s="1"/>
    </row>
    <row r="66" spans="2:120" s="75" customFormat="1" ht="13.5" customHeight="1" x14ac:dyDescent="0.2">
      <c r="B66" s="1345" t="str">
        <f t="shared" si="33"/>
        <v>South row</v>
      </c>
      <c r="C66" s="1346" t="e">
        <f t="shared" si="33"/>
        <v>#REF!</v>
      </c>
      <c r="D66" s="1347" t="e">
        <f t="shared" si="33"/>
        <v>#REF!</v>
      </c>
      <c r="E66" s="479" t="str">
        <f t="shared" si="33"/>
        <v>1st-10th module</v>
      </c>
      <c r="F66" s="405"/>
      <c r="G66" s="406"/>
      <c r="H66" s="181">
        <f ca="1">(-'int. presets cp_5d+wd'!J32*COS($F$18*PI()/180)*$F$21-'int. presets cp_5d+wd'!J41*COS($I$18*PI()/180)*$I$21)*$F$47*$C$25*1000/9.81/$I$47*$D$101*'int. presets cp_5d+wd'!$J$246-$H$47/$I$47*$C$20*$F$21</f>
        <v>27.115758500767452</v>
      </c>
      <c r="I66" s="75">
        <f ca="1">(SQRT(((-'int. presets cp_5d+wd'!E32*SIN($F$18*PI()/180)*$F$21+'int. presets cp_5d+wd'!E41*SIN($I$18*PI()/180)*$I$21)*$C$25*1000)^2+(0.001*$C$25*1000*$F$21)^2)/$C$30+(-'int. presets cp_5d+wd'!E32*COS($F$18*PI()/180)*$F$21-'int. presets cp_5d+wd'!E41*COS($I$18*PI()/180)*$I$21)*$C$25*1000)/9.81*$G$47/$I$47*$F$101*'int. presets cp_5d+wd'!$E$246-$H$47/$I$47*$C$20*$F$21</f>
        <v>32.801757927162924</v>
      </c>
      <c r="J66" s="996">
        <f t="shared" ca="1" si="34"/>
        <v>32.801757927162924</v>
      </c>
      <c r="K66" s="1073">
        <f t="shared" ca="1" si="24"/>
        <v>72.315411561381922</v>
      </c>
      <c r="L66" s="118"/>
      <c r="M66" s="153"/>
      <c r="N66" s="20"/>
      <c r="O66" s="1549"/>
      <c r="P66" s="1550"/>
      <c r="Q66" s="1303" t="str">
        <f>V66</f>
        <v>South row
Interior modules</v>
      </c>
      <c r="R66" s="1250"/>
      <c r="S66" s="1250"/>
      <c r="T66" s="1250"/>
      <c r="U66" s="1251"/>
      <c r="V66" s="1249" t="str">
        <f>CONCATENATE(B93,CHAR(10),E94)</f>
        <v>South row
Interior modules</v>
      </c>
      <c r="W66" s="1805"/>
      <c r="X66" s="1805"/>
      <c r="Y66" s="1805"/>
      <c r="Z66" s="1806"/>
      <c r="AA66" s="1240" t="str">
        <f>CONCATENATE(B93,CHAR(10),E93)</f>
        <v>South row
1st-10th module</v>
      </c>
      <c r="AB66" s="1241"/>
      <c r="AC66" s="1241"/>
      <c r="AD66" s="1241"/>
      <c r="AE66" s="1242"/>
      <c r="AF66" s="1276" t="str">
        <f>CONCATENATE(B84,CHAR(10),E85)</f>
        <v>South row
Interior modules</v>
      </c>
      <c r="AG66" s="1815"/>
      <c r="AH66" s="1815"/>
      <c r="AI66" s="1815"/>
      <c r="AJ66" s="1816"/>
      <c r="AK66" s="1285" t="str">
        <f>CONCATENATE(B84,CHAR(10),E84)</f>
        <v>South row
1st-10th module</v>
      </c>
      <c r="AL66" s="1286"/>
      <c r="AM66" s="1286"/>
      <c r="AN66" s="1286"/>
      <c r="AO66" s="1287"/>
      <c r="AP66" s="1294" t="str">
        <f>CONCATENATE(B75,CHAR(10),E76)</f>
        <v>South row
Interior modules</v>
      </c>
      <c r="AQ66" s="1295"/>
      <c r="AR66" s="1295"/>
      <c r="AS66" s="1295"/>
      <c r="AT66" s="1296"/>
      <c r="AU66" s="1486" t="str">
        <f>CONCATENATE(B75,CHAR(10),E75)</f>
        <v>South row
1st-10th module</v>
      </c>
      <c r="AV66" s="1827"/>
      <c r="AW66" s="1827"/>
      <c r="AX66" s="1827"/>
      <c r="AY66" s="1828"/>
      <c r="AZ66" s="1267" t="str">
        <f>CONCATENATE(B66,CHAR(10),E67)</f>
        <v>South row
Interior modules</v>
      </c>
      <c r="BA66" s="1268"/>
      <c r="BB66" s="1268"/>
      <c r="BC66" s="1268"/>
      <c r="BD66" s="1269"/>
      <c r="BE66" s="1258" t="str">
        <f>CONCATENATE(B66,CHAR(10),E66)</f>
        <v>South row
1st-10th module</v>
      </c>
      <c r="BF66" s="1259"/>
      <c r="BG66" s="1259"/>
      <c r="BH66" s="1259"/>
      <c r="BI66" s="1260"/>
      <c r="BJ66" s="1549"/>
      <c r="BK66" s="1550"/>
      <c r="BL66" s="361"/>
      <c r="BM66" s="486"/>
      <c r="BN66" s="1"/>
      <c r="BO66" s="153"/>
      <c r="BP66" s="20"/>
      <c r="BQ66" s="1549"/>
      <c r="BR66" s="1550"/>
      <c r="BS66" s="1777" t="str">
        <f t="shared" ref="BS66" si="53">BE66</f>
        <v>South row
1st-10th module</v>
      </c>
      <c r="BT66" s="1778"/>
      <c r="BU66" s="1778"/>
      <c r="BV66" s="1778"/>
      <c r="BW66" s="1778"/>
      <c r="BX66" s="1779" t="str">
        <f t="shared" ref="BX66" si="54">AZ66</f>
        <v>South row
Interior modules</v>
      </c>
      <c r="BY66" s="1779"/>
      <c r="BZ66" s="1779"/>
      <c r="CA66" s="1779"/>
      <c r="CB66" s="1779"/>
      <c r="CC66" s="1744" t="str">
        <f t="shared" ref="CC66" si="55">AU66</f>
        <v>South row
1st-10th module</v>
      </c>
      <c r="CD66" s="1800"/>
      <c r="CE66" s="1800"/>
      <c r="CF66" s="1800"/>
      <c r="CG66" s="1800"/>
      <c r="CH66" s="1745" t="str">
        <f t="shared" ref="CH66" si="56">AP66</f>
        <v>South row
Interior modules</v>
      </c>
      <c r="CI66" s="1745"/>
      <c r="CJ66" s="1745"/>
      <c r="CK66" s="1745"/>
      <c r="CL66" s="1745"/>
      <c r="CM66" s="1754" t="str">
        <f t="shared" ref="CM66" si="57">AK66</f>
        <v>South row
1st-10th module</v>
      </c>
      <c r="CN66" s="1754"/>
      <c r="CO66" s="1754"/>
      <c r="CP66" s="1754"/>
      <c r="CQ66" s="1754"/>
      <c r="CR66" s="1756" t="str">
        <f t="shared" ref="CR66" si="58">AF66</f>
        <v>South row
Interior modules</v>
      </c>
      <c r="CS66" s="1756"/>
      <c r="CT66" s="1756"/>
      <c r="CU66" s="1756"/>
      <c r="CV66" s="1756"/>
      <c r="CW66" s="1747" t="str">
        <f t="shared" ref="CW66" si="59">AA66</f>
        <v>South row
1st-10th module</v>
      </c>
      <c r="CX66" s="1747"/>
      <c r="CY66" s="1747"/>
      <c r="CZ66" s="1747"/>
      <c r="DA66" s="1747"/>
      <c r="DB66" s="1749" t="str">
        <f t="shared" ref="DB66" si="60">V66</f>
        <v>South row
Interior modules</v>
      </c>
      <c r="DC66" s="1749"/>
      <c r="DD66" s="1749"/>
      <c r="DE66" s="1749"/>
      <c r="DF66" s="1749"/>
      <c r="DG66" s="1749" t="str">
        <f t="shared" ref="DG66" si="61">Q66</f>
        <v>South row
Interior modules</v>
      </c>
      <c r="DH66" s="1790"/>
      <c r="DI66" s="1790"/>
      <c r="DJ66" s="1790"/>
      <c r="DK66" s="1791"/>
      <c r="DL66" s="1549"/>
      <c r="DM66" s="1550"/>
      <c r="DN66" s="361"/>
      <c r="DO66" s="486"/>
      <c r="DP66" s="1"/>
    </row>
    <row r="67" spans="2:120" s="75" customFormat="1" ht="13.5" customHeight="1" thickBot="1" x14ac:dyDescent="0.25">
      <c r="B67" s="1783" t="e">
        <f t="shared" si="33"/>
        <v>#REF!</v>
      </c>
      <c r="C67" s="1784" t="e">
        <f t="shared" si="33"/>
        <v>#REF!</v>
      </c>
      <c r="D67" s="1785" t="e">
        <f t="shared" si="33"/>
        <v>#REF!</v>
      </c>
      <c r="E67" s="989" t="str">
        <f t="shared" si="33"/>
        <v>Interior modules</v>
      </c>
      <c r="F67" s="405"/>
      <c r="G67" s="406"/>
      <c r="H67" s="161">
        <f ca="1">(-'int. presets cp_5d+wd'!J33*COS($F$18*PI()/180)*$F$21-'int. presets cp_5d+wd'!J42*COS($I$18*PI()/180)*$I$21)*$F$47*$C$25*1000/9.81/$I$47*$D$101*'int. presets cp_5d+wd'!$J$246-$H$47/$I$47*$C$20*$F$21</f>
        <v>22.846250497008153</v>
      </c>
      <c r="I67" s="991">
        <f ca="1">(SQRT(((-'int. presets cp_5d+wd'!E33*SIN($F$18*PI()/180)*$F$21+'int. presets cp_5d+wd'!E42*SIN($I$18*PI()/180)*$I$21)*$C$25*1000)^2+(0.001*$C$25*1000*$F$21)^2)/$C$30+(-'int. presets cp_5d+wd'!E33*COS($F$18*PI()/180)*$F$21-'int. presets cp_5d+wd'!E42*COS($I$18*PI()/180)*$I$21)*$C$25*1000)/9.81*$G$47/$I$47*$F$101*'int. presets cp_5d+wd'!$E$246-$H$47/$I$47*$C$20*$F$21</f>
        <v>33.617882160356444</v>
      </c>
      <c r="J67" s="998">
        <f t="shared" ca="1" si="34"/>
        <v>33.617882160356444</v>
      </c>
      <c r="K67" s="1072">
        <f t="shared" ca="1" si="24"/>
        <v>74.114655368365021</v>
      </c>
      <c r="L67" s="118"/>
      <c r="M67" s="153"/>
      <c r="N67" s="20"/>
      <c r="O67" s="1549"/>
      <c r="P67" s="1550"/>
      <c r="Q67" s="1304"/>
      <c r="R67" s="1253"/>
      <c r="S67" s="1253"/>
      <c r="T67" s="1253"/>
      <c r="U67" s="1254"/>
      <c r="V67" s="1807"/>
      <c r="W67" s="1808"/>
      <c r="X67" s="1808"/>
      <c r="Y67" s="1808"/>
      <c r="Z67" s="1809"/>
      <c r="AA67" s="1243"/>
      <c r="AB67" s="1244"/>
      <c r="AC67" s="1244"/>
      <c r="AD67" s="1244"/>
      <c r="AE67" s="1245"/>
      <c r="AF67" s="1817"/>
      <c r="AG67" s="1818"/>
      <c r="AH67" s="1818"/>
      <c r="AI67" s="1818"/>
      <c r="AJ67" s="1819"/>
      <c r="AK67" s="1288"/>
      <c r="AL67" s="1289"/>
      <c r="AM67" s="1289"/>
      <c r="AN67" s="1289"/>
      <c r="AO67" s="1290"/>
      <c r="AP67" s="1297"/>
      <c r="AQ67" s="1298"/>
      <c r="AR67" s="1298"/>
      <c r="AS67" s="1298"/>
      <c r="AT67" s="1299"/>
      <c r="AU67" s="1829"/>
      <c r="AV67" s="1830"/>
      <c r="AW67" s="1830"/>
      <c r="AX67" s="1830"/>
      <c r="AY67" s="1831"/>
      <c r="AZ67" s="1270"/>
      <c r="BA67" s="1271"/>
      <c r="BB67" s="1271"/>
      <c r="BC67" s="1271"/>
      <c r="BD67" s="1272"/>
      <c r="BE67" s="1261"/>
      <c r="BF67" s="1262"/>
      <c r="BG67" s="1262"/>
      <c r="BH67" s="1262"/>
      <c r="BI67" s="1263"/>
      <c r="BJ67" s="1549"/>
      <c r="BK67" s="1550"/>
      <c r="BL67" s="361"/>
      <c r="BM67" s="486"/>
      <c r="BN67" s="1"/>
      <c r="BO67" s="153"/>
      <c r="BP67" s="20"/>
      <c r="BQ67" s="1549"/>
      <c r="BR67" s="1550"/>
      <c r="BS67" s="1777"/>
      <c r="BT67" s="1778"/>
      <c r="BU67" s="1778"/>
      <c r="BV67" s="1778"/>
      <c r="BW67" s="1778"/>
      <c r="BX67" s="1779"/>
      <c r="BY67" s="1779"/>
      <c r="BZ67" s="1779"/>
      <c r="CA67" s="1779"/>
      <c r="CB67" s="1779"/>
      <c r="CC67" s="1800"/>
      <c r="CD67" s="1800"/>
      <c r="CE67" s="1800"/>
      <c r="CF67" s="1800"/>
      <c r="CG67" s="1800"/>
      <c r="CH67" s="1745"/>
      <c r="CI67" s="1745"/>
      <c r="CJ67" s="1745"/>
      <c r="CK67" s="1745"/>
      <c r="CL67" s="1745"/>
      <c r="CM67" s="1754"/>
      <c r="CN67" s="1754"/>
      <c r="CO67" s="1754"/>
      <c r="CP67" s="1754"/>
      <c r="CQ67" s="1754"/>
      <c r="CR67" s="1756"/>
      <c r="CS67" s="1756"/>
      <c r="CT67" s="1756"/>
      <c r="CU67" s="1756"/>
      <c r="CV67" s="1756"/>
      <c r="CW67" s="1747"/>
      <c r="CX67" s="1747"/>
      <c r="CY67" s="1747"/>
      <c r="CZ67" s="1747"/>
      <c r="DA67" s="1747"/>
      <c r="DB67" s="1749"/>
      <c r="DC67" s="1749"/>
      <c r="DD67" s="1749"/>
      <c r="DE67" s="1749"/>
      <c r="DF67" s="1749"/>
      <c r="DG67" s="1790"/>
      <c r="DH67" s="1790"/>
      <c r="DI67" s="1790"/>
      <c r="DJ67" s="1790"/>
      <c r="DK67" s="1791"/>
      <c r="DL67" s="1549"/>
      <c r="DM67" s="1550"/>
      <c r="DN67" s="361"/>
      <c r="DO67" s="486"/>
      <c r="DP67" s="1"/>
    </row>
    <row r="68" spans="2:120" s="75" customFormat="1" ht="13.5" customHeight="1" thickTop="1" thickBot="1" x14ac:dyDescent="0.25">
      <c r="B68" s="1380" t="str">
        <f>'int. presets cp_5d+wd'!F24</f>
        <v>Roof position 3</v>
      </c>
      <c r="C68" s="1381"/>
      <c r="D68" s="1381"/>
      <c r="E68" s="1381"/>
      <c r="F68" s="1381"/>
      <c r="G68" s="1381"/>
      <c r="H68" s="1381"/>
      <c r="I68" s="1381"/>
      <c r="J68" s="1382"/>
      <c r="K68" s="1067"/>
      <c r="L68" s="118"/>
      <c r="M68" s="492"/>
      <c r="N68" s="20"/>
      <c r="O68" s="1551"/>
      <c r="P68" s="1552"/>
      <c r="Q68" s="1316"/>
      <c r="R68" s="1803"/>
      <c r="S68" s="1803"/>
      <c r="T68" s="1803"/>
      <c r="U68" s="1804"/>
      <c r="V68" s="1810"/>
      <c r="W68" s="1811"/>
      <c r="X68" s="1811"/>
      <c r="Y68" s="1811"/>
      <c r="Z68" s="1812"/>
      <c r="AA68" s="1560"/>
      <c r="AB68" s="1813"/>
      <c r="AC68" s="1813"/>
      <c r="AD68" s="1813"/>
      <c r="AE68" s="1814"/>
      <c r="AF68" s="1820"/>
      <c r="AG68" s="1821"/>
      <c r="AH68" s="1821"/>
      <c r="AI68" s="1821"/>
      <c r="AJ68" s="1822"/>
      <c r="AK68" s="1325"/>
      <c r="AL68" s="1823"/>
      <c r="AM68" s="1823"/>
      <c r="AN68" s="1823"/>
      <c r="AO68" s="1824"/>
      <c r="AP68" s="1357"/>
      <c r="AQ68" s="1825"/>
      <c r="AR68" s="1825"/>
      <c r="AS68" s="1825"/>
      <c r="AT68" s="1826"/>
      <c r="AU68" s="1832"/>
      <c r="AV68" s="1833"/>
      <c r="AW68" s="1833"/>
      <c r="AX68" s="1833"/>
      <c r="AY68" s="1834"/>
      <c r="AZ68" s="1611"/>
      <c r="BA68" s="1794"/>
      <c r="BB68" s="1794"/>
      <c r="BC68" s="1794"/>
      <c r="BD68" s="1795"/>
      <c r="BE68" s="1626"/>
      <c r="BF68" s="1796"/>
      <c r="BG68" s="1796"/>
      <c r="BH68" s="1796"/>
      <c r="BI68" s="1628"/>
      <c r="BJ68" s="1551"/>
      <c r="BK68" s="1552"/>
      <c r="BL68" s="361"/>
      <c r="BM68" s="486"/>
      <c r="BO68" s="492"/>
      <c r="BP68" s="20"/>
      <c r="BQ68" s="1551"/>
      <c r="BR68" s="1552"/>
      <c r="BS68" s="1797"/>
      <c r="BT68" s="1798"/>
      <c r="BU68" s="1798"/>
      <c r="BV68" s="1798"/>
      <c r="BW68" s="1798"/>
      <c r="BX68" s="1799"/>
      <c r="BY68" s="1799"/>
      <c r="BZ68" s="1799"/>
      <c r="CA68" s="1799"/>
      <c r="CB68" s="1799"/>
      <c r="CC68" s="1801"/>
      <c r="CD68" s="1801"/>
      <c r="CE68" s="1801"/>
      <c r="CF68" s="1801"/>
      <c r="CG68" s="1801"/>
      <c r="CH68" s="1802"/>
      <c r="CI68" s="1802"/>
      <c r="CJ68" s="1802"/>
      <c r="CK68" s="1802"/>
      <c r="CL68" s="1802"/>
      <c r="CM68" s="1786"/>
      <c r="CN68" s="1786"/>
      <c r="CO68" s="1786"/>
      <c r="CP68" s="1786"/>
      <c r="CQ68" s="1786"/>
      <c r="CR68" s="1787"/>
      <c r="CS68" s="1787"/>
      <c r="CT68" s="1787"/>
      <c r="CU68" s="1787"/>
      <c r="CV68" s="1787"/>
      <c r="CW68" s="1788"/>
      <c r="CX68" s="1788"/>
      <c r="CY68" s="1788"/>
      <c r="CZ68" s="1788"/>
      <c r="DA68" s="1788"/>
      <c r="DB68" s="1789"/>
      <c r="DC68" s="1789"/>
      <c r="DD68" s="1789"/>
      <c r="DE68" s="1789"/>
      <c r="DF68" s="1789"/>
      <c r="DG68" s="1792"/>
      <c r="DH68" s="1792"/>
      <c r="DI68" s="1792"/>
      <c r="DJ68" s="1792"/>
      <c r="DK68" s="1793"/>
      <c r="DL68" s="1551"/>
      <c r="DM68" s="1552"/>
      <c r="DN68" s="361"/>
      <c r="DO68" s="486"/>
    </row>
    <row r="69" spans="2:120" s="75" customFormat="1" ht="13.5" customHeight="1" thickTop="1" x14ac:dyDescent="0.2">
      <c r="B69" s="1783" t="str">
        <f t="shared" ref="B69:E76" si="62">B51</f>
        <v>North row</v>
      </c>
      <c r="C69" s="1784">
        <f t="shared" si="62"/>
        <v>0</v>
      </c>
      <c r="D69" s="1785">
        <f t="shared" si="62"/>
        <v>0</v>
      </c>
      <c r="E69" s="350" t="str">
        <f t="shared" si="62"/>
        <v>1st-10th module</v>
      </c>
      <c r="F69" s="539"/>
      <c r="G69" s="657"/>
      <c r="H69" s="540">
        <f ca="1">(-'int. presets cp_5d+wd'!K26*COS($F$18*PI()/180)*$F$21-'int. presets cp_5d+wd'!K35*COS($I$18*PI()/180)*$I$21)*$F$47*$C$25*1000/9.81/$I$47*$D$101*'int. presets cp_5d+wd'!$K$246-$H$47/$I$47*$C$20*$F$21</f>
        <v>40.964745223758158</v>
      </c>
      <c r="I69" s="75">
        <f ca="1">(SQRT(((-'int. presets cp_5d+wd'!F26*SIN($F$18*PI()/180)*$F$21+'int. presets cp_5d+wd'!F35*SIN($I$18*PI()/180)*$I$21)*$C$25*1000)^2+(0.001*$C$25*1000*$F$21)^2)/$C$30+(-'int. presets cp_5d+wd'!F26*COS($F$18*PI()/180)*$F$21-'int. presets cp_5d+wd'!F35*COS($I$18*PI()/180)*$I$21)*$C$25*1000)/9.81*$G$47/$I$47*$F$101*'int. presets cp_5d+wd'!$F$246-$H$47/$I$47*$C$20*$F$21</f>
        <v>34.445302691088145</v>
      </c>
      <c r="J69" s="994">
        <f t="shared" ref="J69:J76" ca="1" si="63">MAX(H69,I69)</f>
        <v>40.964745223758158</v>
      </c>
      <c r="K69" s="1071">
        <f t="shared" ca="1" si="24"/>
        <v>90.311696615201697</v>
      </c>
      <c r="L69" s="118"/>
      <c r="M69" s="1841" t="str">
        <f>M27</f>
        <v>setback a</v>
      </c>
      <c r="N69" s="19"/>
      <c r="O69" s="369"/>
      <c r="P69" s="179"/>
      <c r="Q69" s="1319" t="s">
        <v>449</v>
      </c>
      <c r="R69" s="1320"/>
      <c r="S69" s="1320"/>
      <c r="T69" s="1320"/>
      <c r="U69" s="1320"/>
      <c r="V69" s="1320"/>
      <c r="W69" s="1320"/>
      <c r="X69" s="1320"/>
      <c r="Y69" s="1320"/>
      <c r="Z69" s="1320"/>
      <c r="AA69" s="1320"/>
      <c r="AB69" s="1320"/>
      <c r="AC69" s="1320"/>
      <c r="AD69" s="1320"/>
      <c r="AE69" s="1320"/>
      <c r="AF69" s="1320"/>
      <c r="AG69" s="1320"/>
      <c r="AH69" s="1320"/>
      <c r="AI69" s="1320"/>
      <c r="AJ69" s="1320"/>
      <c r="AK69" s="1320"/>
      <c r="AL69" s="1320"/>
      <c r="AM69" s="1320"/>
      <c r="AN69" s="1320"/>
      <c r="AO69" s="1320"/>
      <c r="AP69" s="1320"/>
      <c r="AQ69" s="1320"/>
      <c r="AR69" s="1320"/>
      <c r="AS69" s="1320"/>
      <c r="AT69" s="1320"/>
      <c r="AU69" s="1320"/>
      <c r="AV69" s="1320"/>
      <c r="AW69" s="1320"/>
      <c r="AX69" s="1320"/>
      <c r="AY69" s="1320"/>
      <c r="AZ69" s="1320"/>
      <c r="BA69" s="1320"/>
      <c r="BB69" s="1320"/>
      <c r="BC69" s="1320"/>
      <c r="BD69" s="1320"/>
      <c r="BE69" s="1320"/>
      <c r="BF69" s="1320"/>
      <c r="BG69" s="1320"/>
      <c r="BH69" s="1320"/>
      <c r="BI69" s="1321"/>
      <c r="BJ69" s="19"/>
      <c r="BK69" s="370"/>
      <c r="BL69" s="361"/>
      <c r="BM69" s="486"/>
      <c r="BO69" s="1841" t="str">
        <f>BO27</f>
        <v>setback a</v>
      </c>
      <c r="BP69" s="19"/>
      <c r="BQ69" s="369"/>
      <c r="BR69" s="179"/>
      <c r="BS69" s="1319" t="s">
        <v>449</v>
      </c>
      <c r="BT69" s="1320"/>
      <c r="BU69" s="1320"/>
      <c r="BV69" s="1320"/>
      <c r="BW69" s="1320"/>
      <c r="BX69" s="1320"/>
      <c r="BY69" s="1320"/>
      <c r="BZ69" s="1320"/>
      <c r="CA69" s="1320"/>
      <c r="CB69" s="1320"/>
      <c r="CC69" s="1320"/>
      <c r="CD69" s="1320"/>
      <c r="CE69" s="1320"/>
      <c r="CF69" s="1320"/>
      <c r="CG69" s="1320"/>
      <c r="CH69" s="1320"/>
      <c r="CI69" s="1320"/>
      <c r="CJ69" s="1320"/>
      <c r="CK69" s="1320"/>
      <c r="CL69" s="1320"/>
      <c r="CM69" s="1320"/>
      <c r="CN69" s="1320"/>
      <c r="CO69" s="1320"/>
      <c r="CP69" s="1320"/>
      <c r="CQ69" s="1320"/>
      <c r="CR69" s="1320"/>
      <c r="CS69" s="1320"/>
      <c r="CT69" s="1320"/>
      <c r="CU69" s="1320"/>
      <c r="CV69" s="1320"/>
      <c r="CW69" s="1320"/>
      <c r="CX69" s="1320"/>
      <c r="CY69" s="1320"/>
      <c r="CZ69" s="1320"/>
      <c r="DA69" s="1320"/>
      <c r="DB69" s="1320"/>
      <c r="DC69" s="1320"/>
      <c r="DD69" s="1320"/>
      <c r="DE69" s="1320"/>
      <c r="DF69" s="1320"/>
      <c r="DG69" s="1320"/>
      <c r="DH69" s="1320"/>
      <c r="DI69" s="1320"/>
      <c r="DJ69" s="1320"/>
      <c r="DK69" s="1321"/>
      <c r="DL69" s="19"/>
      <c r="DM69" s="370"/>
      <c r="DN69" s="361"/>
      <c r="DO69" s="486"/>
    </row>
    <row r="70" spans="2:120" s="75" customFormat="1" ht="13.5" customHeight="1" thickBot="1" x14ac:dyDescent="0.25">
      <c r="B70" s="1348">
        <f t="shared" si="62"/>
        <v>0</v>
      </c>
      <c r="C70" s="1349">
        <f t="shared" si="62"/>
        <v>0</v>
      </c>
      <c r="D70" s="1350">
        <f t="shared" si="62"/>
        <v>0</v>
      </c>
      <c r="E70" s="344" t="str">
        <f t="shared" si="62"/>
        <v>Interior modules</v>
      </c>
      <c r="F70" s="405"/>
      <c r="G70" s="406"/>
      <c r="H70" s="199">
        <f ca="1">(-'int. presets cp_5d+wd'!K27*COS($F$18*PI()/180)*$F$21-'int. presets cp_5d+wd'!K36*COS($I$18*PI()/180)*$I$21)*$F$47*$C$25*1000/9.81/$I$47*$D$101*'int. presets cp_5d+wd'!$K$246-$H$47/$I$47*$C$20*$F$21</f>
        <v>25.332678990204695</v>
      </c>
      <c r="I70" s="936">
        <f ca="1">(SQRT(((-'int. presets cp_5d+wd'!F27*SIN($F$18*PI()/180)*$F$21+'int. presets cp_5d+wd'!F36*SIN($I$18*PI()/180)*$I$21)*$C$25*1000)^2+(0.001*$C$25*1000*$F$21)^2)/$C$30+(-'int. presets cp_5d+wd'!F27*COS($F$18*PI()/180)*$F$21-'int. presets cp_5d+wd'!F36*COS($I$18*PI()/180)*$I$21)*$C$25*1000)/9.81*$G$47/$I$47*$F$101*'int. presets cp_5d+wd'!$F$246-$H$47/$I$47*$C$20*$F$21</f>
        <v>29.961605715798154</v>
      </c>
      <c r="J70" s="995">
        <f t="shared" ca="1" si="63"/>
        <v>29.961605715798154</v>
      </c>
      <c r="K70" s="1072">
        <f t="shared" ca="1" si="24"/>
        <v>66.053955193162921</v>
      </c>
      <c r="L70" s="118"/>
      <c r="M70" s="1842"/>
      <c r="N70" s="19"/>
      <c r="O70" s="371"/>
      <c r="P70" s="372"/>
      <c r="Q70" s="1322"/>
      <c r="R70" s="1739"/>
      <c r="S70" s="1739"/>
      <c r="T70" s="1739"/>
      <c r="U70" s="1739"/>
      <c r="V70" s="1739"/>
      <c r="W70" s="1739"/>
      <c r="X70" s="1739"/>
      <c r="Y70" s="1739"/>
      <c r="Z70" s="1739"/>
      <c r="AA70" s="1739"/>
      <c r="AB70" s="1739"/>
      <c r="AC70" s="1739"/>
      <c r="AD70" s="1739"/>
      <c r="AE70" s="1739"/>
      <c r="AF70" s="1739"/>
      <c r="AG70" s="1739"/>
      <c r="AH70" s="1739"/>
      <c r="AI70" s="1739"/>
      <c r="AJ70" s="1739"/>
      <c r="AK70" s="1739"/>
      <c r="AL70" s="1739"/>
      <c r="AM70" s="1739"/>
      <c r="AN70" s="1739"/>
      <c r="AO70" s="1739"/>
      <c r="AP70" s="1739"/>
      <c r="AQ70" s="1739"/>
      <c r="AR70" s="1739"/>
      <c r="AS70" s="1739"/>
      <c r="AT70" s="1739"/>
      <c r="AU70" s="1739"/>
      <c r="AV70" s="1739"/>
      <c r="AW70" s="1739"/>
      <c r="AX70" s="1739"/>
      <c r="AY70" s="1739"/>
      <c r="AZ70" s="1739"/>
      <c r="BA70" s="1739"/>
      <c r="BB70" s="1739"/>
      <c r="BC70" s="1739"/>
      <c r="BD70" s="1739"/>
      <c r="BE70" s="1739"/>
      <c r="BF70" s="1739"/>
      <c r="BG70" s="1739"/>
      <c r="BH70" s="1739"/>
      <c r="BI70" s="1740"/>
      <c r="BJ70" s="373"/>
      <c r="BK70" s="374"/>
      <c r="BL70" s="362"/>
      <c r="BM70" s="487"/>
      <c r="BO70" s="1842"/>
      <c r="BP70" s="19"/>
      <c r="BQ70" s="371"/>
      <c r="BR70" s="372"/>
      <c r="BS70" s="1322"/>
      <c r="BT70" s="1739"/>
      <c r="BU70" s="1739"/>
      <c r="BV70" s="1739"/>
      <c r="BW70" s="1739"/>
      <c r="BX70" s="1739"/>
      <c r="BY70" s="1739"/>
      <c r="BZ70" s="1739"/>
      <c r="CA70" s="1739"/>
      <c r="CB70" s="1739"/>
      <c r="CC70" s="1739"/>
      <c r="CD70" s="1739"/>
      <c r="CE70" s="1739"/>
      <c r="CF70" s="1739"/>
      <c r="CG70" s="1739"/>
      <c r="CH70" s="1739"/>
      <c r="CI70" s="1739"/>
      <c r="CJ70" s="1739"/>
      <c r="CK70" s="1739"/>
      <c r="CL70" s="1739"/>
      <c r="CM70" s="1739"/>
      <c r="CN70" s="1739"/>
      <c r="CO70" s="1739"/>
      <c r="CP70" s="1739"/>
      <c r="CQ70" s="1739"/>
      <c r="CR70" s="1739"/>
      <c r="CS70" s="1739"/>
      <c r="CT70" s="1739"/>
      <c r="CU70" s="1739"/>
      <c r="CV70" s="1739"/>
      <c r="CW70" s="1739"/>
      <c r="CX70" s="1739"/>
      <c r="CY70" s="1739"/>
      <c r="CZ70" s="1739"/>
      <c r="DA70" s="1739"/>
      <c r="DB70" s="1739"/>
      <c r="DC70" s="1739"/>
      <c r="DD70" s="1739"/>
      <c r="DE70" s="1739"/>
      <c r="DF70" s="1739"/>
      <c r="DG70" s="1739"/>
      <c r="DH70" s="1739"/>
      <c r="DI70" s="1739"/>
      <c r="DJ70" s="1739"/>
      <c r="DK70" s="1740"/>
      <c r="DL70" s="373"/>
      <c r="DM70" s="374"/>
      <c r="DN70" s="362"/>
      <c r="DO70" s="487"/>
    </row>
    <row r="71" spans="2:120" s="75" customFormat="1" ht="13.5" customHeight="1" thickTop="1" x14ac:dyDescent="0.2">
      <c r="B71" s="1345" t="str">
        <f t="shared" si="62"/>
        <v>Inner rows, 2nd to 4th row from north</v>
      </c>
      <c r="C71" s="1346" t="e">
        <f t="shared" si="62"/>
        <v>#REF!</v>
      </c>
      <c r="D71" s="1347" t="e">
        <f t="shared" si="62"/>
        <v>#REF!</v>
      </c>
      <c r="E71" s="348" t="str">
        <f t="shared" si="62"/>
        <v>1st-10th module</v>
      </c>
      <c r="F71" s="405"/>
      <c r="G71" s="406"/>
      <c r="H71" s="181">
        <f ca="1">(-'int. presets cp_5d+wd'!K28*COS($F$18*PI()/180)*$F$21-'int. presets cp_5d+wd'!K37*COS($I$18*PI()/180)*$I$21)*$F$47*$C$25*1000/9.81/$I$47*$D$101*'int. presets cp_5d+wd'!$K$246-$H$47/$I$47*$C$20*$F$21</f>
        <v>35.752844411408972</v>
      </c>
      <c r="I71" s="75">
        <f ca="1">(SQRT(((-'int. presets cp_5d+wd'!F28*SIN($F$18*PI()/180)*$F$21+'int. presets cp_5d+wd'!F37*SIN($I$18*PI()/180)*$I$21)*$C$25*1000)^2+(0.001*$C$25*1000*$F$21)^2)/$C$30+(-'int. presets cp_5d+wd'!F28*COS($F$18*PI()/180)*$F$21-'int. presets cp_5d+wd'!F37*COS($I$18*PI()/180)*$I$21)*$C$25*1000)/9.81*$G$47/$I$47*$F$101*'int. presets cp_5d+wd'!$F$246-$H$47/$I$47*$C$20*$F$21</f>
        <v>34.035990938592477</v>
      </c>
      <c r="J71" s="996">
        <f t="shared" ca="1" si="63"/>
        <v>35.752844411408972</v>
      </c>
      <c r="K71" s="1073">
        <f t="shared" ca="1" si="24"/>
        <v>78.821435846280437</v>
      </c>
      <c r="L71" s="118"/>
      <c r="M71" s="167"/>
      <c r="N71" s="20"/>
      <c r="O71" s="354"/>
      <c r="P71" s="19"/>
      <c r="Q71" s="476"/>
      <c r="R71" s="477"/>
      <c r="S71" s="477"/>
      <c r="T71" s="477"/>
      <c r="U71" s="477"/>
      <c r="V71" s="489"/>
      <c r="W71" s="477"/>
      <c r="X71" s="477"/>
      <c r="Y71" s="477"/>
      <c r="Z71" s="477"/>
      <c r="AA71" s="1336" t="s">
        <v>450</v>
      </c>
      <c r="AB71" s="1337"/>
      <c r="AC71" s="1337"/>
      <c r="AD71" s="1337"/>
      <c r="AE71" s="1338"/>
      <c r="AF71" s="489"/>
      <c r="AG71" s="477"/>
      <c r="AH71" s="477"/>
      <c r="AI71" s="477"/>
      <c r="AJ71" s="477"/>
      <c r="AK71" s="1336" t="s">
        <v>450</v>
      </c>
      <c r="AL71" s="1337"/>
      <c r="AM71" s="1337"/>
      <c r="AN71" s="1337"/>
      <c r="AO71" s="1338"/>
      <c r="AP71" s="489"/>
      <c r="AQ71" s="489"/>
      <c r="AR71" s="489"/>
      <c r="AS71" s="489"/>
      <c r="AT71" s="489"/>
      <c r="AU71" s="1336" t="s">
        <v>450</v>
      </c>
      <c r="AV71" s="1337"/>
      <c r="AW71" s="1337"/>
      <c r="AX71" s="1337"/>
      <c r="AY71" s="1338"/>
      <c r="AZ71" s="515"/>
      <c r="BA71" s="516"/>
      <c r="BB71" s="516"/>
      <c r="BC71" s="516"/>
      <c r="BD71" s="516"/>
      <c r="BE71" s="516"/>
      <c r="BF71" s="516"/>
      <c r="BG71" s="516"/>
      <c r="BH71" s="516"/>
      <c r="BI71" s="516"/>
      <c r="BJ71" s="516"/>
      <c r="BK71" s="523"/>
      <c r="BL71" s="38"/>
      <c r="BO71" s="167"/>
      <c r="BP71" s="20"/>
      <c r="BQ71" s="515"/>
      <c r="BR71" s="516"/>
      <c r="BS71" s="516"/>
      <c r="BT71" s="516"/>
      <c r="BU71" s="516"/>
      <c r="BV71" s="516"/>
      <c r="BW71" s="516"/>
      <c r="BX71" s="516"/>
      <c r="BY71" s="516"/>
      <c r="BZ71" s="516"/>
      <c r="CA71" s="516"/>
      <c r="CB71" s="523"/>
      <c r="CC71" s="1336" t="s">
        <v>450</v>
      </c>
      <c r="CD71" s="1337"/>
      <c r="CE71" s="1337"/>
      <c r="CF71" s="1337"/>
      <c r="CG71" s="1338"/>
      <c r="CH71" s="489"/>
      <c r="CI71" s="477"/>
      <c r="CJ71" s="477"/>
      <c r="CK71" s="477"/>
      <c r="CL71" s="477"/>
      <c r="CM71" s="1336" t="s">
        <v>450</v>
      </c>
      <c r="CN71" s="1337"/>
      <c r="CO71" s="1337"/>
      <c r="CP71" s="1337"/>
      <c r="CQ71" s="1338"/>
      <c r="CR71" s="489"/>
      <c r="CS71" s="489"/>
      <c r="CT71" s="489"/>
      <c r="CU71" s="489"/>
      <c r="CV71" s="489"/>
      <c r="CW71" s="1336" t="s">
        <v>450</v>
      </c>
      <c r="CX71" s="1337"/>
      <c r="CY71" s="1337"/>
      <c r="CZ71" s="1337"/>
      <c r="DA71" s="1338"/>
      <c r="DB71" s="489"/>
      <c r="DC71" s="489"/>
      <c r="DD71" s="489"/>
      <c r="DL71" s="494"/>
      <c r="DM71" s="495"/>
      <c r="DN71" s="38"/>
    </row>
    <row r="72" spans="2:120" s="75" customFormat="1" ht="13.5" customHeight="1" thickBot="1" x14ac:dyDescent="0.25">
      <c r="B72" s="1348" t="e">
        <f t="shared" si="62"/>
        <v>#REF!</v>
      </c>
      <c r="C72" s="1349" t="e">
        <f t="shared" si="62"/>
        <v>#REF!</v>
      </c>
      <c r="D72" s="1350" t="e">
        <f t="shared" si="62"/>
        <v>#REF!</v>
      </c>
      <c r="E72" s="344" t="str">
        <f t="shared" si="62"/>
        <v>Interior modules</v>
      </c>
      <c r="F72" s="405"/>
      <c r="G72" s="406"/>
      <c r="H72" s="199">
        <f ca="1">(-'int. presets cp_5d+wd'!K29*COS($F$18*PI()/180)*$F$21-'int. presets cp_5d+wd'!K38*COS($I$18*PI()/180)*$I$21)*$F$47*$C$25*1000/9.81/$I$47*$D$101*'int. presets cp_5d+wd'!$K$246-$H$47/$I$47*$C$20*$F$21</f>
        <v>10.350238099745919</v>
      </c>
      <c r="I72" s="936">
        <f ca="1">(SQRT(((-'int. presets cp_5d+wd'!F29*SIN($F$18*PI()/180)*$F$21+'int. presets cp_5d+wd'!F38*SIN($I$18*PI()/180)*$I$21)*$C$25*1000)^2+(0.001*$C$25*1000*$F$21)^2)/$C$30+(-'int. presets cp_5d+wd'!F29*COS($F$18*PI()/180)*$F$21-'int. presets cp_5d+wd'!F38*COS($I$18*PI()/180)*$I$21)*$C$25*1000)/9.81*$G$47/$I$47*$F$101*'int. presets cp_5d+wd'!$F$246-$H$47/$I$47*$C$20*$F$21</f>
        <v>26.693780683496318</v>
      </c>
      <c r="J72" s="995">
        <f t="shared" ca="1" si="63"/>
        <v>26.693780683496318</v>
      </c>
      <c r="K72" s="1072">
        <f t="shared" ca="1" si="24"/>
        <v>58.849642770449648</v>
      </c>
      <c r="L72" s="118"/>
      <c r="M72" s="20"/>
      <c r="N72" s="20"/>
      <c r="O72" s="354"/>
      <c r="P72" s="19"/>
      <c r="Q72" s="474"/>
      <c r="R72" s="475"/>
      <c r="S72" s="475"/>
      <c r="T72" s="475"/>
      <c r="U72" s="475"/>
      <c r="V72" s="475"/>
      <c r="W72" s="475"/>
      <c r="X72" s="475"/>
      <c r="Y72" s="475"/>
      <c r="Z72" s="475"/>
      <c r="AA72" s="1339"/>
      <c r="AB72" s="1340"/>
      <c r="AC72" s="1340"/>
      <c r="AD72" s="1340"/>
      <c r="AE72" s="1341"/>
      <c r="AF72" s="475"/>
      <c r="AG72" s="475"/>
      <c r="AH72" s="475"/>
      <c r="AI72" s="475"/>
      <c r="AJ72" s="475"/>
      <c r="AK72" s="1339"/>
      <c r="AL72" s="1340"/>
      <c r="AM72" s="1340"/>
      <c r="AN72" s="1340"/>
      <c r="AO72" s="1341"/>
      <c r="AP72" s="475"/>
      <c r="AQ72" s="475"/>
      <c r="AR72" s="475"/>
      <c r="AS72" s="475"/>
      <c r="AT72" s="475"/>
      <c r="AU72" s="1339"/>
      <c r="AV72" s="1340"/>
      <c r="AW72" s="1340"/>
      <c r="AX72" s="1340"/>
      <c r="AY72" s="1341"/>
      <c r="AZ72" s="517"/>
      <c r="BA72" s="518"/>
      <c r="BB72" s="518"/>
      <c r="BC72" s="518"/>
      <c r="BD72" s="518"/>
      <c r="BE72" s="518"/>
      <c r="BF72" s="518"/>
      <c r="BG72" s="518"/>
      <c r="BH72" s="518"/>
      <c r="BI72" s="518"/>
      <c r="BJ72" s="518"/>
      <c r="BK72" s="522"/>
      <c r="BL72" s="23"/>
      <c r="BO72" s="20"/>
      <c r="BP72" s="20"/>
      <c r="BQ72" s="517"/>
      <c r="BR72" s="518"/>
      <c r="BS72" s="518"/>
      <c r="BT72" s="518"/>
      <c r="BU72" s="518"/>
      <c r="BV72" s="518"/>
      <c r="BW72" s="518"/>
      <c r="BX72" s="518"/>
      <c r="BY72" s="518"/>
      <c r="BZ72" s="518"/>
      <c r="CA72" s="518"/>
      <c r="CB72" s="522"/>
      <c r="CC72" s="1339"/>
      <c r="CD72" s="1340"/>
      <c r="CE72" s="1340"/>
      <c r="CF72" s="1340"/>
      <c r="CG72" s="1341"/>
      <c r="CH72" s="475"/>
      <c r="CI72" s="475"/>
      <c r="CJ72" s="475"/>
      <c r="CK72" s="475"/>
      <c r="CL72" s="475"/>
      <c r="CM72" s="1339"/>
      <c r="CN72" s="1340"/>
      <c r="CO72" s="1340"/>
      <c r="CP72" s="1340"/>
      <c r="CQ72" s="1341"/>
      <c r="CR72" s="475"/>
      <c r="CS72" s="475"/>
      <c r="CT72" s="475"/>
      <c r="CU72" s="475"/>
      <c r="CV72" s="475"/>
      <c r="CW72" s="1339"/>
      <c r="CX72" s="1340"/>
      <c r="CY72" s="1340"/>
      <c r="CZ72" s="1340"/>
      <c r="DA72" s="1341"/>
      <c r="DB72" s="475"/>
      <c r="DC72" s="475"/>
      <c r="DD72" s="475"/>
      <c r="DL72" s="496"/>
      <c r="DM72" s="497"/>
      <c r="DN72" s="23"/>
    </row>
    <row r="73" spans="2:120" s="75" customFormat="1" ht="13.5" customHeight="1" x14ac:dyDescent="0.25">
      <c r="B73" s="1345" t="str">
        <f t="shared" si="62"/>
        <v>Inner rows, from 5th row from north</v>
      </c>
      <c r="C73" s="1346" t="e">
        <f t="shared" si="62"/>
        <v>#REF!</v>
      </c>
      <c r="D73" s="1347" t="e">
        <f t="shared" si="62"/>
        <v>#REF!</v>
      </c>
      <c r="E73" s="348" t="str">
        <f t="shared" si="62"/>
        <v>1st-10th module</v>
      </c>
      <c r="F73" s="405"/>
      <c r="G73" s="406"/>
      <c r="H73" s="181">
        <f ca="1">(-'int. presets cp_5d+wd'!K30*COS($F$18*PI()/180)*$F$21-'int. presets cp_5d+wd'!K39*COS($I$18*PI()/180)*$I$21)*$F$47*$C$25*1000/9.81/$I$47*$D$101*'int. presets cp_5d+wd'!$K$246-$H$47/$I$47*$C$20*$F$21</f>
        <v>25.727839416270573</v>
      </c>
      <c r="I73" s="75">
        <f ca="1">(SQRT(((-'int. presets cp_5d+wd'!F30*SIN($F$18*PI()/180)*$F$21+'int. presets cp_5d+wd'!F39*SIN($I$18*PI()/180)*$I$21)*$C$25*1000)^2+(0.001*$C$25*1000*$F$21)^2)/$C$30+(-'int. presets cp_5d+wd'!F30*COS($F$18*PI()/180)*$F$21-'int. presets cp_5d+wd'!F39*COS($I$18*PI()/180)*$I$21)*$C$25*1000)/9.81*$G$47/$I$47*$F$101*'int. presets cp_5d+wd'!$F$246-$H$47/$I$47*$C$20*$F$21</f>
        <v>25.516497872196592</v>
      </c>
      <c r="J73" s="996">
        <f t="shared" ca="1" si="63"/>
        <v>25.727839416270573</v>
      </c>
      <c r="K73" s="1073">
        <f t="shared" ca="1" si="24"/>
        <v>56.720109333898428</v>
      </c>
      <c r="L73" s="118"/>
      <c r="M73" s="20"/>
      <c r="N73" s="20"/>
      <c r="O73" s="355"/>
      <c r="P73" s="48"/>
      <c r="Q73" s="472"/>
      <c r="R73" s="473"/>
      <c r="S73" s="473"/>
      <c r="T73" s="473"/>
      <c r="U73" s="473"/>
      <c r="V73" s="473"/>
      <c r="W73" s="473"/>
      <c r="X73" s="473"/>
      <c r="Y73" s="473"/>
      <c r="Z73" s="473"/>
      <c r="AA73" s="1342"/>
      <c r="AB73" s="1343"/>
      <c r="AC73" s="1343"/>
      <c r="AD73" s="1343"/>
      <c r="AE73" s="1344"/>
      <c r="AF73" s="473"/>
      <c r="AG73" s="473"/>
      <c r="AH73" s="473"/>
      <c r="AI73" s="473"/>
      <c r="AJ73" s="473"/>
      <c r="AK73" s="1342"/>
      <c r="AL73" s="1343"/>
      <c r="AM73" s="1343"/>
      <c r="AN73" s="1343"/>
      <c r="AO73" s="1344"/>
      <c r="AP73" s="473"/>
      <c r="AQ73" s="473"/>
      <c r="AR73" s="473"/>
      <c r="AS73" s="473"/>
      <c r="AT73" s="473"/>
      <c r="AU73" s="1342"/>
      <c r="AV73" s="1343"/>
      <c r="AW73" s="1343"/>
      <c r="AX73" s="1343"/>
      <c r="AY73" s="1344"/>
      <c r="AZ73" s="519"/>
      <c r="BA73" s="520"/>
      <c r="BB73" s="520"/>
      <c r="BC73" s="520"/>
      <c r="BD73" s="520"/>
      <c r="BE73" s="520"/>
      <c r="BF73" s="520"/>
      <c r="BG73" s="520"/>
      <c r="BH73" s="520"/>
      <c r="BI73" s="520"/>
      <c r="BJ73" s="520"/>
      <c r="BK73" s="521"/>
      <c r="BL73" s="18"/>
      <c r="BO73" s="20"/>
      <c r="BP73" s="20"/>
      <c r="BQ73" s="519"/>
      <c r="BR73" s="520"/>
      <c r="BS73" s="520"/>
      <c r="BT73" s="520"/>
      <c r="BU73" s="520"/>
      <c r="BV73" s="520"/>
      <c r="BW73" s="520"/>
      <c r="BX73" s="520"/>
      <c r="BY73" s="520"/>
      <c r="BZ73" s="520"/>
      <c r="CA73" s="520"/>
      <c r="CB73" s="521"/>
      <c r="CC73" s="1342"/>
      <c r="CD73" s="1343"/>
      <c r="CE73" s="1343"/>
      <c r="CF73" s="1343"/>
      <c r="CG73" s="1344"/>
      <c r="CH73" s="473"/>
      <c r="CI73" s="473"/>
      <c r="CJ73" s="473"/>
      <c r="CK73" s="473"/>
      <c r="CL73" s="473"/>
      <c r="CM73" s="1342"/>
      <c r="CN73" s="1343"/>
      <c r="CO73" s="1343"/>
      <c r="CP73" s="1343"/>
      <c r="CQ73" s="1344"/>
      <c r="CR73" s="473"/>
      <c r="CS73" s="473"/>
      <c r="CT73" s="473"/>
      <c r="CU73" s="473"/>
      <c r="CV73" s="473"/>
      <c r="CW73" s="1342"/>
      <c r="CX73" s="1343"/>
      <c r="CY73" s="1343"/>
      <c r="CZ73" s="1343"/>
      <c r="DA73" s="1344"/>
      <c r="DB73" s="473"/>
      <c r="DC73" s="473"/>
      <c r="DD73" s="473"/>
      <c r="DL73" s="498"/>
      <c r="DM73" s="499"/>
      <c r="DN73" s="18"/>
    </row>
    <row r="74" spans="2:120" s="75" customFormat="1" ht="13.5" customHeight="1" thickBot="1" x14ac:dyDescent="0.3">
      <c r="B74" s="1348" t="e">
        <f t="shared" si="62"/>
        <v>#REF!</v>
      </c>
      <c r="C74" s="1349" t="e">
        <f t="shared" si="62"/>
        <v>#REF!</v>
      </c>
      <c r="D74" s="1350" t="e">
        <f t="shared" si="62"/>
        <v>#REF!</v>
      </c>
      <c r="E74" s="344" t="str">
        <f t="shared" si="62"/>
        <v>Interior modules</v>
      </c>
      <c r="F74" s="405"/>
      <c r="G74" s="406"/>
      <c r="H74" s="199">
        <f ca="1">(-'int. presets cp_5d+wd'!K31*COS($F$18*PI()/180)*$F$21-'int. presets cp_5d+wd'!K40*COS($I$18*PI()/180)*$I$21)*$F$47*$C$25*1000/9.81/$I$47*$D$101*'int. presets cp_5d+wd'!$K$246-$H$47/$I$47*$C$20*$F$21</f>
        <v>9.560348297620461</v>
      </c>
      <c r="I74" s="936">
        <f ca="1">(SQRT(((-'int. presets cp_5d+wd'!F31*SIN($F$18*PI()/180)*$F$21+'int. presets cp_5d+wd'!F40*SIN($I$18*PI()/180)*$I$21)*$C$25*1000)^2+(0.001*$C$25*1000*$F$21)^2)/$C$30+(-'int. presets cp_5d+wd'!F31*COS($F$18*PI()/180)*$F$21-'int. presets cp_5d+wd'!F40*COS($I$18*PI()/180)*$I$21)*$C$25*1000)/9.81*$G$47/$I$47*$F$101*'int. presets cp_5d+wd'!$F$246-$H$47/$I$47*$C$20*$F$21</f>
        <v>21.856774524239132</v>
      </c>
      <c r="J74" s="995">
        <f t="shared" ca="1" si="63"/>
        <v>21.856774524239132</v>
      </c>
      <c r="K74" s="1072">
        <f t="shared" ca="1" si="24"/>
        <v>48.185882251628072</v>
      </c>
      <c r="L74" s="118"/>
      <c r="O74" s="1699">
        <f>IF(60&lt;('building data'!$C$20),MAX(0,'building data'!$C$20-60),0)</f>
        <v>31.439999999999998</v>
      </c>
      <c r="P74" s="1700"/>
      <c r="Q74" s="1700"/>
      <c r="R74" s="1700"/>
      <c r="S74" s="1700"/>
      <c r="T74" s="1700"/>
      <c r="U74" s="1700"/>
      <c r="V74" s="1700"/>
      <c r="W74" s="1700"/>
      <c r="X74" s="1700"/>
      <c r="Y74" s="1700"/>
      <c r="Z74" s="1700"/>
      <c r="AA74" s="1700"/>
      <c r="AB74" s="1700"/>
      <c r="AC74" s="1700"/>
      <c r="AD74" s="1700"/>
      <c r="AE74" s="1701"/>
      <c r="AF74" s="1699">
        <f>IF(60&lt;('building data'!$C$20),20,MAX('building data'!$C$20-40,0))</f>
        <v>20</v>
      </c>
      <c r="AG74" s="1700"/>
      <c r="AH74" s="1700"/>
      <c r="AI74" s="1700"/>
      <c r="AJ74" s="1700"/>
      <c r="AK74" s="1700"/>
      <c r="AL74" s="1700"/>
      <c r="AM74" s="1700"/>
      <c r="AN74" s="1700"/>
      <c r="AO74" s="1701"/>
      <c r="AP74" s="1699">
        <f>IF(40&lt;('building data'!$C$20),20,MAX('building data'!$C$20-20,0))</f>
        <v>20</v>
      </c>
      <c r="AQ74" s="1843"/>
      <c r="AR74" s="1843"/>
      <c r="AS74" s="1843"/>
      <c r="AT74" s="1843"/>
      <c r="AU74" s="1843"/>
      <c r="AV74" s="1843"/>
      <c r="AW74" s="1843"/>
      <c r="AX74" s="1843"/>
      <c r="AY74" s="1844"/>
      <c r="AZ74" s="1614">
        <f>IF(20&lt;('building data'!$C$20),20,('building data'!$C$20))</f>
        <v>20</v>
      </c>
      <c r="BA74" s="1615"/>
      <c r="BB74" s="1615"/>
      <c r="BC74" s="1615"/>
      <c r="BD74" s="1615"/>
      <c r="BE74" s="1615"/>
      <c r="BF74" s="1615"/>
      <c r="BG74" s="1615"/>
      <c r="BH74" s="1615"/>
      <c r="BI74" s="1615"/>
      <c r="BJ74" s="1615"/>
      <c r="BK74" s="1616"/>
      <c r="BQ74" s="1614">
        <f>IF(20&lt;('building data'!$C$20),20,('building data'!$C$20))</f>
        <v>20</v>
      </c>
      <c r="BR74" s="1615"/>
      <c r="BS74" s="1615"/>
      <c r="BT74" s="1615"/>
      <c r="BU74" s="1615"/>
      <c r="BV74" s="1615"/>
      <c r="BW74" s="1615"/>
      <c r="BX74" s="1615"/>
      <c r="BY74" s="1615"/>
      <c r="BZ74" s="1615"/>
      <c r="CA74" s="1615"/>
      <c r="CB74" s="1616"/>
      <c r="CC74" s="1702">
        <f>IF(40&lt;('building data'!$C$20),20,MAX('building data'!$C$20-20,0))</f>
        <v>20</v>
      </c>
      <c r="CD74" s="1837"/>
      <c r="CE74" s="1837"/>
      <c r="CF74" s="1837"/>
      <c r="CG74" s="1837"/>
      <c r="CH74" s="1837"/>
      <c r="CI74" s="1837"/>
      <c r="CJ74" s="1837"/>
      <c r="CK74" s="1837"/>
      <c r="CL74" s="1838"/>
      <c r="CM74" s="1702">
        <f>IF(60&lt;('building data'!$C$20),20,MAX('building data'!$C$20-40,0))</f>
        <v>20</v>
      </c>
      <c r="CN74" s="1703"/>
      <c r="CO74" s="1703"/>
      <c r="CP74" s="1703"/>
      <c r="CQ74" s="1703"/>
      <c r="CR74" s="1703"/>
      <c r="CS74" s="1703"/>
      <c r="CT74" s="1703"/>
      <c r="CU74" s="1703"/>
      <c r="CV74" s="1704"/>
      <c r="CW74" s="1702">
        <f>IF(60&lt;('building data'!$C$20),MAX(0,'building data'!$C$20-60),0)</f>
        <v>31.439999999999998</v>
      </c>
      <c r="CX74" s="1703"/>
      <c r="CY74" s="1703"/>
      <c r="CZ74" s="1703"/>
      <c r="DA74" s="1703"/>
      <c r="DB74" s="1703"/>
      <c r="DC74" s="1703"/>
      <c r="DD74" s="1703"/>
      <c r="DE74" s="1703"/>
      <c r="DF74" s="1703"/>
      <c r="DG74" s="1703"/>
      <c r="DH74" s="1703"/>
      <c r="DI74" s="1703"/>
      <c r="DJ74" s="1703"/>
      <c r="DK74" s="1703"/>
      <c r="DL74" s="1703"/>
      <c r="DM74" s="1704"/>
    </row>
    <row r="75" spans="2:120" s="75" customFormat="1" ht="13.5" customHeight="1" x14ac:dyDescent="0.25">
      <c r="B75" s="1345" t="str">
        <f t="shared" si="62"/>
        <v>South row</v>
      </c>
      <c r="C75" s="1346" t="e">
        <f t="shared" si="62"/>
        <v>#REF!</v>
      </c>
      <c r="D75" s="1347" t="e">
        <f t="shared" si="62"/>
        <v>#REF!</v>
      </c>
      <c r="E75" s="348" t="str">
        <f t="shared" si="62"/>
        <v>1st-10th module</v>
      </c>
      <c r="F75" s="405"/>
      <c r="G75" s="406"/>
      <c r="H75" s="181">
        <f ca="1">(-'int. presets cp_5d+wd'!K32*COS($F$18*PI()/180)*$F$21-'int. presets cp_5d+wd'!K41*COS($I$18*PI()/180)*$I$21)*$F$47*$C$25*1000/9.81/$I$47*$D$101*'int. presets cp_5d+wd'!$K$246-$H$47/$I$47*$C$20*$F$21</f>
        <v>24.813045098434937</v>
      </c>
      <c r="I75" s="75">
        <f ca="1">(SQRT(((-'int. presets cp_5d+wd'!F32*SIN($F$18*PI()/180)*$F$21+'int. presets cp_5d+wd'!F41*SIN($I$18*PI()/180)*$I$21)*$C$25*1000)^2+(0.001*$C$25*1000*$F$21)^2)/$C$30+(-'int. presets cp_5d+wd'!F32*COS($F$18*PI()/180)*$F$21-'int. presets cp_5d+wd'!F41*COS($I$18*PI()/180)*$I$21)*$C$25*1000)/9.81*$G$47/$I$47*$F$101*'int. presets cp_5d+wd'!$F$246-$H$47/$I$47*$C$20*$F$21</f>
        <v>30.770777645068694</v>
      </c>
      <c r="J75" s="996">
        <f t="shared" ca="1" si="63"/>
        <v>30.770777645068694</v>
      </c>
      <c r="K75" s="1073">
        <f t="shared" ca="1" si="24"/>
        <v>67.837871811871338</v>
      </c>
      <c r="L75" s="118"/>
      <c r="O75" s="1696" t="s">
        <v>0</v>
      </c>
      <c r="P75" s="1697"/>
      <c r="Q75" s="1697"/>
      <c r="R75" s="1697"/>
      <c r="S75" s="1697"/>
      <c r="T75" s="1697"/>
      <c r="U75" s="1697"/>
      <c r="V75" s="1697"/>
      <c r="W75" s="1697"/>
      <c r="X75" s="1697"/>
      <c r="Y75" s="1697"/>
      <c r="Z75" s="1697"/>
      <c r="AA75" s="1697"/>
      <c r="AB75" s="1697"/>
      <c r="AC75" s="1697"/>
      <c r="AD75" s="1697"/>
      <c r="AE75" s="1698"/>
      <c r="AF75" s="1696" t="s">
        <v>0</v>
      </c>
      <c r="AG75" s="1697"/>
      <c r="AH75" s="1697"/>
      <c r="AI75" s="1697"/>
      <c r="AJ75" s="1697"/>
      <c r="AK75" s="1697"/>
      <c r="AL75" s="1697"/>
      <c r="AM75" s="1697"/>
      <c r="AN75" s="1697"/>
      <c r="AO75" s="1698"/>
      <c r="AP75" s="1705" t="s">
        <v>0</v>
      </c>
      <c r="AQ75" s="1835"/>
      <c r="AR75" s="1835"/>
      <c r="AS75" s="1835"/>
      <c r="AT75" s="1835"/>
      <c r="AU75" s="1835"/>
      <c r="AV75" s="1835"/>
      <c r="AW75" s="1835"/>
      <c r="AX75" s="1835"/>
      <c r="AY75" s="1836"/>
      <c r="AZ75" s="1708" t="s">
        <v>0</v>
      </c>
      <c r="BA75" s="1709"/>
      <c r="BB75" s="1709"/>
      <c r="BC75" s="1709"/>
      <c r="BD75" s="1709"/>
      <c r="BE75" s="1709"/>
      <c r="BF75" s="1709"/>
      <c r="BG75" s="1709"/>
      <c r="BH75" s="1709"/>
      <c r="BI75" s="1709"/>
      <c r="BJ75" s="1709"/>
      <c r="BK75" s="1710"/>
      <c r="BQ75" s="1708" t="s">
        <v>0</v>
      </c>
      <c r="BR75" s="1709"/>
      <c r="BS75" s="1709"/>
      <c r="BT75" s="1709"/>
      <c r="BU75" s="1709"/>
      <c r="BV75" s="1709"/>
      <c r="BW75" s="1709"/>
      <c r="BX75" s="1709"/>
      <c r="BY75" s="1709"/>
      <c r="BZ75" s="1709"/>
      <c r="CA75" s="1709"/>
      <c r="CB75" s="1710"/>
      <c r="CC75" s="1705" t="s">
        <v>0</v>
      </c>
      <c r="CD75" s="1835"/>
      <c r="CE75" s="1835"/>
      <c r="CF75" s="1835"/>
      <c r="CG75" s="1835"/>
      <c r="CH75" s="1835"/>
      <c r="CI75" s="1835"/>
      <c r="CJ75" s="1835"/>
      <c r="CK75" s="1835"/>
      <c r="CL75" s="1836"/>
      <c r="CM75" s="1696" t="s">
        <v>0</v>
      </c>
      <c r="CN75" s="1697"/>
      <c r="CO75" s="1697"/>
      <c r="CP75" s="1697"/>
      <c r="CQ75" s="1697"/>
      <c r="CR75" s="1697"/>
      <c r="CS75" s="1697"/>
      <c r="CT75" s="1697"/>
      <c r="CU75" s="1697"/>
      <c r="CV75" s="1698"/>
      <c r="CW75" s="1696" t="s">
        <v>0</v>
      </c>
      <c r="CX75" s="1697"/>
      <c r="CY75" s="1697"/>
      <c r="CZ75" s="1697"/>
      <c r="DA75" s="1697"/>
      <c r="DB75" s="1697"/>
      <c r="DC75" s="1697"/>
      <c r="DD75" s="1697"/>
      <c r="DE75" s="1697"/>
      <c r="DF75" s="1697"/>
      <c r="DG75" s="1697"/>
      <c r="DH75" s="1697"/>
      <c r="DI75" s="1697"/>
      <c r="DJ75" s="1697"/>
      <c r="DK75" s="1697"/>
      <c r="DL75" s="1697"/>
      <c r="DM75" s="1698"/>
    </row>
    <row r="76" spans="2:120" s="75" customFormat="1" ht="13.5" customHeight="1" thickBot="1" x14ac:dyDescent="0.3">
      <c r="B76" s="1783" t="e">
        <f t="shared" si="62"/>
        <v>#REF!</v>
      </c>
      <c r="C76" s="1784" t="e">
        <f t="shared" si="62"/>
        <v>#REF!</v>
      </c>
      <c r="D76" s="1785" t="e">
        <f t="shared" si="62"/>
        <v>#REF!</v>
      </c>
      <c r="E76" s="992" t="str">
        <f t="shared" si="62"/>
        <v>Interior modules</v>
      </c>
      <c r="F76" s="405"/>
      <c r="G76" s="406"/>
      <c r="H76" s="161">
        <f ca="1">(-'int. presets cp_5d+wd'!K33*COS($F$18*PI()/180)*$F$21-'int. presets cp_5d+wd'!K42*COS($I$18*PI()/180)*$I$21)*$F$47*$C$25*1000/9.81/$I$47*$D$101*'int. presets cp_5d+wd'!$K$246-$H$47/$I$47*$C$20*$F$21</f>
        <v>10.38785946896861</v>
      </c>
      <c r="I76" s="991">
        <f ca="1">(SQRT(((-'int. presets cp_5d+wd'!F33*SIN($F$18*PI()/180)*$F$21+'int. presets cp_5d+wd'!F42*SIN($I$18*PI()/180)*$I$21)*$C$25*1000)^2+(0.001*$C$25*1000*$F$21)^2)/$C$30+(-'int. presets cp_5d+wd'!F33*COS($F$18*PI()/180)*$F$21-'int. presets cp_5d+wd'!F42*COS($I$18*PI()/180)*$I$21)*$C$25*1000)/9.81*$G$47/$I$47*$F$101*'int. presets cp_5d+wd'!$F$246-$H$47/$I$47*$C$20*$F$21</f>
        <v>21.856774524239132</v>
      </c>
      <c r="J76" s="998">
        <f t="shared" ca="1" si="63"/>
        <v>21.856774524239132</v>
      </c>
      <c r="K76" s="1072">
        <f t="shared" ca="1" si="24"/>
        <v>48.185882251628072</v>
      </c>
      <c r="L76" s="118"/>
      <c r="M76" s="163"/>
      <c r="O76" s="1693" t="s">
        <v>47</v>
      </c>
      <c r="P76" s="1694"/>
      <c r="Q76" s="1694"/>
      <c r="R76" s="1694"/>
      <c r="S76" s="1694"/>
      <c r="T76" s="1694"/>
      <c r="U76" s="1694"/>
      <c r="V76" s="1694"/>
      <c r="W76" s="1694"/>
      <c r="X76" s="1694"/>
      <c r="Y76" s="1694"/>
      <c r="Z76" s="1694"/>
      <c r="AA76" s="1694"/>
      <c r="AB76" s="1694"/>
      <c r="AC76" s="1694"/>
      <c r="AD76" s="1694"/>
      <c r="AE76" s="1695"/>
      <c r="AF76" s="1693" t="s">
        <v>75</v>
      </c>
      <c r="AG76" s="1694"/>
      <c r="AH76" s="1694"/>
      <c r="AI76" s="1694"/>
      <c r="AJ76" s="1694"/>
      <c r="AK76" s="1694"/>
      <c r="AL76" s="1694"/>
      <c r="AM76" s="1694"/>
      <c r="AN76" s="1694"/>
      <c r="AO76" s="1695"/>
      <c r="AP76" s="1333" t="s">
        <v>77</v>
      </c>
      <c r="AQ76" s="1839"/>
      <c r="AR76" s="1839"/>
      <c r="AS76" s="1839"/>
      <c r="AT76" s="1839"/>
      <c r="AU76" s="1839"/>
      <c r="AV76" s="1839"/>
      <c r="AW76" s="1839"/>
      <c r="AX76" s="1839"/>
      <c r="AY76" s="1840"/>
      <c r="AZ76" s="1330" t="s">
        <v>79</v>
      </c>
      <c r="BA76" s="1331"/>
      <c r="BB76" s="1331"/>
      <c r="BC76" s="1331"/>
      <c r="BD76" s="1331"/>
      <c r="BE76" s="1331"/>
      <c r="BF76" s="1331"/>
      <c r="BG76" s="1331"/>
      <c r="BH76" s="1331"/>
      <c r="BI76" s="1331"/>
      <c r="BJ76" s="1331"/>
      <c r="BK76" s="1332"/>
      <c r="BQ76" s="1330" t="s">
        <v>79</v>
      </c>
      <c r="BR76" s="1331"/>
      <c r="BS76" s="1331"/>
      <c r="BT76" s="1331"/>
      <c r="BU76" s="1331"/>
      <c r="BV76" s="1331"/>
      <c r="BW76" s="1331"/>
      <c r="BX76" s="1331"/>
      <c r="BY76" s="1331"/>
      <c r="BZ76" s="1331"/>
      <c r="CA76" s="1331"/>
      <c r="CB76" s="1332"/>
      <c r="CC76" s="1333" t="s">
        <v>77</v>
      </c>
      <c r="CD76" s="1839"/>
      <c r="CE76" s="1839"/>
      <c r="CF76" s="1839"/>
      <c r="CG76" s="1839"/>
      <c r="CH76" s="1839"/>
      <c r="CI76" s="1839"/>
      <c r="CJ76" s="1839"/>
      <c r="CK76" s="1839"/>
      <c r="CL76" s="1840"/>
      <c r="CM76" s="1693" t="s">
        <v>75</v>
      </c>
      <c r="CN76" s="1694"/>
      <c r="CO76" s="1694"/>
      <c r="CP76" s="1694"/>
      <c r="CQ76" s="1694"/>
      <c r="CR76" s="1694"/>
      <c r="CS76" s="1694"/>
      <c r="CT76" s="1694"/>
      <c r="CU76" s="1694"/>
      <c r="CV76" s="1695"/>
      <c r="CW76" s="1693" t="s">
        <v>47</v>
      </c>
      <c r="CX76" s="1694"/>
      <c r="CY76" s="1694"/>
      <c r="CZ76" s="1694"/>
      <c r="DA76" s="1694"/>
      <c r="DB76" s="1694"/>
      <c r="DC76" s="1694"/>
      <c r="DD76" s="1694"/>
      <c r="DE76" s="1694"/>
      <c r="DF76" s="1694"/>
      <c r="DG76" s="1694"/>
      <c r="DH76" s="1694"/>
      <c r="DI76" s="1694"/>
      <c r="DJ76" s="1694"/>
      <c r="DK76" s="1694"/>
      <c r="DL76" s="1694"/>
      <c r="DM76" s="1695"/>
    </row>
    <row r="77" spans="2:120" s="75" customFormat="1" ht="13.5" customHeight="1" thickTop="1" thickBot="1" x14ac:dyDescent="0.3">
      <c r="B77" s="1380" t="str">
        <f>'int. presets cp_5d+wd'!G24</f>
        <v>Roof position 4</v>
      </c>
      <c r="C77" s="1381"/>
      <c r="D77" s="1381"/>
      <c r="E77" s="1381"/>
      <c r="F77" s="1381"/>
      <c r="G77" s="1381"/>
      <c r="H77" s="1381"/>
      <c r="I77" s="1381"/>
      <c r="J77" s="1382"/>
      <c r="K77" s="1067"/>
      <c r="L77" s="118"/>
      <c r="M77" s="163"/>
    </row>
    <row r="78" spans="2:120" s="75" customFormat="1" ht="13.5" customHeight="1" x14ac:dyDescent="0.25">
      <c r="B78" s="1783" t="str">
        <f>B51</f>
        <v>North row</v>
      </c>
      <c r="C78" s="1784">
        <f t="shared" ref="B78:E85" si="64">C51</f>
        <v>0</v>
      </c>
      <c r="D78" s="1785">
        <f t="shared" si="64"/>
        <v>0</v>
      </c>
      <c r="E78" s="545" t="str">
        <f t="shared" si="64"/>
        <v>1st-10th module</v>
      </c>
      <c r="F78" s="539"/>
      <c r="G78" s="657"/>
      <c r="H78" s="540">
        <f ca="1">(-'int. presets cp_5d+wd'!L26*COS($F$18*PI()/180)*$F$21-'int. presets cp_5d+wd'!L35*COS($I$18*PI()/180)*$I$21)*$F$47*$C$25*1000/9.81/$I$47*$D$101*'int. presets cp_5d+wd'!$L$246-$H$47/$I$47*$C$20*$F$21</f>
        <v>32.924916823718561</v>
      </c>
      <c r="I78" s="75">
        <f ca="1">(SQRT(((-'int. presets cp_5d+wd'!G26*SIN($F$18*PI()/180)*$F$21+'int. presets cp_5d+wd'!G35*SIN($I$18*PI()/180)*$I$21)*$C$25*1000)^2+(0.001*$C$25*1000*$F$21)^2)/$C$30+(-'int. presets cp_5d+wd'!G26*COS($F$18*PI()/180)*$F$21-'int. presets cp_5d+wd'!G35*COS($I$18*PI()/180)*$I$21)*$C$25*1000)/9.81*$G$47/$I$47*$F$101*'int. presets cp_5d+wd'!$G$246-$H$47/$I$47*$C$20*$F$21</f>
        <v>25.12874765193121</v>
      </c>
      <c r="J78" s="994">
        <f t="shared" ref="J78:J85" ca="1" si="65">MAX(H78,I78)</f>
        <v>32.924916823718561</v>
      </c>
      <c r="K78" s="1071">
        <f t="shared" ca="1" si="24"/>
        <v>72.586930127906413</v>
      </c>
      <c r="L78" s="118"/>
      <c r="M78" s="163"/>
    </row>
    <row r="79" spans="2:120" s="75" customFormat="1" ht="13.5" customHeight="1" thickBot="1" x14ac:dyDescent="0.3">
      <c r="B79" s="1348">
        <f t="shared" si="64"/>
        <v>0</v>
      </c>
      <c r="C79" s="1349">
        <f t="shared" si="64"/>
        <v>0</v>
      </c>
      <c r="D79" s="1350">
        <f t="shared" si="64"/>
        <v>0</v>
      </c>
      <c r="E79" s="547" t="str">
        <f t="shared" si="64"/>
        <v>Interior modules</v>
      </c>
      <c r="F79" s="405"/>
      <c r="G79" s="406"/>
      <c r="H79" s="199">
        <f ca="1">(-'int. presets cp_5d+wd'!L27*COS($F$18*PI()/180)*$F$21-'int. presets cp_5d+wd'!L36*COS($I$18*PI()/180)*$I$21)*$F$47*$C$25*1000/9.81/$I$47*$D$101*'int. presets cp_5d+wd'!$L$246-$H$47/$I$47*$C$20*$F$21</f>
        <v>27.378941188593043</v>
      </c>
      <c r="I79" s="936">
        <f ca="1">(SQRT(((-'int. presets cp_5d+wd'!G27*SIN($F$18*PI()/180)*$F$21+'int. presets cp_5d+wd'!G36*SIN($I$18*PI()/180)*$I$21)*$C$25*1000)^2+(0.001*$C$25*1000*$F$21)^2)/$C$30+(-'int. presets cp_5d+wd'!G27*COS($F$18*PI()/180)*$F$21-'int. presets cp_5d+wd'!G36*COS($I$18*PI()/180)*$I$21)*$C$25*1000)/9.81*$G$47/$I$47*$F$101*'int. presets cp_5d+wd'!$G$246-$H$47/$I$47*$C$20*$F$21</f>
        <v>24.892120505556871</v>
      </c>
      <c r="J79" s="995">
        <f t="shared" ca="1" si="65"/>
        <v>27.378941188593043</v>
      </c>
      <c r="K79" s="1072">
        <f t="shared" ca="1" si="24"/>
        <v>60.360161323195989</v>
      </c>
      <c r="L79" s="118"/>
      <c r="M79" s="163"/>
    </row>
    <row r="80" spans="2:120" s="75" customFormat="1" ht="13.5" customHeight="1" x14ac:dyDescent="0.25">
      <c r="B80" s="1345" t="str">
        <f>B53</f>
        <v>Inner rows, 2nd to 4th row from north</v>
      </c>
      <c r="C80" s="1346" t="e">
        <f t="shared" si="64"/>
        <v>#REF!</v>
      </c>
      <c r="D80" s="1347" t="e">
        <f t="shared" si="64"/>
        <v>#REF!</v>
      </c>
      <c r="E80" s="546" t="str">
        <f t="shared" si="64"/>
        <v>1st-10th module</v>
      </c>
      <c r="F80" s="405"/>
      <c r="G80" s="406"/>
      <c r="H80" s="181">
        <f ca="1">(-'int. presets cp_5d+wd'!L28*COS($F$18*PI()/180)*$F$21-'int. presets cp_5d+wd'!L37*COS($I$18*PI()/180)*$I$21)*$F$47*$C$25*1000/9.81/$I$47*$D$101*'int. presets cp_5d+wd'!$L$246-$H$47/$I$47*$C$20*$F$21</f>
        <v>22.453533279720443</v>
      </c>
      <c r="I80" s="75">
        <f ca="1">(SQRT(((-'int. presets cp_5d+wd'!G28*SIN($F$18*PI()/180)*$F$21+'int. presets cp_5d+wd'!G37*SIN($I$18*PI()/180)*$I$21)*$C$25*1000)^2+(0.001*$C$25*1000*$F$21)^2)/$C$30+(-'int. presets cp_5d+wd'!G28*COS($F$18*PI()/180)*$F$21-'int. presets cp_5d+wd'!G37*COS($I$18*PI()/180)*$I$21)*$C$25*1000)/9.81*$G$47/$I$47*$F$101*'int. presets cp_5d+wd'!$G$246-$H$47/$I$47*$C$20*$F$21</f>
        <v>26.552966051480478</v>
      </c>
      <c r="J80" s="996">
        <f t="shared" ca="1" si="65"/>
        <v>26.552966051480478</v>
      </c>
      <c r="K80" s="1073">
        <f t="shared" ca="1" si="24"/>
        <v>58.539200016414888</v>
      </c>
      <c r="L80" s="118"/>
      <c r="M80" s="163"/>
    </row>
    <row r="81" spans="2:120" s="75" customFormat="1" ht="13.5" customHeight="1" thickBot="1" x14ac:dyDescent="0.3">
      <c r="B81" s="1348" t="e">
        <f t="shared" si="64"/>
        <v>#REF!</v>
      </c>
      <c r="C81" s="1349" t="e">
        <f t="shared" si="64"/>
        <v>#REF!</v>
      </c>
      <c r="D81" s="1350" t="e">
        <f t="shared" si="64"/>
        <v>#REF!</v>
      </c>
      <c r="E81" s="547" t="str">
        <f t="shared" si="64"/>
        <v>Interior modules</v>
      </c>
      <c r="F81" s="405"/>
      <c r="G81" s="406"/>
      <c r="H81" s="199">
        <f ca="1">(-'int. presets cp_5d+wd'!L29*COS($F$18*PI()/180)*$F$21-'int. presets cp_5d+wd'!L38*COS($I$18*PI()/180)*$I$21)*$F$47*$C$25*1000/9.81/$I$47*$D$101*'int. presets cp_5d+wd'!$L$246-$H$47/$I$47*$C$20*$F$21</f>
        <v>13.93521558369773</v>
      </c>
      <c r="I81" s="936">
        <f ca="1">(SQRT(((-'int. presets cp_5d+wd'!G29*SIN($F$18*PI()/180)*$F$21+'int. presets cp_5d+wd'!G38*SIN($I$18*PI()/180)*$I$21)*$C$25*1000)^2+(0.001*$C$25*1000*$F$21)^2)/$C$30+(-'int. presets cp_5d+wd'!G29*COS($F$18*PI()/180)*$F$21-'int. presets cp_5d+wd'!G38*COS($I$18*PI()/180)*$I$21)*$C$25*1000)/9.81*$G$47/$I$47*$F$101*'int. presets cp_5d+wd'!$G$246-$H$47/$I$47*$C$20*$F$21</f>
        <v>19.44644932913415</v>
      </c>
      <c r="J81" s="995">
        <f t="shared" ca="1" si="65"/>
        <v>19.44644932913415</v>
      </c>
      <c r="K81" s="1072">
        <f t="shared" ca="1" si="24"/>
        <v>42.872031119995725</v>
      </c>
      <c r="L81" s="118"/>
      <c r="M81" s="163"/>
    </row>
    <row r="82" spans="2:120" s="75" customFormat="1" ht="13.5" customHeight="1" x14ac:dyDescent="0.25">
      <c r="B82" s="1345" t="str">
        <f t="shared" si="64"/>
        <v>Inner rows, from 5th row from north</v>
      </c>
      <c r="C82" s="1346" t="e">
        <f t="shared" si="64"/>
        <v>#REF!</v>
      </c>
      <c r="D82" s="1347" t="e">
        <f t="shared" si="64"/>
        <v>#REF!</v>
      </c>
      <c r="E82" s="546" t="str">
        <f t="shared" si="64"/>
        <v>1st-10th module</v>
      </c>
      <c r="F82" s="405"/>
      <c r="G82" s="406"/>
      <c r="H82" s="181">
        <f ca="1">(-'int. presets cp_5d+wd'!L30*COS($F$18*PI()/180)*$F$21-'int. presets cp_5d+wd'!L39*COS($I$18*PI()/180)*$I$21)*$F$47*$C$25*1000/9.81/$I$47*$D$101*'int. presets cp_5d+wd'!$L$246-$H$47/$I$47*$C$20*$F$21</f>
        <v>17.410962889560938</v>
      </c>
      <c r="I82" s="75">
        <f ca="1">(SQRT(((-'int. presets cp_5d+wd'!G30*SIN($F$18*PI()/180)*$F$21+'int. presets cp_5d+wd'!G39*SIN($I$18*PI()/180)*$I$21)*$C$25*1000)^2+(0.001*$C$25*1000*$F$21)^2)/$C$30+(-'int. presets cp_5d+wd'!G30*COS($F$18*PI()/180)*$F$21-'int. presets cp_5d+wd'!G39*COS($I$18*PI()/180)*$I$21)*$C$25*1000)/9.81*$G$47/$I$47*$F$101*'int. presets cp_5d+wd'!$G$246-$H$47/$I$47*$C$20*$F$21</f>
        <v>19.858351294660434</v>
      </c>
      <c r="J82" s="996">
        <f t="shared" ca="1" si="65"/>
        <v>19.858351294660434</v>
      </c>
      <c r="K82" s="1073">
        <f t="shared" ca="1" si="24"/>
        <v>43.780118431234278</v>
      </c>
      <c r="L82" s="118"/>
      <c r="M82" s="163"/>
    </row>
    <row r="83" spans="2:120" s="75" customFormat="1" ht="13.5" customHeight="1" thickBot="1" x14ac:dyDescent="0.3">
      <c r="B83" s="1348" t="e">
        <f t="shared" si="64"/>
        <v>#REF!</v>
      </c>
      <c r="C83" s="1349" t="e">
        <f t="shared" si="64"/>
        <v>#REF!</v>
      </c>
      <c r="D83" s="1350" t="e">
        <f t="shared" si="64"/>
        <v>#REF!</v>
      </c>
      <c r="E83" s="547" t="str">
        <f t="shared" si="64"/>
        <v>Interior modules</v>
      </c>
      <c r="F83" s="405"/>
      <c r="G83" s="406"/>
      <c r="H83" s="199">
        <f ca="1">(-'int. presets cp_5d+wd'!L31*COS($F$18*PI()/180)*$F$21-'int. presets cp_5d+wd'!L40*COS($I$18*PI()/180)*$I$21)*$F$47*$C$25*1000/9.81/$I$47*$D$101*'int. presets cp_5d+wd'!$L$246-$H$47/$I$47*$C$20*$F$21</f>
        <v>5.1181031526340171</v>
      </c>
      <c r="I83" s="936">
        <f ca="1">(SQRT(((-'int. presets cp_5d+wd'!G31*SIN($F$18*PI()/180)*$F$21+'int. presets cp_5d+wd'!G40*SIN($I$18*PI()/180)*$I$21)*$C$25*1000)^2+(0.001*$C$25*1000*$F$21)^2)/$C$30+(-'int. presets cp_5d+wd'!G31*COS($F$18*PI()/180)*$F$21-'int. presets cp_5d+wd'!G40*COS($I$18*PI()/180)*$I$21)*$C$25*1000)/9.81*$G$47/$I$47*$F$101*'int. presets cp_5d+wd'!$G$246-$H$47/$I$47*$C$20*$F$21</f>
        <v>16.583009074746027</v>
      </c>
      <c r="J83" s="995">
        <f t="shared" ca="1" si="65"/>
        <v>16.583009074746027</v>
      </c>
      <c r="K83" s="1072">
        <f t="shared" ca="1" si="24"/>
        <v>36.559233466366585</v>
      </c>
      <c r="L83" s="118"/>
      <c r="M83" s="163"/>
    </row>
    <row r="84" spans="2:120" s="75" customFormat="1" ht="13.5" customHeight="1" x14ac:dyDescent="0.25">
      <c r="B84" s="1345" t="str">
        <f t="shared" si="64"/>
        <v>South row</v>
      </c>
      <c r="C84" s="1346" t="e">
        <f t="shared" si="64"/>
        <v>#REF!</v>
      </c>
      <c r="D84" s="1347" t="e">
        <f t="shared" si="64"/>
        <v>#REF!</v>
      </c>
      <c r="E84" s="546" t="str">
        <f t="shared" si="64"/>
        <v>1st-10th module</v>
      </c>
      <c r="F84" s="405"/>
      <c r="G84" s="406"/>
      <c r="H84" s="181">
        <f ca="1">(-'int. presets cp_5d+wd'!L32*COS($F$18*PI()/180)*$F$21-'int. presets cp_5d+wd'!L41*COS($I$18*PI()/180)*$I$21)*$F$47*$C$25*1000/9.81/$I$47*$D$101*'int. presets cp_5d+wd'!$L$246-$H$47/$I$47*$C$20*$F$21</f>
        <v>10.83757388708921</v>
      </c>
      <c r="I84" s="75">
        <f ca="1">(SQRT(((-'int. presets cp_5d+wd'!G32*SIN($F$18*PI()/180)*$F$21+'int. presets cp_5d+wd'!G41*SIN($I$18*PI()/180)*$I$21)*$C$25*1000)^2+(0.001*$C$25*1000*$F$21)^2)/$C$30+(-'int. presets cp_5d+wd'!G32*COS($F$18*PI()/180)*$F$21-'int. presets cp_5d+wd'!G41*COS($I$18*PI()/180)*$I$21)*$C$25*1000)/9.81*$G$47/$I$47*$F$101*'int. presets cp_5d+wd'!$G$246-$H$47/$I$47*$C$20*$F$21</f>
        <v>19.156516596058974</v>
      </c>
      <c r="J84" s="996">
        <f t="shared" ca="1" si="65"/>
        <v>19.156516596058974</v>
      </c>
      <c r="K84" s="1073">
        <f t="shared" ca="1" si="24"/>
        <v>42.232839618003531</v>
      </c>
      <c r="L84" s="118"/>
      <c r="M84" s="163"/>
    </row>
    <row r="85" spans="2:120" s="75" customFormat="1" ht="13.5" customHeight="1" thickBot="1" x14ac:dyDescent="0.3">
      <c r="B85" s="1783" t="e">
        <f t="shared" si="64"/>
        <v>#REF!</v>
      </c>
      <c r="C85" s="1784" t="e">
        <f t="shared" si="64"/>
        <v>#REF!</v>
      </c>
      <c r="D85" s="1785" t="e">
        <f t="shared" si="64"/>
        <v>#REF!</v>
      </c>
      <c r="E85" s="993" t="str">
        <f t="shared" si="64"/>
        <v>Interior modules</v>
      </c>
      <c r="F85" s="405"/>
      <c r="G85" s="406"/>
      <c r="H85" s="161">
        <f ca="1">(-'int. presets cp_5d+wd'!L33*COS($F$18*PI()/180)*$F$21-'int. presets cp_5d+wd'!L42*COS($I$18*PI()/180)*$I$21)*$F$47*$C$25*1000/9.81/$I$47*$D$101*'int. presets cp_5d+wd'!$L$246-$H$47/$I$47*$C$20*$F$21</f>
        <v>2.0805087780535558</v>
      </c>
      <c r="I85" s="991">
        <f ca="1">(SQRT(((-'int. presets cp_5d+wd'!G33*SIN($F$18*PI()/180)*$F$21+'int. presets cp_5d+wd'!G42*SIN($I$18*PI()/180)*$I$21)*$C$25*1000)^2+(0.001*$C$25*1000*$F$21)^2)/$C$30+(-'int. presets cp_5d+wd'!G33*COS($F$18*PI()/180)*$F$21-'int. presets cp_5d+wd'!G42*COS($I$18*PI()/180)*$I$21)*$C$25*1000)/9.81*$G$47/$I$47*$F$101*'int. presets cp_5d+wd'!$G$246-$H$47/$I$47*$C$20*$F$21</f>
        <v>18.279315279942306</v>
      </c>
      <c r="J85" s="998">
        <f t="shared" ca="1" si="65"/>
        <v>18.279315279942306</v>
      </c>
      <c r="K85" s="1072">
        <f t="shared" ca="1" si="24"/>
        <v>40.298944052466403</v>
      </c>
      <c r="L85" s="118"/>
      <c r="M85" s="163"/>
    </row>
    <row r="86" spans="2:120" s="75" customFormat="1" ht="13.5" customHeight="1" thickTop="1" thickBot="1" x14ac:dyDescent="0.3">
      <c r="B86" s="1380" t="str">
        <f>'int. presets cp_5d+wd'!H24</f>
        <v>Roof position 5</v>
      </c>
      <c r="C86" s="1381"/>
      <c r="D86" s="1381"/>
      <c r="E86" s="1381"/>
      <c r="F86" s="1381"/>
      <c r="G86" s="1381"/>
      <c r="H86" s="1381"/>
      <c r="I86" s="1381"/>
      <c r="J86" s="1382"/>
      <c r="K86" s="1067"/>
      <c r="L86" s="118"/>
      <c r="M86" s="163"/>
    </row>
    <row r="87" spans="2:120" s="75" customFormat="1" ht="13.5" customHeight="1" x14ac:dyDescent="0.25">
      <c r="B87" s="1783" t="str">
        <f>B51</f>
        <v>North row</v>
      </c>
      <c r="C87" s="1784"/>
      <c r="D87" s="1785"/>
      <c r="E87" s="351" t="str">
        <f>E51</f>
        <v>1st-10th module</v>
      </c>
      <c r="F87" s="539"/>
      <c r="G87" s="657"/>
      <c r="H87" s="540">
        <f ca="1">(-'int. presets cp_5d+wd'!M26*COS($F$18*PI()/180)*$F$21-'int. presets cp_5d+wd'!M35*COS($I$18*PI()/180)*$I$21)*$F$47*$C$25*1000/9.81/$I$47*$D$101*'int. presets cp_5d+wd'!$M$246-$H$47/$I$47*$C$20*$F$21</f>
        <v>28.25793192588355</v>
      </c>
      <c r="I87" s="75">
        <f ca="1">(SQRT(((-'int. presets cp_5d+wd'!H26*SIN($F$18*PI()/180)*$F$21+'int. presets cp_5d+wd'!H35*SIN($I$18*PI()/180)*$I$21)*$C$25*1000)^2+(0.001*$C$25*1000*$F$21)^2)/$C$30+(-'int. presets cp_5d+wd'!H26*COS($F$18*PI()/180)*$F$21-'int. presets cp_5d+wd'!H35*COS($I$18*PI()/180)*$I$21)*$C$25*1000)/9.81*$G$47/$I$47*$F$101*'int. presets cp_5d+wd'!$H$246-$H$47/$I$47*$C$20*$F$21</f>
        <v>24.188031595619496</v>
      </c>
      <c r="J87" s="994">
        <f t="shared" ref="J87:J94" ca="1" si="66">MAX(H87,I87)</f>
        <v>28.25793192588355</v>
      </c>
      <c r="K87" s="1071">
        <f t="shared" ca="1" si="24"/>
        <v>62.29800188244139</v>
      </c>
      <c r="L87" s="118"/>
    </row>
    <row r="88" spans="2:120" s="75" customFormat="1" ht="13.5" customHeight="1" thickBot="1" x14ac:dyDescent="0.3">
      <c r="B88" s="1348"/>
      <c r="C88" s="1349"/>
      <c r="D88" s="1350"/>
      <c r="E88" s="345" t="str">
        <f t="shared" ref="E88:E94" si="67">E52</f>
        <v>Interior modules</v>
      </c>
      <c r="F88" s="405"/>
      <c r="G88" s="406"/>
      <c r="H88" s="199">
        <f ca="1">(-'int. presets cp_5d+wd'!M27*COS($F$18*PI()/180)*$F$21-'int. presets cp_5d+wd'!M36*COS($I$18*PI()/180)*$I$21)*$F$47*$C$25*1000/9.81/$I$47*$D$101*'int. presets cp_5d+wd'!$M$246-$H$47/$I$47*$C$20*$F$21</f>
        <v>28.828416793403388</v>
      </c>
      <c r="I88" s="936">
        <f ca="1">(SQRT(((-'int. presets cp_5d+wd'!H27*SIN($F$18*PI()/180)*$F$21+'int. presets cp_5d+wd'!H36*SIN($I$18*PI()/180)*$I$21)*$C$25*1000)^2+(0.001*$C$25*1000*$F$21)^2)/$C$30+(-'int. presets cp_5d+wd'!H27*COS($F$18*PI()/180)*$F$21-'int. presets cp_5d+wd'!H36*COS($I$18*PI()/180)*$I$21)*$C$25*1000)/9.81*$G$47/$I$47*$F$101*'int. presets cp_5d+wd'!$H$246-$H$47/$I$47*$C$20*$F$21</f>
        <v>25.628826543053318</v>
      </c>
      <c r="J88" s="995">
        <f t="shared" ca="1" si="66"/>
        <v>28.828416793403388</v>
      </c>
      <c r="K88" s="1072">
        <f t="shared" ca="1" si="24"/>
        <v>63.555704231072973</v>
      </c>
      <c r="L88" s="118"/>
    </row>
    <row r="89" spans="2:120" s="75" customFormat="1" ht="13.5" customHeight="1" x14ac:dyDescent="0.25">
      <c r="B89" s="1345" t="str">
        <f>B53</f>
        <v>Inner rows, 2nd to 4th row from north</v>
      </c>
      <c r="C89" s="1346"/>
      <c r="D89" s="1347"/>
      <c r="E89" s="347" t="str">
        <f t="shared" si="67"/>
        <v>1st-10th module</v>
      </c>
      <c r="F89" s="405"/>
      <c r="G89" s="406"/>
      <c r="H89" s="181">
        <f ca="1">(-'int. presets cp_5d+wd'!M28*COS($F$18*PI()/180)*$F$21-'int. presets cp_5d+wd'!M37*COS($I$18*PI()/180)*$I$21)*$F$47*$C$25*1000/9.81/$I$47*$D$101*'int. presets cp_5d+wd'!$M$246-$H$47/$I$47*$C$20*$F$21</f>
        <v>28.144391851776252</v>
      </c>
      <c r="I89" s="75">
        <f ca="1">(SQRT(((-'int. presets cp_5d+wd'!H28*SIN($F$18*PI()/180)*$F$21+'int. presets cp_5d+wd'!H37*SIN($I$18*PI()/180)*$I$21)*$C$25*1000)^2+(0.001*$C$25*1000*$F$21)^2)/$C$30+(-'int. presets cp_5d+wd'!H28*COS($F$18*PI()/180)*$F$21-'int. presets cp_5d+wd'!H37*COS($I$18*PI()/180)*$I$21)*$C$25*1000)/9.81*$G$47/$I$47*$F$101*'int. presets cp_5d+wd'!$H$246-$H$47/$I$47*$C$20*$F$21</f>
        <v>24.524911125900228</v>
      </c>
      <c r="J89" s="996">
        <f t="shared" ca="1" si="66"/>
        <v>28.144391851776252</v>
      </c>
      <c r="K89" s="1073">
        <f t="shared" ca="1" si="24"/>
        <v>62.047689164262955</v>
      </c>
      <c r="L89" s="118"/>
    </row>
    <row r="90" spans="2:120" s="75" customFormat="1" ht="13.5" customHeight="1" thickBot="1" x14ac:dyDescent="0.3">
      <c r="B90" s="1348"/>
      <c r="C90" s="1349"/>
      <c r="D90" s="1350"/>
      <c r="E90" s="345" t="str">
        <f t="shared" si="67"/>
        <v>Interior modules</v>
      </c>
      <c r="F90" s="405"/>
      <c r="G90" s="406"/>
      <c r="H90" s="199">
        <f ca="1">(-'int. presets cp_5d+wd'!M29*COS($F$18*PI()/180)*$F$21-'int. presets cp_5d+wd'!M38*COS($I$18*PI()/180)*$I$21)*$F$47*$C$25*1000/9.81/$I$47*$D$101*'int. presets cp_5d+wd'!$M$246-$H$47/$I$47*$C$20*$F$21</f>
        <v>14.043733549855769</v>
      </c>
      <c r="I90" s="936">
        <f ca="1">(SQRT(((-'int. presets cp_5d+wd'!H29*SIN($F$18*PI()/180)*$F$21+'int. presets cp_5d+wd'!H38*SIN($I$18*PI()/180)*$I$21)*$C$25*1000)^2+(0.001*$C$25*1000*$F$21)^2)/$C$30+(-'int. presets cp_5d+wd'!H29*COS($F$18*PI()/180)*$F$21-'int. presets cp_5d+wd'!H38*COS($I$18*PI()/180)*$I$21)*$C$25*1000)/9.81*$G$47/$I$47*$F$101*'int. presets cp_5d+wd'!$H$246-$H$47/$I$47*$C$20*$F$21</f>
        <v>19.032036553294471</v>
      </c>
      <c r="J90" s="995">
        <f t="shared" ca="1" si="66"/>
        <v>19.032036553294471</v>
      </c>
      <c r="K90" s="1072">
        <f t="shared" ca="1" si="24"/>
        <v>41.958408426124052</v>
      </c>
      <c r="L90" s="118"/>
    </row>
    <row r="91" spans="2:120" s="75" customFormat="1" ht="13.5" customHeight="1" x14ac:dyDescent="0.25">
      <c r="B91" s="1345" t="str">
        <f>B55</f>
        <v>Inner rows, from 5th row from north</v>
      </c>
      <c r="C91" s="1346"/>
      <c r="D91" s="1347"/>
      <c r="E91" s="347" t="str">
        <f t="shared" si="67"/>
        <v>1st-10th module</v>
      </c>
      <c r="F91" s="405"/>
      <c r="G91" s="406"/>
      <c r="H91" s="181">
        <f ca="1">(-'int. presets cp_5d+wd'!M30*COS($F$18*PI()/180)*$F$21-'int. presets cp_5d+wd'!M39*COS($I$18*PI()/180)*$I$21)*$F$47*$C$25*1000/9.81/$I$47*$D$101*'int. presets cp_5d+wd'!$M$246-$H$47/$I$47*$C$20*$F$21</f>
        <v>0.98263950964228286</v>
      </c>
      <c r="I91" s="75">
        <f ca="1">(SQRT(((-'int. presets cp_5d+wd'!H30*SIN($F$18*PI()/180)*$F$21+'int. presets cp_5d+wd'!H39*SIN($I$18*PI()/180)*$I$21)*$C$25*1000)^2+(0.001*$C$25*1000*$F$21)^2)/$C$30+(-'int. presets cp_5d+wd'!H30*COS($F$18*PI()/180)*$F$21-'int. presets cp_5d+wd'!H39*COS($I$18*PI()/180)*$I$21)*$C$25*1000)/9.81*$G$47/$I$47*$F$101*'int. presets cp_5d+wd'!$H$246-$H$47/$I$47*$C$20*$F$21</f>
        <v>12.847627845523906</v>
      </c>
      <c r="J91" s="996">
        <f t="shared" ca="1" si="66"/>
        <v>12.847627845523906</v>
      </c>
      <c r="K91" s="1073">
        <f t="shared" ca="1" si="24"/>
        <v>28.32413730079891</v>
      </c>
      <c r="L91" s="118"/>
    </row>
    <row r="92" spans="2:120" s="75" customFormat="1" ht="13.5" customHeight="1" thickBot="1" x14ac:dyDescent="0.3">
      <c r="B92" s="1348"/>
      <c r="C92" s="1349"/>
      <c r="D92" s="1350"/>
      <c r="E92" s="345" t="str">
        <f t="shared" si="67"/>
        <v>Interior modules</v>
      </c>
      <c r="F92" s="405"/>
      <c r="G92" s="406"/>
      <c r="H92" s="199">
        <f ca="1">(-'int. presets cp_5d+wd'!M31*COS($F$18*PI()/180)*$F$21-'int. presets cp_5d+wd'!M40*COS($I$18*PI()/180)*$I$21)*$F$47*$C$25*1000/9.81/$I$47*$D$101*'int. presets cp_5d+wd'!$M$246-$H$47/$I$47*$C$20*$F$21</f>
        <v>0.98263950964228286</v>
      </c>
      <c r="I92" s="936">
        <f ca="1">(SQRT(((-'int. presets cp_5d+wd'!H31*SIN($F$18*PI()/180)*$F$21+'int. presets cp_5d+wd'!H40*SIN($I$18*PI()/180)*$I$21)*$C$25*1000)^2+(0.001*$C$25*1000*$F$21)^2)/$C$30+(-'int. presets cp_5d+wd'!H31*COS($F$18*PI()/180)*$F$21-'int. presets cp_5d+wd'!H40*COS($I$18*PI()/180)*$I$21)*$C$25*1000)/9.81*$G$47/$I$47*$F$101*'int. presets cp_5d+wd'!$H$246-$H$47/$I$47*$C$20*$F$21</f>
        <v>12.847627845523906</v>
      </c>
      <c r="J92" s="995">
        <f t="shared" ca="1" si="66"/>
        <v>12.847627845523906</v>
      </c>
      <c r="K92" s="1072">
        <f t="shared" ca="1" si="24"/>
        <v>28.32413730079891</v>
      </c>
      <c r="L92" s="118"/>
    </row>
    <row r="93" spans="2:120" s="75" customFormat="1" ht="13.5" customHeight="1" x14ac:dyDescent="0.25">
      <c r="B93" s="1345" t="str">
        <f>B57</f>
        <v>South row</v>
      </c>
      <c r="C93" s="1346"/>
      <c r="D93" s="1347"/>
      <c r="E93" s="347" t="str">
        <f t="shared" si="67"/>
        <v>1st-10th module</v>
      </c>
      <c r="F93" s="405"/>
      <c r="G93" s="406"/>
      <c r="H93" s="181">
        <f ca="1">(-'int. presets cp_5d+wd'!M32*COS($F$18*PI()/180)*$F$21-'int. presets cp_5d+wd'!M41*COS($I$18*PI()/180)*$I$21)*$F$47*$C$25*1000/9.81/$I$47*$D$101*'int. presets cp_5d+wd'!$M$246-$H$47/$I$47*$C$20*$F$21</f>
        <v>1.9054665425237332</v>
      </c>
      <c r="I93" s="75">
        <f ca="1">(SQRT(((-'int. presets cp_5d+wd'!H32*SIN($F$18*PI()/180)*$F$21+'int. presets cp_5d+wd'!H41*SIN($I$18*PI()/180)*$I$21)*$C$25*1000)^2+(0.001*$C$25*1000*$F$21)^2)/$C$30+(-'int. presets cp_5d+wd'!H32*COS($F$18*PI()/180)*$F$21-'int. presets cp_5d+wd'!H41*COS($I$18*PI()/180)*$I$21)*$C$25*1000)/9.81*$G$47/$I$47*$F$101*'int. presets cp_5d+wd'!$H$246-$H$47/$I$47*$C$20*$F$21</f>
        <v>12.847627845523906</v>
      </c>
      <c r="J93" s="996">
        <f t="shared" ca="1" si="66"/>
        <v>12.847627845523906</v>
      </c>
      <c r="K93" s="1073">
        <f t="shared" ca="1" si="24"/>
        <v>28.32413730079891</v>
      </c>
      <c r="L93" s="118"/>
    </row>
    <row r="94" spans="2:120" s="75" customFormat="1" ht="13.5" customHeight="1" thickBot="1" x14ac:dyDescent="0.3">
      <c r="B94" s="1351"/>
      <c r="C94" s="1845"/>
      <c r="D94" s="1846"/>
      <c r="E94" s="346" t="str">
        <f t="shared" si="67"/>
        <v>Interior modules</v>
      </c>
      <c r="F94" s="658"/>
      <c r="G94" s="659"/>
      <c r="H94" s="239">
        <f ca="1">(-'int. presets cp_5d+wd'!M33*COS($F$18*PI()/180)*$F$21-'int. presets cp_5d+wd'!M42*COS($I$18*PI()/180)*$I$21)*$F$47*$C$25*1000/9.81/$I$47*$D$101*'int. presets cp_5d+wd'!$M$246-$H$47/$I$47*$C$20*$F$21</f>
        <v>0.98263950964228286</v>
      </c>
      <c r="I94" s="937">
        <f ca="1">(SQRT(((-'int. presets cp_5d+wd'!H33*SIN($F$18*PI()/180)*$F$21+'int. presets cp_5d+wd'!H42*SIN($I$18*PI()/180)*$I$21)*$C$25*1000)^2+(0.001*$C$25*1000*$F$21)^2)/$C$30+(-'int. presets cp_5d+wd'!H33*COS($F$18*PI()/180)*$F$21-'int. presets cp_5d+wd'!H42*COS($I$18*PI()/180)*$I$21)*$C$25*1000)/9.81*$G$47/$I$47*$F$101*'int. presets cp_5d+wd'!$H$246-$H$47/$I$47*$C$20*$F$21</f>
        <v>12.847627845523906</v>
      </c>
      <c r="J94" s="997">
        <f t="shared" ca="1" si="66"/>
        <v>12.847627845523906</v>
      </c>
      <c r="K94" s="1072">
        <f t="shared" ca="1" si="24"/>
        <v>28.32413730079891</v>
      </c>
      <c r="L94" s="118"/>
    </row>
    <row r="95" spans="2:120" s="178" customFormat="1" ht="13.5" customHeight="1" thickTop="1" x14ac:dyDescent="0.2">
      <c r="B95" s="75"/>
      <c r="C95" s="75"/>
      <c r="D95" s="75"/>
      <c r="E95" s="75"/>
      <c r="F95" s="75"/>
      <c r="G95" s="75"/>
      <c r="H95" s="75"/>
      <c r="I95" s="75"/>
      <c r="J95" s="75"/>
      <c r="K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row>
    <row r="96" spans="2:120" s="178" customFormat="1" ht="13.5" customHeight="1" x14ac:dyDescent="0.25">
      <c r="B96" s="216" t="s">
        <v>433</v>
      </c>
      <c r="C96" s="75"/>
      <c r="D96" s="75"/>
      <c r="E96" s="75"/>
      <c r="F96" s="75"/>
      <c r="G96" s="75"/>
      <c r="H96" s="75"/>
      <c r="I96" s="75"/>
      <c r="J96" s="75"/>
      <c r="K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row>
    <row r="97" spans="2:118" s="178" customFormat="1" ht="13.5" customHeight="1" x14ac:dyDescent="0.25">
      <c r="B97" s="216"/>
      <c r="C97" s="75"/>
      <c r="D97" s="75"/>
      <c r="E97" s="75"/>
      <c r="F97" s="75"/>
      <c r="G97" s="75"/>
      <c r="H97" s="75"/>
      <c r="I97" s="75"/>
      <c r="J97" s="75"/>
      <c r="K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row>
    <row r="98" spans="2:118" s="178" customFormat="1" ht="13.5" customHeight="1" thickBot="1" x14ac:dyDescent="0.3">
      <c r="B98" s="951"/>
      <c r="C98" s="525"/>
      <c r="D98" s="338"/>
      <c r="E98" s="338"/>
      <c r="F98" s="75"/>
      <c r="G98" s="75"/>
      <c r="H98" s="75"/>
      <c r="I98" s="75"/>
      <c r="J98" s="166"/>
      <c r="K98" s="166"/>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row>
    <row r="99" spans="2:118" s="178" customFormat="1" ht="13.5" customHeight="1" x14ac:dyDescent="0.2">
      <c r="B99" s="1516" t="s">
        <v>436</v>
      </c>
      <c r="C99" s="332" t="s">
        <v>437</v>
      </c>
      <c r="D99" s="1519" t="s">
        <v>434</v>
      </c>
      <c r="E99" s="1520"/>
      <c r="F99" s="1521" t="s">
        <v>435</v>
      </c>
      <c r="G99" s="1522"/>
      <c r="H99" s="538"/>
      <c r="I99" s="538"/>
      <c r="J99" s="1"/>
      <c r="K99" s="1"/>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75"/>
    </row>
    <row r="100" spans="2:118" s="178" customFormat="1" ht="13.5" customHeight="1" x14ac:dyDescent="0.2">
      <c r="B100" s="1517"/>
      <c r="C100" s="59" t="s">
        <v>438</v>
      </c>
      <c r="D100" s="60">
        <f>IF($C$31&gt;7,"Fehler",$C$31)</f>
        <v>1.1934894239820351</v>
      </c>
      <c r="E100" s="61" t="s">
        <v>5</v>
      </c>
      <c r="F100" s="60">
        <f>IF($C$31&gt;7,"Fehler",$C$31)</f>
        <v>1.1934894239820351</v>
      </c>
      <c r="G100" s="62" t="s">
        <v>5</v>
      </c>
      <c r="H100" s="19"/>
      <c r="I100" s="19"/>
      <c r="J100" s="63"/>
      <c r="K100" s="63"/>
      <c r="M100" s="1"/>
      <c r="N100" s="1"/>
      <c r="O100" s="1"/>
      <c r="P100" s="57"/>
      <c r="Q100" s="57"/>
      <c r="R100" s="57"/>
      <c r="S100" s="57"/>
      <c r="T100" s="57"/>
      <c r="U100" s="57"/>
      <c r="V100" s="57"/>
      <c r="W100" s="57"/>
      <c r="X100" s="57"/>
      <c r="Y100" s="57"/>
      <c r="Z100" s="605"/>
      <c r="AA100" s="605"/>
      <c r="AB100" s="605"/>
      <c r="AC100" s="605"/>
      <c r="AD100" s="605"/>
      <c r="AE100" s="605"/>
      <c r="AF100" s="605"/>
      <c r="AG100" s="605"/>
      <c r="AH100" s="605"/>
      <c r="AI100" s="605"/>
      <c r="AJ100" s="605"/>
      <c r="AK100" s="605"/>
      <c r="AL100" s="605"/>
      <c r="AM100" s="605"/>
      <c r="AN100" s="605"/>
      <c r="AO100" s="605"/>
      <c r="AP100" s="605"/>
      <c r="AQ100" s="605"/>
      <c r="AR100" s="605"/>
      <c r="AS100" s="57"/>
      <c r="AT100" s="57"/>
      <c r="AU100" s="57"/>
      <c r="AV100" s="57"/>
      <c r="AW100" s="57"/>
      <c r="AX100" s="57"/>
      <c r="AY100" s="57"/>
      <c r="AZ100" s="57"/>
      <c r="BA100" s="57"/>
      <c r="BB100" s="57"/>
      <c r="BC100" s="57"/>
      <c r="BD100" s="57"/>
      <c r="BE100" s="57"/>
      <c r="BF100" s="57"/>
      <c r="BG100" s="57"/>
      <c r="BH100" s="57"/>
      <c r="BI100" s="18"/>
      <c r="BJ100" s="18"/>
      <c r="BK100" s="18"/>
      <c r="BL100" s="18"/>
    </row>
    <row r="101" spans="2:118" s="178" customFormat="1" ht="13.5" customHeight="1" thickBot="1" x14ac:dyDescent="0.25">
      <c r="B101" s="1518"/>
      <c r="C101" s="64" t="s">
        <v>439</v>
      </c>
      <c r="D101" s="65">
        <f>IF($D$100="Fehler","",IF($J$32=$B$105,1,IF($J$32=$B$106,1/(COS(D100/180*PI())),"Fehler")))</f>
        <v>1.0002169903464837</v>
      </c>
      <c r="E101" s="66" t="s">
        <v>6</v>
      </c>
      <c r="F101" s="67">
        <f>IF($D$100="Fehler","",IF($J$32=$B$105,1,IF($J$32=$B$106,$C$30/($C$30*COS(F100/180*PI())-SIN(F100/180*PI())),"FEHLER")))</f>
        <v>1.0487712131788371</v>
      </c>
      <c r="G101" s="68" t="s">
        <v>6</v>
      </c>
      <c r="H101" s="19"/>
      <c r="I101" s="19"/>
      <c r="J101" s="1"/>
      <c r="K101" s="1"/>
    </row>
    <row r="102" spans="2:118" s="178" customFormat="1" ht="13.5" customHeight="1" thickBot="1" x14ac:dyDescent="0.25">
      <c r="B102" s="1"/>
      <c r="C102" s="1"/>
      <c r="D102" s="1"/>
      <c r="E102" s="1"/>
      <c r="F102" s="1"/>
      <c r="G102" s="1"/>
      <c r="H102" s="1"/>
      <c r="I102" s="1"/>
      <c r="J102" s="1"/>
      <c r="K102" s="1"/>
    </row>
    <row r="103" spans="2:118" s="178" customFormat="1" ht="54" customHeight="1" thickBot="1" x14ac:dyDescent="0.3">
      <c r="C103" s="69" t="s">
        <v>335</v>
      </c>
      <c r="D103" s="70" t="s">
        <v>126</v>
      </c>
      <c r="E103" s="70" t="s">
        <v>440</v>
      </c>
      <c r="F103" s="71" t="s">
        <v>366</v>
      </c>
      <c r="G103" s="173" t="s">
        <v>441</v>
      </c>
      <c r="H103" s="194" t="s">
        <v>442</v>
      </c>
      <c r="I103" s="193" t="s">
        <v>443</v>
      </c>
      <c r="J103" s="193" t="s">
        <v>444</v>
      </c>
      <c r="K103" s="1052"/>
    </row>
    <row r="104" spans="2:118" s="178" customFormat="1" ht="13.5" customHeight="1" x14ac:dyDescent="0.25">
      <c r="C104" s="168" t="str">
        <f>'building data'!Q10</f>
        <v>USA</v>
      </c>
      <c r="D104" s="169" t="str">
        <f>'building data'!R10</f>
        <v>ASCE/SEI 7-10</v>
      </c>
      <c r="E104" s="72">
        <f>'ASCE 7-10 (US)'!C19</f>
        <v>1.0384922145487721</v>
      </c>
      <c r="F104" s="79" t="str">
        <f>'ASCE 7-10 (US)'!C24</f>
        <v>Exp. B</v>
      </c>
      <c r="G104" s="175">
        <f>'ASCE 7-10 (US)'!H13</f>
        <v>1</v>
      </c>
      <c r="H104" s="195">
        <f>'ASCE 7-10 (US)'!J13</f>
        <v>1</v>
      </c>
      <c r="I104" s="184">
        <f>'ASCE 7-10 (US)'!K13</f>
        <v>0.9</v>
      </c>
      <c r="J104" s="184">
        <f>'ASCE 7-10 (US)'!L13</f>
        <v>0.9</v>
      </c>
      <c r="K104" s="1081"/>
    </row>
    <row r="105" spans="2:118" s="178" customFormat="1" ht="13.5" customHeight="1" x14ac:dyDescent="0.25">
      <c r="B105" s="178" t="s">
        <v>20</v>
      </c>
      <c r="C105" s="168" t="str">
        <f>'building data'!Q11</f>
        <v>USA II</v>
      </c>
      <c r="D105" s="76" t="str">
        <f>'building data'!R11</f>
        <v>ASCE/SEI 7-05</v>
      </c>
      <c r="E105" s="77">
        <f>'ASCE 7-05 (US)'!C19</f>
        <v>1.0384922145487721</v>
      </c>
      <c r="F105" s="172" t="str">
        <f>'ASCE 7-05 (US)'!C24</f>
        <v>Exp. B</v>
      </c>
      <c r="G105" s="174">
        <f>'ASCE 7-05 (US)'!H13</f>
        <v>1.6</v>
      </c>
      <c r="H105" s="196">
        <f>'ASCE 7-05 (US)'!J13</f>
        <v>1.6</v>
      </c>
      <c r="I105" s="185">
        <f>'ASCE 7-05 (US)'!K13</f>
        <v>0.9</v>
      </c>
      <c r="J105" s="185">
        <f>'ASCE 7-05 (US)'!L13</f>
        <v>0.9</v>
      </c>
      <c r="K105" s="1081"/>
    </row>
    <row r="106" spans="2:118" ht="13.5" customHeight="1" x14ac:dyDescent="0.2">
      <c r="B106" s="178" t="s">
        <v>19</v>
      </c>
      <c r="C106" s="168"/>
      <c r="D106" s="76"/>
      <c r="E106" s="77"/>
      <c r="F106" s="172"/>
      <c r="G106" s="176"/>
      <c r="H106" s="196"/>
      <c r="I106" s="185"/>
      <c r="J106" s="185"/>
      <c r="K106" s="1081"/>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row>
    <row r="107" spans="2:118" ht="13.5" customHeight="1" x14ac:dyDescent="0.2">
      <c r="B107" s="178"/>
      <c r="C107" s="168"/>
      <c r="D107" s="76"/>
      <c r="E107" s="77"/>
      <c r="F107" s="172"/>
      <c r="G107" s="176"/>
      <c r="H107" s="196"/>
      <c r="I107" s="185"/>
      <c r="J107" s="185"/>
      <c r="K107" s="1081"/>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row>
    <row r="108" spans="2:118" ht="13.5" customHeight="1" x14ac:dyDescent="0.2">
      <c r="B108" s="110" t="s">
        <v>453</v>
      </c>
      <c r="C108" s="168"/>
      <c r="D108" s="76"/>
      <c r="E108" s="77"/>
      <c r="F108" s="172"/>
      <c r="G108" s="176"/>
      <c r="H108" s="196"/>
      <c r="I108" s="185"/>
      <c r="J108" s="185"/>
      <c r="K108" s="1081"/>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row>
    <row r="109" spans="2:118" ht="13.5" customHeight="1" x14ac:dyDescent="0.2">
      <c r="B109" s="110"/>
      <c r="C109" s="168"/>
      <c r="D109" s="76"/>
      <c r="E109" s="77"/>
      <c r="F109" s="172"/>
      <c r="G109" s="176"/>
      <c r="H109" s="196"/>
      <c r="I109" s="185"/>
      <c r="J109" s="185"/>
      <c r="K109" s="1081"/>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row>
    <row r="110" spans="2:118" ht="13.5" customHeight="1" x14ac:dyDescent="0.2">
      <c r="B110" s="178"/>
      <c r="C110" s="168"/>
      <c r="D110" s="76"/>
      <c r="E110" s="103"/>
      <c r="F110" s="80"/>
      <c r="G110" s="176"/>
      <c r="H110" s="196"/>
      <c r="I110" s="185"/>
      <c r="J110" s="185"/>
      <c r="K110" s="1081"/>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row>
    <row r="111" spans="2:118" ht="13.5" customHeight="1" x14ac:dyDescent="0.2">
      <c r="B111" s="330"/>
      <c r="C111" s="168"/>
      <c r="D111" s="76"/>
      <c r="E111" s="77"/>
      <c r="F111" s="172"/>
      <c r="G111" s="176"/>
      <c r="H111" s="196"/>
      <c r="I111" s="185"/>
      <c r="J111" s="185"/>
      <c r="K111" s="1081"/>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row>
    <row r="112" spans="2:118" ht="13.5" customHeight="1" x14ac:dyDescent="0.2">
      <c r="B112" s="178"/>
      <c r="C112" s="168"/>
      <c r="D112" s="76"/>
      <c r="E112" s="103"/>
      <c r="F112" s="80"/>
      <c r="G112" s="176"/>
      <c r="H112" s="196"/>
      <c r="I112" s="185"/>
      <c r="J112" s="185"/>
      <c r="K112" s="1081"/>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DM112" s="178"/>
    </row>
    <row r="113" spans="2:117" ht="13.5" customHeight="1" x14ac:dyDescent="0.2">
      <c r="B113" s="178"/>
      <c r="C113" s="168"/>
      <c r="D113" s="76"/>
      <c r="E113" s="77"/>
      <c r="F113" s="172"/>
      <c r="G113" s="176"/>
      <c r="H113" s="196"/>
      <c r="I113" s="185"/>
      <c r="J113" s="185"/>
      <c r="K113" s="1081"/>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DM113" s="178"/>
    </row>
    <row r="114" spans="2:117" ht="13.5" customHeight="1" x14ac:dyDescent="0.2">
      <c r="C114" s="168"/>
      <c r="D114" s="76"/>
      <c r="E114" s="77"/>
      <c r="F114" s="172"/>
      <c r="G114" s="176"/>
      <c r="H114" s="196"/>
      <c r="I114" s="185"/>
      <c r="J114" s="185"/>
      <c r="K114" s="1081"/>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DM114" s="178"/>
    </row>
    <row r="115" spans="2:117" x14ac:dyDescent="0.2">
      <c r="B115" s="208"/>
      <c r="C115" s="168"/>
      <c r="D115" s="76"/>
      <c r="E115" s="77"/>
      <c r="F115" s="172"/>
      <c r="G115" s="176"/>
      <c r="H115" s="196"/>
      <c r="I115" s="185"/>
      <c r="J115" s="185"/>
      <c r="K115" s="1081"/>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DM115" s="178"/>
    </row>
    <row r="116" spans="2:117" x14ac:dyDescent="0.2">
      <c r="B116" s="208"/>
      <c r="C116" s="170"/>
      <c r="D116" s="76"/>
      <c r="E116" s="103"/>
      <c r="F116" s="80"/>
      <c r="G116" s="176"/>
      <c r="H116" s="196"/>
      <c r="I116" s="185"/>
      <c r="J116" s="185"/>
      <c r="K116" s="1081"/>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DM116" s="178"/>
    </row>
    <row r="117" spans="2:117" x14ac:dyDescent="0.2">
      <c r="B117" s="178"/>
      <c r="C117" s="168"/>
      <c r="D117" s="76"/>
      <c r="E117" s="77"/>
      <c r="F117" s="172"/>
      <c r="G117" s="176"/>
      <c r="H117" s="196"/>
      <c r="I117" s="185"/>
      <c r="J117" s="185"/>
      <c r="K117" s="1081"/>
    </row>
    <row r="118" spans="2:117" x14ac:dyDescent="0.2">
      <c r="B118" s="281"/>
      <c r="C118" s="202"/>
      <c r="D118" s="203"/>
      <c r="E118" s="204"/>
      <c r="F118" s="205"/>
      <c r="G118" s="196"/>
      <c r="H118" s="206"/>
      <c r="I118" s="207"/>
      <c r="J118" s="207"/>
      <c r="K118" s="1081"/>
    </row>
    <row r="119" spans="2:117" ht="13.5" thickBot="1" x14ac:dyDescent="0.25">
      <c r="B119" s="281"/>
      <c r="C119" s="171"/>
      <c r="D119" s="78"/>
      <c r="E119" s="108"/>
      <c r="F119" s="55"/>
      <c r="G119" s="177"/>
      <c r="H119" s="197"/>
      <c r="I119" s="186"/>
      <c r="J119" s="186"/>
      <c r="K119" s="1081"/>
    </row>
  </sheetData>
  <mergeCells count="360">
    <mergeCell ref="B99:B101"/>
    <mergeCell ref="D99:E99"/>
    <mergeCell ref="F99:G99"/>
    <mergeCell ref="B84:D85"/>
    <mergeCell ref="B87:D88"/>
    <mergeCell ref="B89:D90"/>
    <mergeCell ref="B91:D92"/>
    <mergeCell ref="B93:D94"/>
    <mergeCell ref="B78:D79"/>
    <mergeCell ref="B80:D81"/>
    <mergeCell ref="B82:D83"/>
    <mergeCell ref="B86:J86"/>
    <mergeCell ref="O76:AE76"/>
    <mergeCell ref="AF76:AO76"/>
    <mergeCell ref="AP76:AY76"/>
    <mergeCell ref="AZ76:BK76"/>
    <mergeCell ref="BQ76:CB76"/>
    <mergeCell ref="B75:D76"/>
    <mergeCell ref="O75:AE75"/>
    <mergeCell ref="AF75:AO75"/>
    <mergeCell ref="AP75:AY75"/>
    <mergeCell ref="AZ75:BK75"/>
    <mergeCell ref="BQ75:CB75"/>
    <mergeCell ref="CM75:CV75"/>
    <mergeCell ref="CW75:DM75"/>
    <mergeCell ref="CM76:CV76"/>
    <mergeCell ref="CW76:DM76"/>
    <mergeCell ref="CC76:CL76"/>
    <mergeCell ref="B69:D70"/>
    <mergeCell ref="M69:M70"/>
    <mergeCell ref="Q69:BI70"/>
    <mergeCell ref="BO69:BO70"/>
    <mergeCell ref="BS69:DK70"/>
    <mergeCell ref="B71:D72"/>
    <mergeCell ref="AA71:AE73"/>
    <mergeCell ref="AK71:AO73"/>
    <mergeCell ref="AU71:AY73"/>
    <mergeCell ref="CC71:CG73"/>
    <mergeCell ref="CM71:CQ73"/>
    <mergeCell ref="CW71:DA73"/>
    <mergeCell ref="B73:D74"/>
    <mergeCell ref="O74:AE74"/>
    <mergeCell ref="AF74:AO74"/>
    <mergeCell ref="AP74:AY74"/>
    <mergeCell ref="AZ74:BK74"/>
    <mergeCell ref="BQ74:CB74"/>
    <mergeCell ref="CM74:CV74"/>
    <mergeCell ref="B66:D67"/>
    <mergeCell ref="Q66:U68"/>
    <mergeCell ref="V66:Z68"/>
    <mergeCell ref="AA66:AE68"/>
    <mergeCell ref="AF66:AJ68"/>
    <mergeCell ref="AK66:AO68"/>
    <mergeCell ref="AP66:AT68"/>
    <mergeCell ref="AU66:AY68"/>
    <mergeCell ref="CC75:CL75"/>
    <mergeCell ref="CC74:CL74"/>
    <mergeCell ref="CW74:DM74"/>
    <mergeCell ref="CM66:CQ68"/>
    <mergeCell ref="CR66:CV68"/>
    <mergeCell ref="CW66:DA68"/>
    <mergeCell ref="DB66:DF68"/>
    <mergeCell ref="DG66:DK68"/>
    <mergeCell ref="AZ66:BD68"/>
    <mergeCell ref="BE66:BI68"/>
    <mergeCell ref="BS66:BW68"/>
    <mergeCell ref="BX66:CB68"/>
    <mergeCell ref="CC66:CG68"/>
    <mergeCell ref="CH66:CL68"/>
    <mergeCell ref="CC63:CG65"/>
    <mergeCell ref="AP63:AT65"/>
    <mergeCell ref="AU63:AY65"/>
    <mergeCell ref="AZ63:BD65"/>
    <mergeCell ref="BE63:BI65"/>
    <mergeCell ref="BS63:BW65"/>
    <mergeCell ref="BX63:CB65"/>
    <mergeCell ref="CM60:CQ62"/>
    <mergeCell ref="CR60:CV62"/>
    <mergeCell ref="CW60:DA62"/>
    <mergeCell ref="DB60:DF62"/>
    <mergeCell ref="DG60:DK62"/>
    <mergeCell ref="B62:D63"/>
    <mergeCell ref="Q63:U65"/>
    <mergeCell ref="V63:Z65"/>
    <mergeCell ref="AA63:AE65"/>
    <mergeCell ref="AF63:AJ65"/>
    <mergeCell ref="AZ60:BD62"/>
    <mergeCell ref="BE60:BI62"/>
    <mergeCell ref="BS60:BW62"/>
    <mergeCell ref="BX60:CB62"/>
    <mergeCell ref="CC60:CG62"/>
    <mergeCell ref="CH60:CL62"/>
    <mergeCell ref="DG63:DK65"/>
    <mergeCell ref="B64:D65"/>
    <mergeCell ref="CH63:CL65"/>
    <mergeCell ref="CM63:CQ65"/>
    <mergeCell ref="CR63:CV65"/>
    <mergeCell ref="CW63:DA65"/>
    <mergeCell ref="DB63:DF65"/>
    <mergeCell ref="B60:D61"/>
    <mergeCell ref="Q60:U62"/>
    <mergeCell ref="V60:Z62"/>
    <mergeCell ref="AA60:AE62"/>
    <mergeCell ref="AF60:AJ62"/>
    <mergeCell ref="AK60:AO62"/>
    <mergeCell ref="AP60:AT62"/>
    <mergeCell ref="AU60:AY62"/>
    <mergeCell ref="CC57:CG59"/>
    <mergeCell ref="DO54:DO55"/>
    <mergeCell ref="B55:D56"/>
    <mergeCell ref="B57:D58"/>
    <mergeCell ref="Q57:U59"/>
    <mergeCell ref="V57:Z59"/>
    <mergeCell ref="AA57:AE59"/>
    <mergeCell ref="AF57:AJ59"/>
    <mergeCell ref="AK57:AO59"/>
    <mergeCell ref="BX54:CB56"/>
    <mergeCell ref="CC54:CG56"/>
    <mergeCell ref="CH54:CL56"/>
    <mergeCell ref="CM54:CQ56"/>
    <mergeCell ref="CR54:CV56"/>
    <mergeCell ref="CW54:DA56"/>
    <mergeCell ref="AP54:AT56"/>
    <mergeCell ref="AU54:AY56"/>
    <mergeCell ref="AZ54:BD56"/>
    <mergeCell ref="BE54:BI56"/>
    <mergeCell ref="DG57:DK59"/>
    <mergeCell ref="CH57:CL59"/>
    <mergeCell ref="CM57:CQ59"/>
    <mergeCell ref="CM51:CQ53"/>
    <mergeCell ref="CR51:CV53"/>
    <mergeCell ref="CW51:DA53"/>
    <mergeCell ref="DB51:DF53"/>
    <mergeCell ref="DG51:DK53"/>
    <mergeCell ref="B53:D54"/>
    <mergeCell ref="Q54:U56"/>
    <mergeCell ref="V54:Z56"/>
    <mergeCell ref="AA54:AE56"/>
    <mergeCell ref="AF54:AJ56"/>
    <mergeCell ref="AZ51:BD53"/>
    <mergeCell ref="BE51:BI53"/>
    <mergeCell ref="BS51:BW53"/>
    <mergeCell ref="BX51:CB53"/>
    <mergeCell ref="CC51:CG53"/>
    <mergeCell ref="CH51:CL53"/>
    <mergeCell ref="DB54:DF56"/>
    <mergeCell ref="DG54:DK56"/>
    <mergeCell ref="CR57:CV59"/>
    <mergeCell ref="CW57:DA59"/>
    <mergeCell ref="DB57:DF59"/>
    <mergeCell ref="B51:D52"/>
    <mergeCell ref="Q51:U53"/>
    <mergeCell ref="V51:Z53"/>
    <mergeCell ref="AA51:AE53"/>
    <mergeCell ref="AF51:AJ53"/>
    <mergeCell ref="AK51:AO53"/>
    <mergeCell ref="AP51:AT53"/>
    <mergeCell ref="AU51:AY53"/>
    <mergeCell ref="CC49:CG50"/>
    <mergeCell ref="AP49:AT50"/>
    <mergeCell ref="AU49:AY50"/>
    <mergeCell ref="AZ49:BD50"/>
    <mergeCell ref="BE49:BI50"/>
    <mergeCell ref="BS49:BW50"/>
    <mergeCell ref="BX49:CB50"/>
    <mergeCell ref="B49:D49"/>
    <mergeCell ref="Q49:U50"/>
    <mergeCell ref="V49:Z50"/>
    <mergeCell ref="AA49:AE50"/>
    <mergeCell ref="AF49:AJ50"/>
    <mergeCell ref="AK49:AO50"/>
    <mergeCell ref="B48:E48"/>
    <mergeCell ref="F48:G48"/>
    <mergeCell ref="H48:I48"/>
    <mergeCell ref="BE46:BI48"/>
    <mergeCell ref="BS46:BW48"/>
    <mergeCell ref="BX46:CB48"/>
    <mergeCell ref="CC46:CG48"/>
    <mergeCell ref="CH46:CL48"/>
    <mergeCell ref="CM46:CQ48"/>
    <mergeCell ref="BM45:BM46"/>
    <mergeCell ref="B44:D47"/>
    <mergeCell ref="E44:I44"/>
    <mergeCell ref="E45:E47"/>
    <mergeCell ref="F45:F46"/>
    <mergeCell ref="G45:G46"/>
    <mergeCell ref="H45:H46"/>
    <mergeCell ref="I45:I46"/>
    <mergeCell ref="J48:J49"/>
    <mergeCell ref="K48:K49"/>
    <mergeCell ref="DO45:DO46"/>
    <mergeCell ref="Q46:U48"/>
    <mergeCell ref="V46:Z48"/>
    <mergeCell ref="AA46:AE48"/>
    <mergeCell ref="AF46:AJ48"/>
    <mergeCell ref="AK46:AO48"/>
    <mergeCell ref="AP46:AT48"/>
    <mergeCell ref="AU46:AY48"/>
    <mergeCell ref="AZ46:BD48"/>
    <mergeCell ref="CW43:DA45"/>
    <mergeCell ref="DB43:DF45"/>
    <mergeCell ref="DG43:DK45"/>
    <mergeCell ref="BS43:BW45"/>
    <mergeCell ref="BX43:CB45"/>
    <mergeCell ref="CC43:CG45"/>
    <mergeCell ref="CH43:CL45"/>
    <mergeCell ref="CM43:CQ45"/>
    <mergeCell ref="CR43:CV45"/>
    <mergeCell ref="CR46:CV48"/>
    <mergeCell ref="CW46:DA48"/>
    <mergeCell ref="DB46:DF48"/>
    <mergeCell ref="DG46:DK48"/>
    <mergeCell ref="DG40:DK42"/>
    <mergeCell ref="Q43:U45"/>
    <mergeCell ref="V43:Z45"/>
    <mergeCell ref="AA43:AE45"/>
    <mergeCell ref="AF43:AJ45"/>
    <mergeCell ref="AK43:AO45"/>
    <mergeCell ref="AP43:AT45"/>
    <mergeCell ref="AU43:AY45"/>
    <mergeCell ref="AZ43:BD45"/>
    <mergeCell ref="BE43:BI45"/>
    <mergeCell ref="CC40:CG42"/>
    <mergeCell ref="CH40:CL42"/>
    <mergeCell ref="CM40:CQ42"/>
    <mergeCell ref="CR40:CV42"/>
    <mergeCell ref="CW40:DA42"/>
    <mergeCell ref="DB40:DF42"/>
    <mergeCell ref="AP40:AT42"/>
    <mergeCell ref="Q40:U42"/>
    <mergeCell ref="V40:Z42"/>
    <mergeCell ref="AA40:AE42"/>
    <mergeCell ref="AF40:AJ42"/>
    <mergeCell ref="AK40:AO42"/>
    <mergeCell ref="AZ37:BD39"/>
    <mergeCell ref="BE37:BI39"/>
    <mergeCell ref="BS37:BW39"/>
    <mergeCell ref="BX37:CB39"/>
    <mergeCell ref="AU40:AY42"/>
    <mergeCell ref="AZ40:BD42"/>
    <mergeCell ref="BE40:BI42"/>
    <mergeCell ref="BS40:BW42"/>
    <mergeCell ref="BX40:CB42"/>
    <mergeCell ref="DO34:DO35"/>
    <mergeCell ref="B36:J36"/>
    <mergeCell ref="B37:J37"/>
    <mergeCell ref="Q37:U39"/>
    <mergeCell ref="V37:Z39"/>
    <mergeCell ref="AA37:AE39"/>
    <mergeCell ref="AF37:AJ39"/>
    <mergeCell ref="AK37:AO39"/>
    <mergeCell ref="AP37:AT39"/>
    <mergeCell ref="AU37:AY39"/>
    <mergeCell ref="CH34:CL36"/>
    <mergeCell ref="CM34:CQ36"/>
    <mergeCell ref="CR34:CV36"/>
    <mergeCell ref="CW34:DA36"/>
    <mergeCell ref="DB34:DF36"/>
    <mergeCell ref="DG34:DK36"/>
    <mergeCell ref="AZ34:BD36"/>
    <mergeCell ref="BE34:BI36"/>
    <mergeCell ref="BM34:BM35"/>
    <mergeCell ref="BS34:BW36"/>
    <mergeCell ref="BX34:CB36"/>
    <mergeCell ref="CC34:CG36"/>
    <mergeCell ref="O29:P68"/>
    <mergeCell ref="Q29:U31"/>
    <mergeCell ref="BS29:BW31"/>
    <mergeCell ref="BX29:CB31"/>
    <mergeCell ref="CC29:CG31"/>
    <mergeCell ref="AP29:AT31"/>
    <mergeCell ref="AU29:AY31"/>
    <mergeCell ref="AZ29:BD31"/>
    <mergeCell ref="BE29:BI31"/>
    <mergeCell ref="BJ29:BK68"/>
    <mergeCell ref="BQ29:BR68"/>
    <mergeCell ref="AP32:AT33"/>
    <mergeCell ref="AU32:AY33"/>
    <mergeCell ref="AP34:AT36"/>
    <mergeCell ref="AU34:AY36"/>
    <mergeCell ref="AZ32:BD33"/>
    <mergeCell ref="BE32:BI33"/>
    <mergeCell ref="CC37:CG39"/>
    <mergeCell ref="BM54:BM55"/>
    <mergeCell ref="BS54:BW56"/>
    <mergeCell ref="AP57:AT59"/>
    <mergeCell ref="AU57:AY59"/>
    <mergeCell ref="AZ57:BD59"/>
    <mergeCell ref="BE57:BI59"/>
    <mergeCell ref="BS57:BW59"/>
    <mergeCell ref="BX57:CB59"/>
    <mergeCell ref="CM32:CQ33"/>
    <mergeCell ref="B32:I34"/>
    <mergeCell ref="J32:J34"/>
    <mergeCell ref="Q32:U33"/>
    <mergeCell ref="V32:Z33"/>
    <mergeCell ref="AA32:AE33"/>
    <mergeCell ref="AF32:AJ33"/>
    <mergeCell ref="Q34:U36"/>
    <mergeCell ref="V34:Z36"/>
    <mergeCell ref="AA34:AE36"/>
    <mergeCell ref="AF34:AJ36"/>
    <mergeCell ref="AK34:AO36"/>
    <mergeCell ref="DL21:DM25"/>
    <mergeCell ref="CW29:DA31"/>
    <mergeCell ref="DB29:DF31"/>
    <mergeCell ref="DG29:DK31"/>
    <mergeCell ref="DL29:DM68"/>
    <mergeCell ref="CH29:CL31"/>
    <mergeCell ref="CM29:CQ31"/>
    <mergeCell ref="CR29:CV31"/>
    <mergeCell ref="CW32:DA33"/>
    <mergeCell ref="DB32:DF33"/>
    <mergeCell ref="DG32:DK33"/>
    <mergeCell ref="CR32:CV33"/>
    <mergeCell ref="DG37:DK39"/>
    <mergeCell ref="CH37:CL39"/>
    <mergeCell ref="CM37:CQ39"/>
    <mergeCell ref="CR37:CV39"/>
    <mergeCell ref="CW37:DA39"/>
    <mergeCell ref="DB37:DF39"/>
    <mergeCell ref="DG49:DK50"/>
    <mergeCell ref="CH49:CL50"/>
    <mergeCell ref="CM49:CQ50"/>
    <mergeCell ref="CR49:CV50"/>
    <mergeCell ref="CW49:DA50"/>
    <mergeCell ref="DB49:DF50"/>
    <mergeCell ref="C9:D9"/>
    <mergeCell ref="B16:J16"/>
    <mergeCell ref="V16:BE20"/>
    <mergeCell ref="O21:P25"/>
    <mergeCell ref="BJ21:BK25"/>
    <mergeCell ref="F9:G9"/>
    <mergeCell ref="F10:G10"/>
    <mergeCell ref="F11:G11"/>
    <mergeCell ref="F12:G12"/>
    <mergeCell ref="B77:J77"/>
    <mergeCell ref="B68:J68"/>
    <mergeCell ref="B59:J59"/>
    <mergeCell ref="B50:J50"/>
    <mergeCell ref="B24:J24"/>
    <mergeCell ref="V24:BE24"/>
    <mergeCell ref="BX24:DG24"/>
    <mergeCell ref="M27:M28"/>
    <mergeCell ref="Q27:BI28"/>
    <mergeCell ref="BO27:BO28"/>
    <mergeCell ref="BS27:DK28"/>
    <mergeCell ref="B28:J28"/>
    <mergeCell ref="V29:Z31"/>
    <mergeCell ref="AA29:AE31"/>
    <mergeCell ref="AF29:AJ31"/>
    <mergeCell ref="AK29:AO31"/>
    <mergeCell ref="AK32:AO33"/>
    <mergeCell ref="AK54:AO56"/>
    <mergeCell ref="AK63:AO65"/>
    <mergeCell ref="BQ21:BR25"/>
    <mergeCell ref="BS32:BW33"/>
    <mergeCell ref="BX32:CB33"/>
    <mergeCell ref="CC32:CG33"/>
    <mergeCell ref="CH32:CL33"/>
  </mergeCells>
  <dataValidations disablePrompts="1" count="7">
    <dataValidation type="decimal" allowBlank="1" showInputMessage="1" showErrorMessage="1" sqref="I19">
      <formula1>0.2</formula1>
      <formula2>0.3</formula2>
    </dataValidation>
    <dataValidation type="whole" operator="greaterThanOrEqual" allowBlank="1" showInputMessage="1" showErrorMessage="1" sqref="G39 C39">
      <formula1>1</formula1>
    </dataValidation>
    <dataValidation allowBlank="1" showInputMessage="1" showErrorMessage="1" error="Geben Sie eine ganze Zahl größer null ein." sqref="C40 G40"/>
    <dataValidation type="list" allowBlank="1" showInputMessage="1" showErrorMessage="1" sqref="J32:K34">
      <formula1>$B$105:$B$106</formula1>
    </dataValidation>
    <dataValidation operator="lessThanOrEqual" allowBlank="1" showInputMessage="1" showErrorMessage="1" sqref="I20 F20"/>
    <dataValidation type="decimal" allowBlank="1" showInputMessage="1" showErrorMessage="1" sqref="F18">
      <formula1>4</formula1>
      <formula2>6</formula2>
    </dataValidation>
    <dataValidation type="decimal" allowBlank="1" showInputMessage="1" showErrorMessage="1" sqref="I18">
      <formula1>60</formula1>
      <formula2>75</formula2>
    </dataValidation>
  </dataValidations>
  <pageMargins left="0.75" right="0.75" top="0.69" bottom="1" header="0.4921259845" footer="0.4921259845"/>
  <pageSetup paperSize="9" scale="22" orientation="landscape" r:id="rId1"/>
  <headerFooter alignWithMargins="0"/>
  <drawing r:id="rId2"/>
  <legacyDrawing r:id="rId3"/>
  <oleObjects>
    <mc:AlternateContent xmlns:mc="http://schemas.openxmlformats.org/markup-compatibility/2006">
      <mc:Choice Requires="x14">
        <oleObject progId="Equation.DSMT4" shapeId="60417" r:id="rId4">
          <objectPr defaultSize="0" autoPict="0" r:id="rId5">
            <anchor moveWithCells="1">
              <from>
                <xdr:col>2</xdr:col>
                <xdr:colOff>0</xdr:colOff>
                <xdr:row>28</xdr:row>
                <xdr:rowOff>161925</xdr:rowOff>
              </from>
              <to>
                <xdr:col>2</xdr:col>
                <xdr:colOff>161925</xdr:colOff>
                <xdr:row>30</xdr:row>
                <xdr:rowOff>9525</xdr:rowOff>
              </to>
            </anchor>
          </objectPr>
        </oleObject>
      </mc:Choice>
      <mc:Fallback>
        <oleObject progId="Equation.DSMT4" shapeId="604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S277"/>
  <sheetViews>
    <sheetView zoomScaleNormal="100" workbookViewId="0">
      <selection activeCell="B5" sqref="B5:L5"/>
    </sheetView>
  </sheetViews>
  <sheetFormatPr defaultColWidth="9.125" defaultRowHeight="15" customHeight="1" x14ac:dyDescent="0.25"/>
  <cols>
    <col min="1" max="1" width="13" style="121" customWidth="1"/>
    <col min="2" max="2" width="44.25" style="121" customWidth="1"/>
    <col min="3" max="3" width="17.125" style="121" customWidth="1"/>
    <col min="4" max="12" width="15.75" style="121" customWidth="1"/>
    <col min="13" max="13" width="15.75" style="231" customWidth="1"/>
    <col min="14" max="18" width="15.75" style="121" customWidth="1"/>
    <col min="19" max="19" width="9.125" style="121" customWidth="1"/>
    <col min="20" max="20" width="35.125" style="121" customWidth="1"/>
    <col min="21" max="71" width="13.75" style="121" customWidth="1"/>
    <col min="72" max="16384" width="9.125" style="121"/>
  </cols>
  <sheetData>
    <row r="1" spans="1:17" ht="15" customHeight="1" thickBot="1" x14ac:dyDescent="0.3"/>
    <row r="2" spans="1:17" ht="15" customHeight="1" x14ac:dyDescent="0.25">
      <c r="B2" s="122" t="s">
        <v>80</v>
      </c>
      <c r="C2" s="124"/>
      <c r="D2" s="124"/>
      <c r="E2" s="124"/>
      <c r="F2" s="123"/>
      <c r="G2" s="123"/>
      <c r="H2" s="123"/>
      <c r="I2" s="125"/>
      <c r="J2" s="116" t="s">
        <v>315</v>
      </c>
      <c r="K2" s="123"/>
      <c r="L2" s="124"/>
      <c r="M2" s="124"/>
      <c r="N2" s="124"/>
      <c r="O2" s="124"/>
      <c r="P2" s="124"/>
      <c r="Q2" s="126"/>
    </row>
    <row r="3" spans="1:17" ht="15" customHeight="1" x14ac:dyDescent="0.25">
      <c r="B3" s="127" t="s">
        <v>316</v>
      </c>
      <c r="C3" s="128"/>
      <c r="D3" s="128"/>
      <c r="E3" s="128"/>
      <c r="F3" s="128"/>
      <c r="G3" s="128"/>
      <c r="H3" s="128"/>
      <c r="I3" s="129"/>
      <c r="J3" s="117" t="s">
        <v>317</v>
      </c>
      <c r="K3" s="130"/>
      <c r="L3" s="128"/>
      <c r="M3" s="128"/>
      <c r="N3" s="128"/>
      <c r="O3" s="128"/>
      <c r="P3" s="128"/>
      <c r="Q3" s="131"/>
    </row>
    <row r="4" spans="1:17" ht="15" customHeight="1" x14ac:dyDescent="0.25">
      <c r="B4" s="127" t="s">
        <v>475</v>
      </c>
      <c r="C4" s="128"/>
      <c r="D4" s="128"/>
      <c r="E4" s="128"/>
      <c r="F4" s="128"/>
      <c r="G4" s="128"/>
      <c r="H4" s="128"/>
      <c r="I4" s="128"/>
      <c r="J4" s="128"/>
      <c r="K4" s="128"/>
      <c r="L4" s="128"/>
      <c r="M4" s="128"/>
      <c r="N4" s="128"/>
      <c r="O4" s="128"/>
      <c r="P4" s="128"/>
      <c r="Q4" s="131"/>
    </row>
    <row r="5" spans="1:17" ht="15" customHeight="1" thickBot="1" x14ac:dyDescent="0.3">
      <c r="B5" s="1730" t="s">
        <v>458</v>
      </c>
      <c r="C5" s="1731"/>
      <c r="D5" s="1731"/>
      <c r="E5" s="1731"/>
      <c r="F5" s="1731"/>
      <c r="G5" s="1731"/>
      <c r="H5" s="1731"/>
      <c r="I5" s="1731"/>
      <c r="J5" s="1731"/>
      <c r="K5" s="1731"/>
      <c r="L5" s="1731"/>
      <c r="M5" s="597"/>
      <c r="N5" s="597"/>
      <c r="O5" s="597"/>
      <c r="P5" s="597"/>
      <c r="Q5" s="598"/>
    </row>
    <row r="6" spans="1:17" ht="15" customHeight="1" x14ac:dyDescent="0.25">
      <c r="M6" s="357"/>
    </row>
    <row r="8" spans="1:17" ht="15" customHeight="1" thickBot="1" x14ac:dyDescent="0.3">
      <c r="B8" s="132" t="s">
        <v>314</v>
      </c>
    </row>
    <row r="9" spans="1:17" ht="15" customHeight="1" x14ac:dyDescent="0.2">
      <c r="B9" s="133" t="s">
        <v>310</v>
      </c>
      <c r="C9" s="1732" t="str">
        <f>'building data'!C9</f>
        <v>807 E Main</v>
      </c>
      <c r="D9" s="1732"/>
      <c r="E9" s="134" t="s">
        <v>319</v>
      </c>
      <c r="F9" s="135" t="str">
        <f>'building data'!H9</f>
        <v>English</v>
      </c>
    </row>
    <row r="10" spans="1:17" ht="15" customHeight="1" x14ac:dyDescent="0.25">
      <c r="B10" s="136" t="s">
        <v>311</v>
      </c>
      <c r="C10" s="1733">
        <f>'building data'!C10</f>
        <v>27332</v>
      </c>
      <c r="D10" s="1733"/>
      <c r="E10" s="137" t="s">
        <v>320</v>
      </c>
      <c r="F10" s="138" t="str">
        <f>'building data'!H10</f>
        <v>807 E Main St</v>
      </c>
      <c r="G10" s="331"/>
      <c r="H10" s="331"/>
      <c r="I10" s="331"/>
      <c r="J10" s="331"/>
    </row>
    <row r="11" spans="1:17" ht="15" customHeight="1" x14ac:dyDescent="0.25">
      <c r="B11" s="136" t="s">
        <v>312</v>
      </c>
      <c r="C11" s="1733" t="str">
        <f>'building data'!C11</f>
        <v>Ted Bleecker</v>
      </c>
      <c r="D11" s="1733"/>
      <c r="E11" s="139" t="s">
        <v>321</v>
      </c>
      <c r="F11" s="138" t="str">
        <f>'building data'!H12</f>
        <v>ASCE/SEI 7-10</v>
      </c>
      <c r="G11" s="331"/>
      <c r="H11" s="331"/>
      <c r="I11" s="331"/>
      <c r="J11" s="331"/>
    </row>
    <row r="12" spans="1:17" ht="15" customHeight="1" thickBot="1" x14ac:dyDescent="0.3">
      <c r="B12" s="140" t="s">
        <v>313</v>
      </c>
      <c r="C12" s="1734">
        <f ca="1">'building data'!C12</f>
        <v>42655</v>
      </c>
      <c r="D12" s="1734"/>
      <c r="E12" s="141" t="s">
        <v>322</v>
      </c>
      <c r="F12" s="142" t="str">
        <f>'building data'!H11</f>
        <v>USA</v>
      </c>
      <c r="G12" s="331"/>
      <c r="H12" s="331"/>
      <c r="I12" s="331"/>
      <c r="J12" s="331"/>
    </row>
    <row r="13" spans="1:17" ht="15" customHeight="1" x14ac:dyDescent="0.25">
      <c r="A13" s="456"/>
    </row>
    <row r="14" spans="1:17" ht="15" customHeight="1" x14ac:dyDescent="0.25">
      <c r="A14" s="456"/>
      <c r="E14" s="353"/>
      <c r="F14" s="428" t="s">
        <v>327</v>
      </c>
      <c r="G14" s="424">
        <f>'building data'!C20</f>
        <v>91.44</v>
      </c>
      <c r="H14" s="212" t="s">
        <v>0</v>
      </c>
    </row>
    <row r="15" spans="1:17" ht="15" customHeight="1" x14ac:dyDescent="0.25">
      <c r="A15" s="456"/>
      <c r="B15" s="143" t="s">
        <v>420</v>
      </c>
      <c r="C15" s="357"/>
      <c r="D15" s="445" t="s">
        <v>59</v>
      </c>
      <c r="E15" s="357"/>
      <c r="F15" s="213" t="s">
        <v>328</v>
      </c>
      <c r="G15" s="424">
        <f>'building data'!C21</f>
        <v>91.44</v>
      </c>
      <c r="H15" s="212" t="s">
        <v>0</v>
      </c>
    </row>
    <row r="16" spans="1:17" ht="15" customHeight="1" x14ac:dyDescent="0.25">
      <c r="A16" s="341"/>
      <c r="B16" s="209" t="s">
        <v>423</v>
      </c>
      <c r="C16" s="358">
        <f>'wind load calc_5d'!C40</f>
        <v>9</v>
      </c>
      <c r="D16" s="446">
        <f>G17*G18*C16</f>
        <v>17.947299589199996</v>
      </c>
      <c r="E16" s="357"/>
      <c r="F16" s="213" t="s">
        <v>324</v>
      </c>
      <c r="G16" s="424">
        <f>'building data'!C16</f>
        <v>7.3152000000000008</v>
      </c>
      <c r="H16" s="212" t="s">
        <v>0</v>
      </c>
    </row>
    <row r="17" spans="1:18" ht="15" customHeight="1" x14ac:dyDescent="0.25">
      <c r="A17" s="341"/>
      <c r="C17" s="215"/>
      <c r="D17" s="215"/>
      <c r="E17" s="215"/>
      <c r="F17" s="213" t="s">
        <v>405</v>
      </c>
      <c r="G17" s="424">
        <f>'wind load calc_5d'!F20</f>
        <v>1.9926299999999999</v>
      </c>
      <c r="H17" s="212" t="s">
        <v>0</v>
      </c>
    </row>
    <row r="18" spans="1:18" ht="15" customHeight="1" x14ac:dyDescent="0.25">
      <c r="A18" s="341"/>
      <c r="B18" s="143" t="s">
        <v>421</v>
      </c>
      <c r="C18" s="215"/>
      <c r="D18" s="445" t="s">
        <v>59</v>
      </c>
      <c r="E18" s="357"/>
      <c r="F18" s="213" t="s">
        <v>404</v>
      </c>
      <c r="G18" s="424">
        <f>'wind load calc_5d'!F19</f>
        <v>1.0007599999999999</v>
      </c>
      <c r="H18" s="212" t="s">
        <v>0</v>
      </c>
      <c r="K18" s="455"/>
    </row>
    <row r="19" spans="1:18" ht="15" customHeight="1" x14ac:dyDescent="0.25">
      <c r="A19" s="341"/>
      <c r="B19" s="209" t="s">
        <v>423</v>
      </c>
      <c r="C19" s="358">
        <f>'wind load calc_5d'!G40</f>
        <v>48</v>
      </c>
      <c r="D19" s="446">
        <f>G17*G18*C19</f>
        <v>95.718931142399981</v>
      </c>
      <c r="E19" s="357"/>
      <c r="F19" s="213" t="s">
        <v>45</v>
      </c>
      <c r="G19" s="424">
        <f>MIN('building data'!C18/'building data'!C16,0.2)</f>
        <v>1.7361111111111108E-2</v>
      </c>
      <c r="H19" s="212" t="s">
        <v>4</v>
      </c>
      <c r="K19" s="455"/>
    </row>
    <row r="20" spans="1:18" ht="15" customHeight="1" x14ac:dyDescent="0.25">
      <c r="A20" s="341"/>
      <c r="B20" s="209"/>
      <c r="C20" s="357"/>
      <c r="D20" s="357"/>
      <c r="E20" s="357"/>
      <c r="F20" s="357"/>
      <c r="G20" s="357"/>
      <c r="H20" s="357"/>
      <c r="I20" s="357"/>
      <c r="K20" s="455"/>
    </row>
    <row r="21" spans="1:18" ht="15" customHeight="1" x14ac:dyDescent="0.25">
      <c r="A21" s="341"/>
      <c r="B21" s="209"/>
      <c r="C21" s="357"/>
      <c r="D21" s="357"/>
      <c r="E21" s="357"/>
      <c r="F21" s="357"/>
      <c r="G21" s="357"/>
      <c r="H21" s="357"/>
      <c r="I21" s="357"/>
      <c r="J21" s="357"/>
      <c r="K21" s="455"/>
    </row>
    <row r="22" spans="1:18" ht="15" customHeight="1" thickBot="1" x14ac:dyDescent="0.3">
      <c r="B22" s="144" t="s">
        <v>459</v>
      </c>
      <c r="G22" s="213"/>
      <c r="H22" s="213"/>
      <c r="I22" s="213"/>
      <c r="J22" s="213"/>
      <c r="K22" s="214"/>
    </row>
    <row r="23" spans="1:18" ht="15" customHeight="1" thickBot="1" x14ac:dyDescent="0.3">
      <c r="D23" s="594"/>
      <c r="E23" s="595"/>
      <c r="F23" s="595" t="s">
        <v>435</v>
      </c>
      <c r="G23" s="595"/>
      <c r="H23" s="595"/>
      <c r="I23" s="594"/>
      <c r="J23" s="595"/>
      <c r="K23" s="595" t="s">
        <v>434</v>
      </c>
      <c r="L23" s="595"/>
      <c r="M23" s="596"/>
      <c r="R23"/>
    </row>
    <row r="24" spans="1:18" ht="15" customHeight="1" thickBot="1" x14ac:dyDescent="0.3">
      <c r="D24" s="437" t="s">
        <v>339</v>
      </c>
      <c r="E24" s="438" t="s">
        <v>340</v>
      </c>
      <c r="F24" s="438" t="s">
        <v>341</v>
      </c>
      <c r="G24" s="438" t="s">
        <v>342</v>
      </c>
      <c r="H24" s="526" t="s">
        <v>343</v>
      </c>
      <c r="I24" s="437" t="s">
        <v>339</v>
      </c>
      <c r="J24" s="438" t="s">
        <v>340</v>
      </c>
      <c r="K24" s="438" t="s">
        <v>341</v>
      </c>
      <c r="L24" s="438" t="s">
        <v>342</v>
      </c>
      <c r="M24" s="439" t="s">
        <v>343</v>
      </c>
      <c r="R24"/>
    </row>
    <row r="25" spans="1:18" ht="15" customHeight="1" thickBot="1" x14ac:dyDescent="0.3">
      <c r="B25" s="143"/>
      <c r="D25" s="437" t="s">
        <v>68</v>
      </c>
      <c r="E25" s="438" t="s">
        <v>68</v>
      </c>
      <c r="F25" s="438" t="s">
        <v>68</v>
      </c>
      <c r="G25" s="438" t="s">
        <v>68</v>
      </c>
      <c r="H25" s="438" t="s">
        <v>68</v>
      </c>
      <c r="I25" s="437" t="s">
        <v>69</v>
      </c>
      <c r="J25" s="438" t="s">
        <v>69</v>
      </c>
      <c r="K25" s="438" t="s">
        <v>69</v>
      </c>
      <c r="L25" s="438" t="s">
        <v>69</v>
      </c>
      <c r="M25" s="439" t="s">
        <v>69</v>
      </c>
      <c r="R25"/>
    </row>
    <row r="26" spans="1:18" ht="15" customHeight="1" x14ac:dyDescent="0.25">
      <c r="B26" s="1722" t="s">
        <v>460</v>
      </c>
      <c r="C26" s="182" t="s">
        <v>476</v>
      </c>
      <c r="D26" s="460">
        <f ca="1">D50</f>
        <v>-0.19700260492019969</v>
      </c>
      <c r="E26" s="480">
        <f t="shared" ref="E26:M33" ca="1" si="0">E50</f>
        <v>-0.22302822205835282</v>
      </c>
      <c r="F26" s="463">
        <f t="shared" ca="1" si="0"/>
        <v>-0.16893912048756801</v>
      </c>
      <c r="G26" s="542">
        <f t="shared" ca="1" si="0"/>
        <v>-0.17263283450070147</v>
      </c>
      <c r="H26" s="468">
        <f t="shared" ca="1" si="0"/>
        <v>-0.17387030656757835</v>
      </c>
      <c r="I26" s="460">
        <f ca="1">I50</f>
        <v>-0.32901145701825896</v>
      </c>
      <c r="J26" s="480">
        <f t="shared" ca="1" si="0"/>
        <v>-0.4121080295863252</v>
      </c>
      <c r="K26" s="463">
        <f t="shared" ca="1" si="0"/>
        <v>-0.28644492646374708</v>
      </c>
      <c r="L26" s="542">
        <f t="shared" ca="1" si="0"/>
        <v>-0.24959191987918411</v>
      </c>
      <c r="M26" s="469">
        <f t="shared" ca="1" si="0"/>
        <v>-0.25702081796115911</v>
      </c>
      <c r="R26"/>
    </row>
    <row r="27" spans="1:18" ht="15" customHeight="1" thickBot="1" x14ac:dyDescent="0.3">
      <c r="B27" s="1724"/>
      <c r="C27" s="275" t="s">
        <v>462</v>
      </c>
      <c r="D27" s="461">
        <f t="shared" ref="D27:H33" ca="1" si="1">D51</f>
        <v>-0.15</v>
      </c>
      <c r="E27" s="482">
        <f t="shared" ca="1" si="1"/>
        <v>-0.20209943110023135</v>
      </c>
      <c r="F27" s="466">
        <f t="shared" ca="1" si="1"/>
        <v>-0.1559161120744437</v>
      </c>
      <c r="G27" s="543">
        <f t="shared" ca="1" si="1"/>
        <v>-0.16361529003093364</v>
      </c>
      <c r="H27" s="464">
        <f t="shared" ca="1" si="1"/>
        <v>-0.17870892179151812</v>
      </c>
      <c r="I27" s="461">
        <f t="shared" ca="1" si="0"/>
        <v>-0.25628602116013754</v>
      </c>
      <c r="J27" s="482">
        <f t="shared" ca="1" si="0"/>
        <v>-0.38580587725741877</v>
      </c>
      <c r="K27" s="466">
        <f t="shared" ca="1" si="0"/>
        <v>-0.2146896808215441</v>
      </c>
      <c r="L27" s="543">
        <f t="shared" ca="1" si="0"/>
        <v>-0.23819174419277514</v>
      </c>
      <c r="M27" s="471">
        <f t="shared" ca="1" si="0"/>
        <v>-0.25702081796115911</v>
      </c>
      <c r="R27"/>
    </row>
    <row r="28" spans="1:18" ht="15" customHeight="1" x14ac:dyDescent="0.25">
      <c r="B28" s="1722" t="s">
        <v>477</v>
      </c>
      <c r="C28" s="241" t="s">
        <v>476</v>
      </c>
      <c r="D28" s="460">
        <f t="shared" ca="1" si="1"/>
        <v>-0.18540313070608122</v>
      </c>
      <c r="E28" s="480">
        <f t="shared" ca="1" si="1"/>
        <v>-0.22757658922866755</v>
      </c>
      <c r="F28" s="463">
        <f t="shared" ca="1" si="1"/>
        <v>-0.17000494597255378</v>
      </c>
      <c r="G28" s="542">
        <f t="shared" ca="1" si="1"/>
        <v>-0.17915940140084177</v>
      </c>
      <c r="H28" s="468">
        <f t="shared" ca="1" si="1"/>
        <v>-0.17922535507802873</v>
      </c>
      <c r="I28" s="460">
        <f t="shared" ca="1" si="0"/>
        <v>-0.27013541713259681</v>
      </c>
      <c r="J28" s="480">
        <f t="shared" ca="1" si="0"/>
        <v>-0.29157888628640072</v>
      </c>
      <c r="K28" s="463">
        <f t="shared" ca="1" si="0"/>
        <v>-0.23432132301306846</v>
      </c>
      <c r="L28" s="542">
        <f t="shared" ca="1" si="0"/>
        <v>-0.21979595993959206</v>
      </c>
      <c r="M28" s="469">
        <f t="shared" ca="1" si="0"/>
        <v>-0.23530758405437743</v>
      </c>
      <c r="R28"/>
    </row>
    <row r="29" spans="1:18" ht="15" customHeight="1" thickBot="1" x14ac:dyDescent="0.3">
      <c r="B29" s="1724"/>
      <c r="C29" s="524" t="s">
        <v>462</v>
      </c>
      <c r="D29" s="462">
        <f t="shared" ca="1" si="1"/>
        <v>-0.15</v>
      </c>
      <c r="E29" s="483">
        <f t="shared" ca="1" si="1"/>
        <v>-0.21871156334851691</v>
      </c>
      <c r="F29" s="467">
        <f t="shared" ca="1" si="1"/>
        <v>-0.15055172220738045</v>
      </c>
      <c r="G29" s="544">
        <f t="shared" ca="1" si="1"/>
        <v>-0.1541691740185602</v>
      </c>
      <c r="H29" s="465">
        <f t="shared" ca="1" si="1"/>
        <v>-0.16077577854268627</v>
      </c>
      <c r="I29" s="462">
        <f t="shared" ca="1" si="0"/>
        <v>-0.2085957248453599</v>
      </c>
      <c r="J29" s="483">
        <f t="shared" ca="1" si="0"/>
        <v>-0.27821668820142481</v>
      </c>
      <c r="K29" s="467">
        <f t="shared" ca="1" si="0"/>
        <v>-0.1591022574908941</v>
      </c>
      <c r="L29" s="544">
        <f t="shared" ca="1" si="0"/>
        <v>-0.17732186637994851</v>
      </c>
      <c r="M29" s="470">
        <f t="shared" ca="1" si="0"/>
        <v>-0.1916752361966538</v>
      </c>
      <c r="R29"/>
    </row>
    <row r="30" spans="1:18" ht="15" customHeight="1" x14ac:dyDescent="0.25">
      <c r="B30" s="1722" t="s">
        <v>478</v>
      </c>
      <c r="C30" s="241" t="s">
        <v>476</v>
      </c>
      <c r="D30" s="460">
        <f t="shared" ca="1" si="1"/>
        <v>-0.15859828186401426</v>
      </c>
      <c r="E30" s="480">
        <f t="shared" ca="1" si="1"/>
        <v>-0.19703140274762021</v>
      </c>
      <c r="F30" s="463">
        <f t="shared" ca="1" si="1"/>
        <v>-0.14554966724466623</v>
      </c>
      <c r="G30" s="542">
        <f t="shared" ca="1" si="1"/>
        <v>-0.15672350913163197</v>
      </c>
      <c r="H30" s="468">
        <f t="shared" ca="1" si="1"/>
        <v>-0.14000000000000001</v>
      </c>
      <c r="I30" s="460">
        <f t="shared" ca="1" si="0"/>
        <v>-0.27943498844426617</v>
      </c>
      <c r="J30" s="480">
        <f t="shared" ca="1" si="0"/>
        <v>-0.25067913229920674</v>
      </c>
      <c r="K30" s="463">
        <f t="shared" ca="1" si="0"/>
        <v>-0.20645323958996015</v>
      </c>
      <c r="L30" s="542">
        <f t="shared" ca="1" si="0"/>
        <v>-0.19817753164645441</v>
      </c>
      <c r="M30" s="469">
        <f t="shared" ca="1" si="0"/>
        <v>-0.12</v>
      </c>
      <c r="R30"/>
    </row>
    <row r="31" spans="1:18" ht="15" customHeight="1" thickBot="1" x14ac:dyDescent="0.3">
      <c r="B31" s="1724"/>
      <c r="C31" s="524" t="s">
        <v>462</v>
      </c>
      <c r="D31" s="462">
        <f t="shared" ca="1" si="1"/>
        <v>-0.15</v>
      </c>
      <c r="E31" s="483">
        <f t="shared" ca="1" si="1"/>
        <v>-0.20294733630104622</v>
      </c>
      <c r="F31" s="467">
        <f t="shared" ca="1" si="1"/>
        <v>-0.13</v>
      </c>
      <c r="G31" s="544">
        <f t="shared" ca="1" si="1"/>
        <v>-0.14000000000000001</v>
      </c>
      <c r="H31" s="465">
        <f t="shared" ca="1" si="1"/>
        <v>-0.14000000000000001</v>
      </c>
      <c r="I31" s="462">
        <f t="shared" ca="1" si="0"/>
        <v>-0.16692404114049589</v>
      </c>
      <c r="J31" s="483">
        <f t="shared" ca="1" si="0"/>
        <v>-0.24958313878246352</v>
      </c>
      <c r="K31" s="467">
        <f t="shared" ca="1" si="0"/>
        <v>-0.15619658579439863</v>
      </c>
      <c r="L31" s="544">
        <f t="shared" ca="1" si="0"/>
        <v>-0.14519358047041556</v>
      </c>
      <c r="M31" s="470">
        <f t="shared" ca="1" si="0"/>
        <v>-0.12</v>
      </c>
      <c r="R31"/>
    </row>
    <row r="32" spans="1:18" ht="15" customHeight="1" x14ac:dyDescent="0.25">
      <c r="B32" s="1722" t="s">
        <v>465</v>
      </c>
      <c r="C32" s="241" t="s">
        <v>476</v>
      </c>
      <c r="D32" s="460">
        <f t="shared" ca="1" si="1"/>
        <v>-0.17347161663633265</v>
      </c>
      <c r="E32" s="480">
        <f t="shared" ca="1" si="1"/>
        <v>-0.19270165282333807</v>
      </c>
      <c r="F32" s="463">
        <f t="shared" ca="1" si="1"/>
        <v>-0.16013463940487116</v>
      </c>
      <c r="G32" s="542">
        <f t="shared" ca="1" si="1"/>
        <v>-0.14836175456581599</v>
      </c>
      <c r="H32" s="468">
        <f t="shared" ca="1" si="1"/>
        <v>-0.14000000000000001</v>
      </c>
      <c r="I32" s="460">
        <f t="shared" ca="1" si="0"/>
        <v>-0.24285476220291077</v>
      </c>
      <c r="J32" s="480">
        <f t="shared" ca="1" si="0"/>
        <v>-0.2313422528117996</v>
      </c>
      <c r="K32" s="463">
        <f t="shared" ca="1" si="0"/>
        <v>-0.21407745849022475</v>
      </c>
      <c r="L32" s="542">
        <f t="shared" ca="1" si="0"/>
        <v>-0.17416342290199252</v>
      </c>
      <c r="M32" s="469">
        <f t="shared" ca="1" si="0"/>
        <v>-0.12452334376229594</v>
      </c>
      <c r="R32"/>
    </row>
    <row r="33" spans="2:18" ht="15" customHeight="1" thickBot="1" x14ac:dyDescent="0.3">
      <c r="B33" s="1724"/>
      <c r="C33" s="524" t="s">
        <v>462</v>
      </c>
      <c r="D33" s="462">
        <f t="shared" ca="1" si="1"/>
        <v>-0.15</v>
      </c>
      <c r="E33" s="483">
        <f t="shared" ca="1" si="1"/>
        <v>-0.19608750393160157</v>
      </c>
      <c r="F33" s="467">
        <f t="shared" ca="1" si="1"/>
        <v>-0.13</v>
      </c>
      <c r="G33" s="544">
        <f t="shared" ca="1" si="1"/>
        <v>-0.13</v>
      </c>
      <c r="H33" s="465">
        <f t="shared" ca="1" si="1"/>
        <v>-0.14000000000000001</v>
      </c>
      <c r="I33" s="462">
        <f t="shared" ca="1" si="0"/>
        <v>-0.17232789560562783</v>
      </c>
      <c r="J33" s="483">
        <f t="shared" ca="1" si="0"/>
        <v>-0.21869791016064341</v>
      </c>
      <c r="K33" s="467">
        <f t="shared" ca="1" si="0"/>
        <v>-0.16056268342679841</v>
      </c>
      <c r="L33" s="544">
        <f t="shared" ca="1" si="0"/>
        <v>-0.13779037070562333</v>
      </c>
      <c r="M33" s="470">
        <f t="shared" ca="1" si="0"/>
        <v>-0.12</v>
      </c>
      <c r="R33"/>
    </row>
    <row r="34" spans="2:18" ht="15" customHeight="1" thickBot="1" x14ac:dyDescent="0.3">
      <c r="B34" s="143"/>
      <c r="D34" s="437" t="s">
        <v>71</v>
      </c>
      <c r="E34" s="438" t="s">
        <v>71</v>
      </c>
      <c r="F34" s="438" t="s">
        <v>71</v>
      </c>
      <c r="G34" s="438" t="s">
        <v>71</v>
      </c>
      <c r="H34" s="438" t="s">
        <v>71</v>
      </c>
      <c r="I34" s="437" t="s">
        <v>72</v>
      </c>
      <c r="J34" s="438" t="s">
        <v>72</v>
      </c>
      <c r="K34" s="438" t="s">
        <v>72</v>
      </c>
      <c r="L34" s="438" t="s">
        <v>72</v>
      </c>
      <c r="M34" s="439" t="s">
        <v>72</v>
      </c>
      <c r="R34"/>
    </row>
    <row r="35" spans="2:18" ht="15" customHeight="1" x14ac:dyDescent="0.25">
      <c r="B35" s="1722" t="str">
        <f>$B$26</f>
        <v>North row</v>
      </c>
      <c r="C35" s="183" t="str">
        <f>$C$26</f>
        <v>1st-10th module</v>
      </c>
      <c r="D35" s="460">
        <f ca="1">D59</f>
        <v>-5.1511488083914895E-3</v>
      </c>
      <c r="E35" s="480">
        <f t="shared" ref="E35:M42" ca="1" si="2">E59</f>
        <v>3.6688387498149587E-2</v>
      </c>
      <c r="F35" s="463">
        <f t="shared" ca="1" si="2"/>
        <v>7.1972433760657525E-2</v>
      </c>
      <c r="G35" s="542">
        <f t="shared" ca="1" si="2"/>
        <v>1.0567451240171073E-2</v>
      </c>
      <c r="H35" s="468">
        <f t="shared" ca="1" si="2"/>
        <v>1.4911139492671142E-2</v>
      </c>
      <c r="I35" s="460">
        <f t="shared" ca="1" si="2"/>
        <v>-0.36139215690620818</v>
      </c>
      <c r="J35" s="480">
        <f t="shared" ca="1" si="2"/>
        <v>0.13671622488929014</v>
      </c>
      <c r="K35" s="463">
        <f t="shared" ca="1" si="2"/>
        <v>0.27868374555096848</v>
      </c>
      <c r="L35" s="542">
        <f t="shared" ca="1" si="2"/>
        <v>-1.5041990675863856E-2</v>
      </c>
      <c r="M35" s="469">
        <f t="shared" ca="1" si="2"/>
        <v>0.18210534286733593</v>
      </c>
      <c r="R35"/>
    </row>
    <row r="36" spans="2:18" ht="15" customHeight="1" thickBot="1" x14ac:dyDescent="0.3">
      <c r="B36" s="1724"/>
      <c r="C36" s="278" t="str">
        <f>$C$27</f>
        <v>Interior modules</v>
      </c>
      <c r="D36" s="461">
        <f t="shared" ref="D36:H42" ca="1" si="3">D60</f>
        <v>1.7265662984144219E-2</v>
      </c>
      <c r="E36" s="482">
        <f t="shared" ca="1" si="3"/>
        <v>4.4357842132075762E-2</v>
      </c>
      <c r="F36" s="466">
        <f t="shared" ca="1" si="3"/>
        <v>6.8944606051849752E-2</v>
      </c>
      <c r="G36" s="543">
        <f t="shared" ca="1" si="3"/>
        <v>3.5893651954334936E-2</v>
      </c>
      <c r="H36" s="464">
        <f t="shared" ca="1" si="3"/>
        <v>1.5468085491114456E-2</v>
      </c>
      <c r="I36" s="461">
        <f t="shared" ca="1" si="2"/>
        <v>-0.24783150718401609</v>
      </c>
      <c r="J36" s="482">
        <f t="shared" ca="1" si="2"/>
        <v>6.4981229604872473E-2</v>
      </c>
      <c r="K36" s="466">
        <f t="shared" ca="1" si="2"/>
        <v>0.14551395945180159</v>
      </c>
      <c r="L36" s="543">
        <f t="shared" ca="1" si="2"/>
        <v>0.1205214998658596</v>
      </c>
      <c r="M36" s="471">
        <f t="shared" ca="1" si="2"/>
        <v>0.15348578470717331</v>
      </c>
      <c r="R36"/>
    </row>
    <row r="37" spans="2:18" ht="15" customHeight="1" x14ac:dyDescent="0.25">
      <c r="B37" s="1722" t="str">
        <f>$B$28</f>
        <v>Inner rows, 2nd to 4th row from north</v>
      </c>
      <c r="C37" s="183" t="str">
        <f>$C$26</f>
        <v>1st-10th module</v>
      </c>
      <c r="D37" s="460">
        <f t="shared" ca="1" si="3"/>
        <v>5.1743896961319411E-2</v>
      </c>
      <c r="E37" s="480">
        <f t="shared" ca="1" si="3"/>
        <v>3.8106083085550239E-2</v>
      </c>
      <c r="F37" s="463">
        <f t="shared" ca="1" si="3"/>
        <v>6.475471099781599E-2</v>
      </c>
      <c r="G37" s="542">
        <f t="shared" ca="1" si="3"/>
        <v>5.2467936480042124E-3</v>
      </c>
      <c r="H37" s="468">
        <f t="shared" ca="1" si="3"/>
        <v>2.0229284671253768E-3</v>
      </c>
      <c r="I37" s="460">
        <f t="shared" ca="1" si="2"/>
        <v>0.12701208472876624</v>
      </c>
      <c r="J37" s="480">
        <f t="shared" ca="1" si="2"/>
        <v>0.12575443911706355</v>
      </c>
      <c r="K37" s="463">
        <f t="shared" ca="1" si="2"/>
        <v>-9.0611378784955565E-2</v>
      </c>
      <c r="L37" s="542">
        <f t="shared" ca="1" si="2"/>
        <v>0.14562116908815917</v>
      </c>
      <c r="M37" s="469">
        <f t="shared" ca="1" si="2"/>
        <v>-6.2362238002940593E-2</v>
      </c>
      <c r="R37"/>
    </row>
    <row r="38" spans="2:18" ht="15" customHeight="1" thickBot="1" x14ac:dyDescent="0.3">
      <c r="B38" s="1724"/>
      <c r="C38" s="278" t="str">
        <f>$C$27</f>
        <v>Interior modules</v>
      </c>
      <c r="D38" s="462">
        <f t="shared" ca="1" si="3"/>
        <v>1.7265662984144219E-2</v>
      </c>
      <c r="E38" s="483">
        <f t="shared" ca="1" si="3"/>
        <v>3.8746027760233344E-2</v>
      </c>
      <c r="F38" s="467">
        <f t="shared" ca="1" si="3"/>
        <v>5.4029286231111244E-2</v>
      </c>
      <c r="G38" s="544">
        <f t="shared" ca="1" si="3"/>
        <v>8.4422023112491161E-3</v>
      </c>
      <c r="H38" s="465">
        <f t="shared" ca="1" si="3"/>
        <v>-1.0069933727048825E-4</v>
      </c>
      <c r="I38" s="462">
        <f t="shared" ca="1" si="2"/>
        <v>-0.22887233501652407</v>
      </c>
      <c r="J38" s="483">
        <f t="shared" ca="1" si="2"/>
        <v>0.10340788963337254</v>
      </c>
      <c r="K38" s="467">
        <f t="shared" ca="1" si="2"/>
        <v>0.16979605680504839</v>
      </c>
      <c r="L38" s="544">
        <f t="shared" ca="1" si="2"/>
        <v>6.6222412849202578E-2</v>
      </c>
      <c r="M38" s="470">
        <f t="shared" ca="1" si="2"/>
        <v>0.14232746587326398</v>
      </c>
      <c r="R38"/>
    </row>
    <row r="39" spans="2:18" ht="15" customHeight="1" x14ac:dyDescent="0.25">
      <c r="B39" s="1722" t="str">
        <f>$B$30</f>
        <v>Inner rows, from 5th row from north</v>
      </c>
      <c r="C39" s="183" t="str">
        <f>$C$26</f>
        <v>1st-10th module</v>
      </c>
      <c r="D39" s="460">
        <f t="shared" ca="1" si="3"/>
        <v>1.8255363230189361E-2</v>
      </c>
      <c r="E39" s="480">
        <f t="shared" ca="1" si="3"/>
        <v>3.0508060434244613E-2</v>
      </c>
      <c r="F39" s="463">
        <f t="shared" ca="1" si="3"/>
        <v>5.8107114915166812E-2</v>
      </c>
      <c r="G39" s="542">
        <f t="shared" ca="1" si="3"/>
        <v>4.8466006751388653E-3</v>
      </c>
      <c r="H39" s="468">
        <f t="shared" ca="1" si="3"/>
        <v>-2.4920832742785864E-3</v>
      </c>
      <c r="I39" s="460">
        <f t="shared" ca="1" si="2"/>
        <v>0.15164440073492272</v>
      </c>
      <c r="J39" s="480">
        <f t="shared" ca="1" si="2"/>
        <v>0.20286660212400529</v>
      </c>
      <c r="K39" s="463">
        <f t="shared" ca="1" si="2"/>
        <v>3.3087988297098705E-2</v>
      </c>
      <c r="L39" s="542">
        <f t="shared" ca="1" si="2"/>
        <v>0.13923056319612548</v>
      </c>
      <c r="M39" s="469">
        <f t="shared" ca="1" si="2"/>
        <v>-2.8223803871824861E-2</v>
      </c>
      <c r="R39"/>
    </row>
    <row r="40" spans="2:18" ht="15" customHeight="1" thickBot="1" x14ac:dyDescent="0.3">
      <c r="B40" s="1724"/>
      <c r="C40" s="278" t="str">
        <f>$C$27</f>
        <v>Interior modules</v>
      </c>
      <c r="D40" s="462">
        <f t="shared" ca="1" si="3"/>
        <v>1.7265662984144219E-2</v>
      </c>
      <c r="E40" s="483">
        <f t="shared" ca="1" si="3"/>
        <v>3.7587971257739695E-2</v>
      </c>
      <c r="F40" s="467">
        <f t="shared" ca="1" si="3"/>
        <v>7.0783680764698056E-2</v>
      </c>
      <c r="G40" s="544">
        <f t="shared" ca="1" si="3"/>
        <v>2.2369735345524604E-2</v>
      </c>
      <c r="H40" s="465">
        <f t="shared" ca="1" si="3"/>
        <v>-2.4920832742785864E-3</v>
      </c>
      <c r="I40" s="462">
        <f t="shared" ca="1" si="2"/>
        <v>0.13187631405116734</v>
      </c>
      <c r="J40" s="483">
        <f t="shared" ca="1" si="2"/>
        <v>0.19401804350278007</v>
      </c>
      <c r="K40" s="467">
        <f t="shared" ca="1" si="2"/>
        <v>0.17136374500011592</v>
      </c>
      <c r="L40" s="544">
        <f t="shared" ca="1" si="2"/>
        <v>0.12040018275083529</v>
      </c>
      <c r="M40" s="470">
        <f t="shared" ca="1" si="2"/>
        <v>-2.8223803871824861E-2</v>
      </c>
      <c r="R40"/>
    </row>
    <row r="41" spans="2:18" ht="15" customHeight="1" x14ac:dyDescent="0.25">
      <c r="B41" s="1722" t="str">
        <f>$B$32</f>
        <v>South row</v>
      </c>
      <c r="C41" s="183" t="str">
        <f>$C$26</f>
        <v>1st-10th module</v>
      </c>
      <c r="D41" s="460">
        <f t="shared" ca="1" si="3"/>
        <v>2.4819898441123558E-2</v>
      </c>
      <c r="E41" s="480">
        <f t="shared" ca="1" si="3"/>
        <v>3.8147495955747034E-2</v>
      </c>
      <c r="F41" s="463">
        <f t="shared" ca="1" si="3"/>
        <v>6.3739068631938969E-2</v>
      </c>
      <c r="G41" s="542">
        <f t="shared" ca="1" si="3"/>
        <v>2.3332210254121511E-2</v>
      </c>
      <c r="H41" s="468">
        <f t="shared" ca="1" si="3"/>
        <v>-2.4920832742785864E-3</v>
      </c>
      <c r="I41" s="460">
        <f t="shared" ca="1" si="2"/>
        <v>0.37411273081864599</v>
      </c>
      <c r="J41" s="480">
        <f t="shared" ca="1" si="2"/>
        <v>-9.1908760293275844E-3</v>
      </c>
      <c r="K41" s="463">
        <f t="shared" ca="1" si="2"/>
        <v>0.16151473558966439</v>
      </c>
      <c r="L41" s="542">
        <f t="shared" ca="1" si="2"/>
        <v>0.17891149003509216</v>
      </c>
      <c r="M41" s="469">
        <f t="shared" ca="1" si="2"/>
        <v>-2.2404772857911752E-2</v>
      </c>
      <c r="R41"/>
    </row>
    <row r="42" spans="2:18" ht="15" customHeight="1" thickBot="1" x14ac:dyDescent="0.3">
      <c r="B42" s="1724"/>
      <c r="C42" s="278" t="str">
        <f>$C$27</f>
        <v>Interior modules</v>
      </c>
      <c r="D42" s="462">
        <f t="shared" ca="1" si="3"/>
        <v>1.7265662984144219E-2</v>
      </c>
      <c r="E42" s="483">
        <f t="shared" ca="1" si="3"/>
        <v>3.6323216316738932E-2</v>
      </c>
      <c r="F42" s="467">
        <f t="shared" ca="1" si="3"/>
        <v>7.0783680764698056E-2</v>
      </c>
      <c r="G42" s="544">
        <f t="shared" ca="1" si="3"/>
        <v>7.0783680764698056E-2</v>
      </c>
      <c r="H42" s="465">
        <f t="shared" ca="1" si="3"/>
        <v>-2.4920832742785864E-3</v>
      </c>
      <c r="I42" s="462">
        <f ca="1">I66</f>
        <v>2.5084089076183983E-2</v>
      </c>
      <c r="J42" s="483">
        <f t="shared" ca="1" si="2"/>
        <v>5.5600696927049567E-2</v>
      </c>
      <c r="K42" s="467">
        <f t="shared" ca="1" si="2"/>
        <v>0.18495285751799867</v>
      </c>
      <c r="L42" s="544">
        <f t="shared" ca="1" si="2"/>
        <v>0.18129439413206938</v>
      </c>
      <c r="M42" s="470">
        <f ca="1">M66</f>
        <v>-2.8223803871824861E-2</v>
      </c>
      <c r="R42"/>
    </row>
    <row r="43" spans="2:18" ht="15" customHeight="1" x14ac:dyDescent="0.25">
      <c r="B43" s="145"/>
      <c r="C43" s="146"/>
      <c r="D43" s="187"/>
      <c r="E43" s="187"/>
      <c r="F43" s="187"/>
      <c r="G43" s="187"/>
      <c r="H43" s="187"/>
      <c r="I43" s="187"/>
      <c r="J43" s="187"/>
      <c r="K43" s="187"/>
      <c r="L43" s="187"/>
      <c r="M43" s="187"/>
      <c r="N43" s="187"/>
      <c r="O43" s="187"/>
      <c r="P43" s="187"/>
      <c r="Q43" s="187"/>
      <c r="R43"/>
    </row>
    <row r="44" spans="2:18" s="613" customFormat="1" ht="15" customHeight="1" thickBot="1" x14ac:dyDescent="0.3">
      <c r="B44" s="611"/>
      <c r="C44" s="612"/>
      <c r="D44" s="380"/>
      <c r="E44" s="380"/>
      <c r="F44" s="380"/>
      <c r="G44" s="380"/>
      <c r="H44" s="380"/>
      <c r="I44" s="380"/>
      <c r="J44" s="380"/>
      <c r="K44" s="380"/>
      <c r="L44" s="380"/>
      <c r="M44" s="380"/>
      <c r="N44" s="380"/>
      <c r="O44" s="380"/>
      <c r="P44" s="380"/>
      <c r="Q44" s="380"/>
    </row>
    <row r="45" spans="2:18" ht="15" customHeight="1" x14ac:dyDescent="0.25">
      <c r="C45" s="231"/>
      <c r="D45" s="187"/>
      <c r="E45" s="187"/>
      <c r="F45" s="187"/>
      <c r="G45" s="187"/>
      <c r="H45" s="187"/>
      <c r="I45" s="187"/>
      <c r="J45" s="187"/>
      <c r="K45" s="187"/>
      <c r="L45" s="187"/>
      <c r="M45" s="187"/>
      <c r="N45" s="187"/>
      <c r="O45" s="187"/>
      <c r="P45" s="187"/>
      <c r="Q45" s="187"/>
      <c r="R45"/>
    </row>
    <row r="46" spans="2:18" ht="15" customHeight="1" thickBot="1" x14ac:dyDescent="0.3">
      <c r="B46" s="144" t="s">
        <v>466</v>
      </c>
      <c r="C46" s="231"/>
      <c r="D46" s="187"/>
      <c r="E46" s="187"/>
      <c r="F46" s="187"/>
      <c r="G46" s="187"/>
      <c r="H46" s="187"/>
      <c r="I46" s="187"/>
      <c r="J46" s="187"/>
      <c r="K46" s="187"/>
      <c r="L46" s="187"/>
      <c r="M46" s="187"/>
      <c r="N46" s="187"/>
      <c r="O46" s="187"/>
      <c r="P46" s="187"/>
      <c r="Q46" s="187"/>
      <c r="R46"/>
    </row>
    <row r="47" spans="2:18" ht="15" customHeight="1" thickBot="1" x14ac:dyDescent="0.3">
      <c r="C47" s="231"/>
      <c r="D47" s="591"/>
      <c r="E47" s="592"/>
      <c r="F47" s="592" t="str">
        <f>$F$23</f>
        <v>Sliding</v>
      </c>
      <c r="G47" s="592"/>
      <c r="H47" s="592"/>
      <c r="I47" s="591"/>
      <c r="J47" s="592"/>
      <c r="K47" s="592" t="str">
        <f>$K$23</f>
        <v>Uplift</v>
      </c>
      <c r="L47" s="592"/>
      <c r="M47" s="593"/>
      <c r="R47"/>
    </row>
    <row r="48" spans="2:18" ht="15" customHeight="1" thickBot="1" x14ac:dyDescent="0.3">
      <c r="C48" s="231"/>
      <c r="D48" s="437" t="str">
        <f>$D$24</f>
        <v>Roof position 1</v>
      </c>
      <c r="E48" s="438" t="str">
        <f>$E$24</f>
        <v>Roof position 2</v>
      </c>
      <c r="F48" s="438" t="str">
        <f>$F$24</f>
        <v>Roof position 3</v>
      </c>
      <c r="G48" s="438" t="str">
        <f>$G$24</f>
        <v>Roof position 4</v>
      </c>
      <c r="H48" s="526" t="str">
        <f>$H$24</f>
        <v>Roof position 5</v>
      </c>
      <c r="I48" s="437" t="str">
        <f>$I$24</f>
        <v>Roof position 1</v>
      </c>
      <c r="J48" s="438" t="str">
        <f>$J$24</f>
        <v>Roof position 2</v>
      </c>
      <c r="K48" s="438" t="str">
        <f>$K$24</f>
        <v>Roof position 3</v>
      </c>
      <c r="L48" s="438" t="str">
        <f>$L$24</f>
        <v>Roof position 4</v>
      </c>
      <c r="M48" s="439" t="str">
        <f>$H$24</f>
        <v>Roof position 5</v>
      </c>
      <c r="R48"/>
    </row>
    <row r="49" spans="2:18" ht="15" customHeight="1" thickBot="1" x14ac:dyDescent="0.3">
      <c r="B49" s="143"/>
      <c r="C49" s="231"/>
      <c r="D49" s="437" t="s">
        <v>68</v>
      </c>
      <c r="E49" s="438" t="s">
        <v>68</v>
      </c>
      <c r="F49" s="438" t="s">
        <v>68</v>
      </c>
      <c r="G49" s="438" t="s">
        <v>68</v>
      </c>
      <c r="H49" s="438" t="s">
        <v>68</v>
      </c>
      <c r="I49" s="437" t="s">
        <v>69</v>
      </c>
      <c r="J49" s="438" t="s">
        <v>69</v>
      </c>
      <c r="K49" s="438" t="s">
        <v>69</v>
      </c>
      <c r="L49" s="438" t="s">
        <v>69</v>
      </c>
      <c r="M49" s="439" t="s">
        <v>69</v>
      </c>
      <c r="R49"/>
    </row>
    <row r="50" spans="2:18" ht="15" customHeight="1" x14ac:dyDescent="0.25">
      <c r="B50" s="1722" t="str">
        <f>$B$26</f>
        <v>North row</v>
      </c>
      <c r="C50" s="183" t="str">
        <f>$C$26</f>
        <v>1st-10th module</v>
      </c>
      <c r="D50" s="189">
        <f ca="1">D101</f>
        <v>-0.19700260492019969</v>
      </c>
      <c r="E50" s="190">
        <f t="shared" ref="E50:M57" ca="1" si="4">E101</f>
        <v>-0.22302822205835282</v>
      </c>
      <c r="F50" s="190">
        <f t="shared" ca="1" si="4"/>
        <v>-0.16893912048756801</v>
      </c>
      <c r="G50" s="573">
        <f t="shared" ca="1" si="4"/>
        <v>-0.17263283450070147</v>
      </c>
      <c r="H50" s="573">
        <f t="shared" ca="1" si="4"/>
        <v>-0.17387030656757835</v>
      </c>
      <c r="I50" s="189">
        <f ca="1">I101</f>
        <v>-0.32901145701825896</v>
      </c>
      <c r="J50" s="190">
        <f t="shared" ca="1" si="4"/>
        <v>-0.4121080295863252</v>
      </c>
      <c r="K50" s="190">
        <f t="shared" ca="1" si="4"/>
        <v>-0.28644492646374708</v>
      </c>
      <c r="L50" s="190">
        <f t="shared" ca="1" si="4"/>
        <v>-0.24959191987918411</v>
      </c>
      <c r="M50" s="191">
        <f t="shared" ca="1" si="4"/>
        <v>-0.25702081796115911</v>
      </c>
      <c r="R50"/>
    </row>
    <row r="51" spans="2:18" ht="15" customHeight="1" thickBot="1" x14ac:dyDescent="0.3">
      <c r="B51" s="1724"/>
      <c r="C51" s="278" t="str">
        <f>$C$27</f>
        <v>Interior modules</v>
      </c>
      <c r="D51" s="578">
        <f t="shared" ref="D51:D57" ca="1" si="5">D102</f>
        <v>-0.15</v>
      </c>
      <c r="E51" s="579">
        <f t="shared" ca="1" si="4"/>
        <v>-0.20209943110023135</v>
      </c>
      <c r="F51" s="579">
        <f t="shared" ca="1" si="4"/>
        <v>-0.1559161120744437</v>
      </c>
      <c r="G51" s="580">
        <f t="shared" ca="1" si="4"/>
        <v>-0.16361529003093364</v>
      </c>
      <c r="H51" s="580">
        <f t="shared" ca="1" si="4"/>
        <v>-0.17870892179151812</v>
      </c>
      <c r="I51" s="578">
        <f t="shared" ca="1" si="4"/>
        <v>-0.25628602116013754</v>
      </c>
      <c r="J51" s="579">
        <f t="shared" ca="1" si="4"/>
        <v>-0.38580587725741877</v>
      </c>
      <c r="K51" s="579">
        <f t="shared" ca="1" si="4"/>
        <v>-0.2146896808215441</v>
      </c>
      <c r="L51" s="579">
        <f t="shared" ca="1" si="4"/>
        <v>-0.23819174419277514</v>
      </c>
      <c r="M51" s="581">
        <f t="shared" ca="1" si="4"/>
        <v>-0.25702081796115911</v>
      </c>
      <c r="R51"/>
    </row>
    <row r="52" spans="2:18" ht="15" customHeight="1" x14ac:dyDescent="0.25">
      <c r="B52" s="1722" t="str">
        <f>$B$28</f>
        <v>Inner rows, 2nd to 4th row from north</v>
      </c>
      <c r="C52" s="183" t="str">
        <f>$C$26</f>
        <v>1st-10th module</v>
      </c>
      <c r="D52" s="189">
        <f t="shared" ca="1" si="5"/>
        <v>-0.18540313070608122</v>
      </c>
      <c r="E52" s="190">
        <f t="shared" ca="1" si="4"/>
        <v>-0.22757658922866755</v>
      </c>
      <c r="F52" s="190">
        <f t="shared" ca="1" si="4"/>
        <v>-0.17000494597255378</v>
      </c>
      <c r="G52" s="573">
        <f t="shared" ca="1" si="4"/>
        <v>-0.17915940140084177</v>
      </c>
      <c r="H52" s="573">
        <f t="shared" ca="1" si="4"/>
        <v>-0.17922535507802873</v>
      </c>
      <c r="I52" s="189">
        <f t="shared" ca="1" si="4"/>
        <v>-0.27013541713259681</v>
      </c>
      <c r="J52" s="190">
        <f t="shared" ca="1" si="4"/>
        <v>-0.29157888628640072</v>
      </c>
      <c r="K52" s="190">
        <f t="shared" ca="1" si="4"/>
        <v>-0.23432132301306846</v>
      </c>
      <c r="L52" s="190">
        <f t="shared" ca="1" si="4"/>
        <v>-0.21979595993959206</v>
      </c>
      <c r="M52" s="191">
        <f t="shared" ca="1" si="4"/>
        <v>-0.23530758405437743</v>
      </c>
      <c r="R52"/>
    </row>
    <row r="53" spans="2:18" ht="15" customHeight="1" thickBot="1" x14ac:dyDescent="0.3">
      <c r="B53" s="1724"/>
      <c r="C53" s="278" t="str">
        <f>$C$27</f>
        <v>Interior modules</v>
      </c>
      <c r="D53" s="578">
        <f t="shared" ca="1" si="5"/>
        <v>-0.15</v>
      </c>
      <c r="E53" s="579">
        <f t="shared" ca="1" si="4"/>
        <v>-0.21871156334851691</v>
      </c>
      <c r="F53" s="579">
        <f t="shared" ca="1" si="4"/>
        <v>-0.15055172220738045</v>
      </c>
      <c r="G53" s="580">
        <f t="shared" ca="1" si="4"/>
        <v>-0.1541691740185602</v>
      </c>
      <c r="H53" s="580">
        <f t="shared" ca="1" si="4"/>
        <v>-0.16077577854268627</v>
      </c>
      <c r="I53" s="578">
        <f t="shared" ca="1" si="4"/>
        <v>-0.2085957248453599</v>
      </c>
      <c r="J53" s="579">
        <f t="shared" ca="1" si="4"/>
        <v>-0.27821668820142481</v>
      </c>
      <c r="K53" s="579">
        <f t="shared" ca="1" si="4"/>
        <v>-0.1591022574908941</v>
      </c>
      <c r="L53" s="579">
        <f t="shared" ca="1" si="4"/>
        <v>-0.17732186637994851</v>
      </c>
      <c r="M53" s="581">
        <f t="shared" ca="1" si="4"/>
        <v>-0.1916752361966538</v>
      </c>
      <c r="R53"/>
    </row>
    <row r="54" spans="2:18" ht="15" customHeight="1" x14ac:dyDescent="0.25">
      <c r="B54" s="1722" t="str">
        <f>$B$30</f>
        <v>Inner rows, from 5th row from north</v>
      </c>
      <c r="C54" s="183" t="str">
        <f>$C$26</f>
        <v>1st-10th module</v>
      </c>
      <c r="D54" s="189">
        <f t="shared" ca="1" si="5"/>
        <v>-0.15859828186401426</v>
      </c>
      <c r="E54" s="190">
        <f t="shared" ca="1" si="4"/>
        <v>-0.19703140274762021</v>
      </c>
      <c r="F54" s="190">
        <f t="shared" ca="1" si="4"/>
        <v>-0.14554966724466623</v>
      </c>
      <c r="G54" s="573">
        <f t="shared" ca="1" si="4"/>
        <v>-0.15672350913163197</v>
      </c>
      <c r="H54" s="573">
        <f t="shared" ca="1" si="4"/>
        <v>-0.14000000000000001</v>
      </c>
      <c r="I54" s="189">
        <f t="shared" ca="1" si="4"/>
        <v>-0.27943498844426617</v>
      </c>
      <c r="J54" s="190">
        <f t="shared" ca="1" si="4"/>
        <v>-0.25067913229920674</v>
      </c>
      <c r="K54" s="190">
        <f t="shared" ca="1" si="4"/>
        <v>-0.20645323958996015</v>
      </c>
      <c r="L54" s="190">
        <f t="shared" ca="1" si="4"/>
        <v>-0.19817753164645441</v>
      </c>
      <c r="M54" s="191">
        <f t="shared" ca="1" si="4"/>
        <v>-0.12</v>
      </c>
      <c r="R54"/>
    </row>
    <row r="55" spans="2:18" ht="15" customHeight="1" thickBot="1" x14ac:dyDescent="0.3">
      <c r="B55" s="1724"/>
      <c r="C55" s="278" t="str">
        <f>$C$27</f>
        <v>Interior modules</v>
      </c>
      <c r="D55" s="582">
        <f t="shared" ca="1" si="5"/>
        <v>-0.15</v>
      </c>
      <c r="E55" s="583">
        <f t="shared" ca="1" si="4"/>
        <v>-0.20294733630104622</v>
      </c>
      <c r="F55" s="583">
        <f t="shared" ca="1" si="4"/>
        <v>-0.13</v>
      </c>
      <c r="G55" s="584">
        <f t="shared" ca="1" si="4"/>
        <v>-0.14000000000000001</v>
      </c>
      <c r="H55" s="584">
        <f t="shared" ca="1" si="4"/>
        <v>-0.14000000000000001</v>
      </c>
      <c r="I55" s="582">
        <f t="shared" ca="1" si="4"/>
        <v>-0.16692404114049589</v>
      </c>
      <c r="J55" s="583">
        <f t="shared" ca="1" si="4"/>
        <v>-0.24958313878246352</v>
      </c>
      <c r="K55" s="583">
        <f t="shared" ca="1" si="4"/>
        <v>-0.15619658579439863</v>
      </c>
      <c r="L55" s="583">
        <f t="shared" ca="1" si="4"/>
        <v>-0.14519358047041556</v>
      </c>
      <c r="M55" s="585">
        <f t="shared" ca="1" si="4"/>
        <v>-0.12</v>
      </c>
      <c r="R55"/>
    </row>
    <row r="56" spans="2:18" ht="15" customHeight="1" x14ac:dyDescent="0.25">
      <c r="B56" s="1722" t="str">
        <f>$B$32</f>
        <v>South row</v>
      </c>
      <c r="C56" s="183" t="str">
        <f>$C$26</f>
        <v>1st-10th module</v>
      </c>
      <c r="D56" s="189">
        <f t="shared" ca="1" si="5"/>
        <v>-0.17347161663633265</v>
      </c>
      <c r="E56" s="190">
        <f t="shared" ca="1" si="4"/>
        <v>-0.19270165282333807</v>
      </c>
      <c r="F56" s="190">
        <f t="shared" ca="1" si="4"/>
        <v>-0.16013463940487116</v>
      </c>
      <c r="G56" s="573">
        <f t="shared" ca="1" si="4"/>
        <v>-0.14836175456581599</v>
      </c>
      <c r="H56" s="573">
        <f t="shared" ca="1" si="4"/>
        <v>-0.14000000000000001</v>
      </c>
      <c r="I56" s="189">
        <f t="shared" ca="1" si="4"/>
        <v>-0.24285476220291077</v>
      </c>
      <c r="J56" s="190">
        <f t="shared" ca="1" si="4"/>
        <v>-0.2313422528117996</v>
      </c>
      <c r="K56" s="190">
        <f t="shared" ca="1" si="4"/>
        <v>-0.21407745849022475</v>
      </c>
      <c r="L56" s="190">
        <f t="shared" ca="1" si="4"/>
        <v>-0.17416342290199252</v>
      </c>
      <c r="M56" s="191">
        <f t="shared" ca="1" si="4"/>
        <v>-0.12452334376229594</v>
      </c>
      <c r="R56"/>
    </row>
    <row r="57" spans="2:18" ht="15" customHeight="1" thickBot="1" x14ac:dyDescent="0.3">
      <c r="B57" s="1724"/>
      <c r="C57" s="278" t="str">
        <f>$C$27</f>
        <v>Interior modules</v>
      </c>
      <c r="D57" s="578">
        <f t="shared" ca="1" si="5"/>
        <v>-0.15</v>
      </c>
      <c r="E57" s="579">
        <f t="shared" ca="1" si="4"/>
        <v>-0.19608750393160157</v>
      </c>
      <c r="F57" s="579">
        <f t="shared" ca="1" si="4"/>
        <v>-0.13</v>
      </c>
      <c r="G57" s="580">
        <f t="shared" ca="1" si="4"/>
        <v>-0.13</v>
      </c>
      <c r="H57" s="580">
        <f ca="1">H108</f>
        <v>-0.14000000000000001</v>
      </c>
      <c r="I57" s="578">
        <f ca="1">I108</f>
        <v>-0.17232789560562783</v>
      </c>
      <c r="J57" s="579">
        <f t="shared" ca="1" si="4"/>
        <v>-0.21869791016064341</v>
      </c>
      <c r="K57" s="579">
        <f t="shared" ca="1" si="4"/>
        <v>-0.16056268342679841</v>
      </c>
      <c r="L57" s="579">
        <f t="shared" ca="1" si="4"/>
        <v>-0.13779037070562333</v>
      </c>
      <c r="M57" s="581">
        <f ca="1">M108</f>
        <v>-0.12</v>
      </c>
      <c r="R57"/>
    </row>
    <row r="58" spans="2:18" ht="15" customHeight="1" thickBot="1" x14ac:dyDescent="0.3">
      <c r="B58" s="143"/>
      <c r="C58" s="231"/>
      <c r="D58" s="437" t="s">
        <v>71</v>
      </c>
      <c r="E58" s="438" t="s">
        <v>71</v>
      </c>
      <c r="F58" s="438" t="s">
        <v>71</v>
      </c>
      <c r="G58" s="438" t="s">
        <v>71</v>
      </c>
      <c r="H58" s="438" t="s">
        <v>71</v>
      </c>
      <c r="I58" s="437" t="s">
        <v>72</v>
      </c>
      <c r="J58" s="438" t="s">
        <v>72</v>
      </c>
      <c r="K58" s="438" t="s">
        <v>72</v>
      </c>
      <c r="L58" s="438" t="s">
        <v>72</v>
      </c>
      <c r="M58" s="439" t="s">
        <v>72</v>
      </c>
      <c r="R58"/>
    </row>
    <row r="59" spans="2:18" ht="15" customHeight="1" x14ac:dyDescent="0.25">
      <c r="B59" s="1722" t="str">
        <f>$B$26</f>
        <v>North row</v>
      </c>
      <c r="C59" s="183" t="str">
        <f>$C$26</f>
        <v>1st-10th module</v>
      </c>
      <c r="D59" s="189">
        <f ca="1">D73</f>
        <v>-5.1511488083914895E-3</v>
      </c>
      <c r="E59" s="190">
        <f t="shared" ref="E59:M66" ca="1" si="6">E73</f>
        <v>3.6688387498149587E-2</v>
      </c>
      <c r="F59" s="190">
        <f t="shared" ca="1" si="6"/>
        <v>7.1972433760657525E-2</v>
      </c>
      <c r="G59" s="573">
        <f t="shared" ca="1" si="6"/>
        <v>1.0567451240171073E-2</v>
      </c>
      <c r="H59" s="573">
        <f t="shared" ca="1" si="6"/>
        <v>1.4911139492671142E-2</v>
      </c>
      <c r="I59" s="189">
        <f ca="1">I73</f>
        <v>-0.36139215690620818</v>
      </c>
      <c r="J59" s="190">
        <f t="shared" ca="1" si="6"/>
        <v>0.13671622488929014</v>
      </c>
      <c r="K59" s="190">
        <f t="shared" ca="1" si="6"/>
        <v>0.27868374555096848</v>
      </c>
      <c r="L59" s="190">
        <f t="shared" ca="1" si="6"/>
        <v>-1.5041990675863856E-2</v>
      </c>
      <c r="M59" s="191">
        <f t="shared" ca="1" si="6"/>
        <v>0.18210534286733593</v>
      </c>
      <c r="R59"/>
    </row>
    <row r="60" spans="2:18" ht="15" customHeight="1" thickBot="1" x14ac:dyDescent="0.3">
      <c r="B60" s="1724"/>
      <c r="C60" s="278" t="str">
        <f>$C$27</f>
        <v>Interior modules</v>
      </c>
      <c r="D60" s="578">
        <f t="shared" ref="D60:H66" ca="1" si="7">D74</f>
        <v>1.7265662984144219E-2</v>
      </c>
      <c r="E60" s="579">
        <f t="shared" ca="1" si="7"/>
        <v>4.4357842132075762E-2</v>
      </c>
      <c r="F60" s="579">
        <f t="shared" ca="1" si="7"/>
        <v>6.8944606051849752E-2</v>
      </c>
      <c r="G60" s="580">
        <f t="shared" ca="1" si="7"/>
        <v>3.5893651954334936E-2</v>
      </c>
      <c r="H60" s="580">
        <f t="shared" ca="1" si="7"/>
        <v>1.5468085491114456E-2</v>
      </c>
      <c r="I60" s="578">
        <f t="shared" ca="1" si="6"/>
        <v>-0.24783150718401609</v>
      </c>
      <c r="J60" s="579">
        <f t="shared" ca="1" si="6"/>
        <v>6.4981229604872473E-2</v>
      </c>
      <c r="K60" s="579">
        <f t="shared" ca="1" si="6"/>
        <v>0.14551395945180159</v>
      </c>
      <c r="L60" s="579">
        <f t="shared" ca="1" si="6"/>
        <v>0.1205214998658596</v>
      </c>
      <c r="M60" s="581">
        <f t="shared" ca="1" si="6"/>
        <v>0.15348578470717331</v>
      </c>
      <c r="R60"/>
    </row>
    <row r="61" spans="2:18" ht="15" customHeight="1" x14ac:dyDescent="0.25">
      <c r="B61" s="1722" t="str">
        <f>$B$28</f>
        <v>Inner rows, 2nd to 4th row from north</v>
      </c>
      <c r="C61" s="183" t="str">
        <f>$C$26</f>
        <v>1st-10th module</v>
      </c>
      <c r="D61" s="189">
        <f t="shared" ca="1" si="7"/>
        <v>5.1743896961319411E-2</v>
      </c>
      <c r="E61" s="190">
        <f t="shared" ca="1" si="7"/>
        <v>3.8106083085550239E-2</v>
      </c>
      <c r="F61" s="190">
        <f t="shared" ca="1" si="7"/>
        <v>6.475471099781599E-2</v>
      </c>
      <c r="G61" s="573">
        <f t="shared" ca="1" si="7"/>
        <v>5.2467936480042124E-3</v>
      </c>
      <c r="H61" s="573">
        <f t="shared" ca="1" si="7"/>
        <v>2.0229284671253768E-3</v>
      </c>
      <c r="I61" s="189">
        <f t="shared" ca="1" si="6"/>
        <v>0.12701208472876624</v>
      </c>
      <c r="J61" s="190">
        <f t="shared" ca="1" si="6"/>
        <v>0.12575443911706355</v>
      </c>
      <c r="K61" s="190">
        <f t="shared" ca="1" si="6"/>
        <v>-9.0611378784955565E-2</v>
      </c>
      <c r="L61" s="190">
        <f t="shared" ca="1" si="6"/>
        <v>0.14562116908815917</v>
      </c>
      <c r="M61" s="191">
        <f t="shared" ca="1" si="6"/>
        <v>-6.2362238002940593E-2</v>
      </c>
      <c r="R61"/>
    </row>
    <row r="62" spans="2:18" ht="15" customHeight="1" thickBot="1" x14ac:dyDescent="0.3">
      <c r="B62" s="1724"/>
      <c r="C62" s="278" t="str">
        <f>$C$27</f>
        <v>Interior modules</v>
      </c>
      <c r="D62" s="578">
        <f t="shared" ca="1" si="7"/>
        <v>1.7265662984144219E-2</v>
      </c>
      <c r="E62" s="579">
        <f t="shared" ca="1" si="7"/>
        <v>3.8746027760233344E-2</v>
      </c>
      <c r="F62" s="579">
        <f t="shared" ca="1" si="7"/>
        <v>5.4029286231111244E-2</v>
      </c>
      <c r="G62" s="580">
        <f t="shared" ca="1" si="7"/>
        <v>8.4422023112491161E-3</v>
      </c>
      <c r="H62" s="580">
        <f t="shared" ca="1" si="7"/>
        <v>-1.0069933727048825E-4</v>
      </c>
      <c r="I62" s="578">
        <f t="shared" ca="1" si="6"/>
        <v>-0.22887233501652407</v>
      </c>
      <c r="J62" s="579">
        <f t="shared" ca="1" si="6"/>
        <v>0.10340788963337254</v>
      </c>
      <c r="K62" s="579">
        <f t="shared" ca="1" si="6"/>
        <v>0.16979605680504839</v>
      </c>
      <c r="L62" s="579">
        <f t="shared" ca="1" si="6"/>
        <v>6.6222412849202578E-2</v>
      </c>
      <c r="M62" s="581">
        <f t="shared" ca="1" si="6"/>
        <v>0.14232746587326398</v>
      </c>
      <c r="R62"/>
    </row>
    <row r="63" spans="2:18" ht="15" customHeight="1" x14ac:dyDescent="0.25">
      <c r="B63" s="1722" t="str">
        <f>$B$30</f>
        <v>Inner rows, from 5th row from north</v>
      </c>
      <c r="C63" s="183" t="str">
        <f>$C$26</f>
        <v>1st-10th module</v>
      </c>
      <c r="D63" s="189">
        <f t="shared" ca="1" si="7"/>
        <v>1.8255363230189361E-2</v>
      </c>
      <c r="E63" s="190">
        <f t="shared" ca="1" si="7"/>
        <v>3.0508060434244613E-2</v>
      </c>
      <c r="F63" s="190">
        <f t="shared" ca="1" si="7"/>
        <v>5.8107114915166812E-2</v>
      </c>
      <c r="G63" s="573">
        <f t="shared" ca="1" si="7"/>
        <v>4.8466006751388653E-3</v>
      </c>
      <c r="H63" s="573">
        <f t="shared" ca="1" si="7"/>
        <v>-2.4920832742785864E-3</v>
      </c>
      <c r="I63" s="189">
        <f t="shared" ca="1" si="6"/>
        <v>0.15164440073492272</v>
      </c>
      <c r="J63" s="190">
        <f t="shared" ca="1" si="6"/>
        <v>0.20286660212400529</v>
      </c>
      <c r="K63" s="190">
        <f t="shared" ca="1" si="6"/>
        <v>3.3087988297098705E-2</v>
      </c>
      <c r="L63" s="190">
        <f t="shared" ca="1" si="6"/>
        <v>0.13923056319612548</v>
      </c>
      <c r="M63" s="191">
        <f t="shared" ca="1" si="6"/>
        <v>-2.8223803871824861E-2</v>
      </c>
      <c r="R63"/>
    </row>
    <row r="64" spans="2:18" ht="15" customHeight="1" thickBot="1" x14ac:dyDescent="0.3">
      <c r="B64" s="1724"/>
      <c r="C64" s="278" t="str">
        <f>$C$27</f>
        <v>Interior modules</v>
      </c>
      <c r="D64" s="582">
        <f t="shared" ca="1" si="7"/>
        <v>1.7265662984144219E-2</v>
      </c>
      <c r="E64" s="583">
        <f t="shared" ca="1" si="7"/>
        <v>3.7587971257739695E-2</v>
      </c>
      <c r="F64" s="583">
        <f t="shared" ca="1" si="7"/>
        <v>7.0783680764698056E-2</v>
      </c>
      <c r="G64" s="584">
        <f t="shared" ca="1" si="7"/>
        <v>2.2369735345524604E-2</v>
      </c>
      <c r="H64" s="584">
        <f t="shared" ca="1" si="7"/>
        <v>-2.4920832742785864E-3</v>
      </c>
      <c r="I64" s="582">
        <f t="shared" ca="1" si="6"/>
        <v>0.13187631405116734</v>
      </c>
      <c r="J64" s="583">
        <f t="shared" ca="1" si="6"/>
        <v>0.19401804350278007</v>
      </c>
      <c r="K64" s="583">
        <f t="shared" ca="1" si="6"/>
        <v>0.17136374500011592</v>
      </c>
      <c r="L64" s="583">
        <f t="shared" ca="1" si="6"/>
        <v>0.12040018275083529</v>
      </c>
      <c r="M64" s="585">
        <f t="shared" ca="1" si="6"/>
        <v>-2.8223803871824861E-2</v>
      </c>
      <c r="R64"/>
    </row>
    <row r="65" spans="2:18" ht="15" customHeight="1" x14ac:dyDescent="0.25">
      <c r="B65" s="1722" t="str">
        <f>$B$32</f>
        <v>South row</v>
      </c>
      <c r="C65" s="183" t="str">
        <f>$C$26</f>
        <v>1st-10th module</v>
      </c>
      <c r="D65" s="189">
        <f t="shared" ca="1" si="7"/>
        <v>2.4819898441123558E-2</v>
      </c>
      <c r="E65" s="190">
        <f t="shared" ca="1" si="7"/>
        <v>3.8147495955747034E-2</v>
      </c>
      <c r="F65" s="190">
        <f t="shared" ca="1" si="7"/>
        <v>6.3739068631938969E-2</v>
      </c>
      <c r="G65" s="573">
        <f t="shared" ca="1" si="7"/>
        <v>2.3332210254121511E-2</v>
      </c>
      <c r="H65" s="573">
        <f t="shared" ca="1" si="7"/>
        <v>-2.4920832742785864E-3</v>
      </c>
      <c r="I65" s="189">
        <f t="shared" ca="1" si="6"/>
        <v>0.37411273081864599</v>
      </c>
      <c r="J65" s="190">
        <f t="shared" ca="1" si="6"/>
        <v>-9.1908760293275844E-3</v>
      </c>
      <c r="K65" s="190">
        <f t="shared" ca="1" si="6"/>
        <v>0.16151473558966439</v>
      </c>
      <c r="L65" s="190">
        <f t="shared" ca="1" si="6"/>
        <v>0.17891149003509216</v>
      </c>
      <c r="M65" s="191">
        <f ca="1">M79</f>
        <v>-2.2404772857911752E-2</v>
      </c>
      <c r="R65"/>
    </row>
    <row r="66" spans="2:18" ht="15" customHeight="1" thickBot="1" x14ac:dyDescent="0.3">
      <c r="B66" s="1724"/>
      <c r="C66" s="278" t="str">
        <f>$C$27</f>
        <v>Interior modules</v>
      </c>
      <c r="D66" s="578">
        <f t="shared" ca="1" si="7"/>
        <v>1.7265662984144219E-2</v>
      </c>
      <c r="E66" s="579">
        <f t="shared" ca="1" si="7"/>
        <v>3.6323216316738932E-2</v>
      </c>
      <c r="F66" s="579">
        <f t="shared" ca="1" si="7"/>
        <v>7.0783680764698056E-2</v>
      </c>
      <c r="G66" s="580">
        <f t="shared" ca="1" si="7"/>
        <v>7.0783680764698056E-2</v>
      </c>
      <c r="H66" s="580">
        <f ca="1">H80</f>
        <v>-2.4920832742785864E-3</v>
      </c>
      <c r="I66" s="578">
        <f t="shared" ca="1" si="6"/>
        <v>2.5084089076183983E-2</v>
      </c>
      <c r="J66" s="579">
        <f t="shared" ca="1" si="6"/>
        <v>5.5600696927049567E-2</v>
      </c>
      <c r="K66" s="579">
        <f t="shared" ca="1" si="6"/>
        <v>0.18495285751799867</v>
      </c>
      <c r="L66" s="579">
        <f t="shared" ca="1" si="6"/>
        <v>0.18129439413206938</v>
      </c>
      <c r="M66" s="581">
        <f t="shared" ca="1" si="6"/>
        <v>-2.8223803871824861E-2</v>
      </c>
      <c r="R66"/>
    </row>
    <row r="67" spans="2:18" ht="15" customHeight="1" x14ac:dyDescent="0.25">
      <c r="C67" s="231"/>
      <c r="D67" s="187"/>
      <c r="E67" s="187"/>
      <c r="F67" s="187"/>
      <c r="G67" s="187"/>
      <c r="H67" s="187"/>
      <c r="I67" s="187"/>
      <c r="J67" s="187"/>
      <c r="K67" s="187"/>
      <c r="L67" s="187"/>
      <c r="M67" s="187"/>
      <c r="N67" s="187"/>
      <c r="O67" s="187"/>
      <c r="P67" s="187"/>
      <c r="Q67" s="187"/>
      <c r="R67"/>
    </row>
    <row r="68" spans="2:18" ht="15" customHeight="1" x14ac:dyDescent="0.25">
      <c r="D68" s="187"/>
      <c r="E68" s="187"/>
      <c r="F68" s="187"/>
      <c r="G68" s="187"/>
      <c r="H68" s="187"/>
      <c r="I68" s="187"/>
      <c r="J68" s="187"/>
      <c r="K68" s="187"/>
      <c r="L68" s="187"/>
      <c r="M68" s="187"/>
      <c r="N68" s="187"/>
      <c r="O68" s="187"/>
      <c r="P68" s="187"/>
      <c r="Q68" s="187"/>
      <c r="R68"/>
    </row>
    <row r="69" spans="2:18" ht="15" customHeight="1" thickBot="1" x14ac:dyDescent="0.3">
      <c r="B69" s="144" t="s">
        <v>474</v>
      </c>
      <c r="M69" s="121"/>
    </row>
    <row r="70" spans="2:18" ht="15" customHeight="1" thickBot="1" x14ac:dyDescent="0.3">
      <c r="D70" s="591"/>
      <c r="E70" s="592"/>
      <c r="F70" s="592" t="str">
        <f>$F$23</f>
        <v>Sliding</v>
      </c>
      <c r="G70" s="592"/>
      <c r="H70" s="592"/>
      <c r="I70" s="591"/>
      <c r="J70" s="592"/>
      <c r="K70" s="592" t="str">
        <f>$K$23</f>
        <v>Uplift</v>
      </c>
      <c r="L70" s="592"/>
      <c r="M70" s="593"/>
    </row>
    <row r="71" spans="2:18" ht="15" customHeight="1" thickBot="1" x14ac:dyDescent="0.3">
      <c r="D71" s="437" t="str">
        <f>$D$24</f>
        <v>Roof position 1</v>
      </c>
      <c r="E71" s="438" t="str">
        <f>$E$24</f>
        <v>Roof position 2</v>
      </c>
      <c r="F71" s="438" t="str">
        <f>$F$24</f>
        <v>Roof position 3</v>
      </c>
      <c r="G71" s="438" t="str">
        <f>$G$24</f>
        <v>Roof position 4</v>
      </c>
      <c r="H71" s="526" t="str">
        <f>$H$24</f>
        <v>Roof position 5</v>
      </c>
      <c r="I71" s="437" t="str">
        <f>$I$24</f>
        <v>Roof position 1</v>
      </c>
      <c r="J71" s="438" t="str">
        <f>$J$24</f>
        <v>Roof position 2</v>
      </c>
      <c r="K71" s="438" t="str">
        <f>$K$24</f>
        <v>Roof position 3</v>
      </c>
      <c r="L71" s="438" t="str">
        <f>$L$24</f>
        <v>Roof position 4</v>
      </c>
      <c r="M71" s="439" t="str">
        <f>$H$24</f>
        <v>Roof position 5</v>
      </c>
    </row>
    <row r="72" spans="2:18" ht="15" customHeight="1" thickBot="1" x14ac:dyDescent="0.3">
      <c r="B72" s="143"/>
      <c r="C72" s="231"/>
      <c r="D72" s="437" t="s">
        <v>71</v>
      </c>
      <c r="E72" s="438" t="s">
        <v>71</v>
      </c>
      <c r="F72" s="438" t="s">
        <v>71</v>
      </c>
      <c r="G72" s="438" t="s">
        <v>71</v>
      </c>
      <c r="H72" s="438" t="s">
        <v>71</v>
      </c>
      <c r="I72" s="437" t="s">
        <v>72</v>
      </c>
      <c r="J72" s="438" t="s">
        <v>72</v>
      </c>
      <c r="K72" s="438" t="s">
        <v>72</v>
      </c>
      <c r="L72" s="438" t="s">
        <v>72</v>
      </c>
      <c r="M72" s="439" t="s">
        <v>72</v>
      </c>
    </row>
    <row r="73" spans="2:18" ht="15" customHeight="1" x14ac:dyDescent="0.2">
      <c r="B73" s="1722" t="str">
        <f>$B$26</f>
        <v>North row</v>
      </c>
      <c r="C73" s="183" t="str">
        <f>$C$26</f>
        <v>1st-10th module</v>
      </c>
      <c r="D73" s="586">
        <f ca="1">(9.81*(D115+40)/1000/1.5+D101*(SIN(PI()/180*5)*3.842/0.5+COS(PI()/180*5)*3.842))/(SIN(PI()/180*67.9)*0.476/0.5-COS(PI()/180*67.9)*0.476)</f>
        <v>-5.1511488083914895E-3</v>
      </c>
      <c r="E73" s="190">
        <f t="shared" ref="E73:H73" ca="1" si="8">(9.81*(E115+40)/1000/1.5+E101*(SIN(PI()/180*5)*3.842/0.5+COS(PI()/180*5)*3.842))/(SIN(PI()/180*67.9)*0.476/0.5-COS(PI()/180*67.9)*0.476)</f>
        <v>3.6688387498149587E-2</v>
      </c>
      <c r="F73" s="190">
        <f t="shared" ca="1" si="8"/>
        <v>7.1972433760657525E-2</v>
      </c>
      <c r="G73" s="190">
        <f t="shared" ca="1" si="8"/>
        <v>1.0567451240171073E-2</v>
      </c>
      <c r="H73" s="573">
        <f t="shared" ca="1" si="8"/>
        <v>1.4911139492671142E-2</v>
      </c>
      <c r="I73" s="189">
        <f ca="1">(-9.81*(I115+40)/1000/1.5-I101*COS(PI()/180*5)*3.842)/(COS(PI()/180*67.9)*0.476)</f>
        <v>-0.36139215690620818</v>
      </c>
      <c r="J73" s="190">
        <f t="shared" ref="J73:M73" ca="1" si="9">(-9.81*(J115+40)/1000/1.5-J101*COS(PI()/180*5)*3.842)/(COS(PI()/180*67.9)*0.476)</f>
        <v>0.13671622488929014</v>
      </c>
      <c r="K73" s="190">
        <f t="shared" ca="1" si="9"/>
        <v>0.27868374555096848</v>
      </c>
      <c r="L73" s="190">
        <f t="shared" ca="1" si="9"/>
        <v>-1.5041990675863856E-2</v>
      </c>
      <c r="M73" s="191">
        <f t="shared" ca="1" si="9"/>
        <v>0.18210534286733593</v>
      </c>
    </row>
    <row r="74" spans="2:18" ht="15" customHeight="1" thickBot="1" x14ac:dyDescent="0.25">
      <c r="B74" s="1724"/>
      <c r="C74" s="278" t="str">
        <f>$C$27</f>
        <v>Interior modules</v>
      </c>
      <c r="D74" s="574">
        <f ca="1">(9.81*(D116+40)/1000/1.5+D102*(SIN(PI()/180*5)*3.842/0.5+COS(PI()/180*5)*3.842))/(SIN(PI()/180*67.9)*0.476/0.5-COS(PI()/180*67.9)*0.476)</f>
        <v>1.7265662984144219E-2</v>
      </c>
      <c r="E74" s="575">
        <f t="shared" ref="E74:H74" ca="1" si="10">(9.81*(E116+40)/1000/1.5+E102*(SIN(PI()/180*5)*3.842/0.5+COS(PI()/180*5)*3.842))/(SIN(PI()/180*67.9)*0.476/0.5-COS(PI()/180*67.9)*0.476)</f>
        <v>4.4357842132075762E-2</v>
      </c>
      <c r="F74" s="575">
        <f t="shared" ca="1" si="10"/>
        <v>6.8944606051849752E-2</v>
      </c>
      <c r="G74" s="575">
        <f t="shared" ca="1" si="10"/>
        <v>3.5893651954334936E-2</v>
      </c>
      <c r="H74" s="576">
        <f t="shared" ca="1" si="10"/>
        <v>1.5468085491114456E-2</v>
      </c>
      <c r="I74" s="574">
        <f t="shared" ref="I74:M74" ca="1" si="11">(-9.81*(I116+40)/1000/1.5-I102*COS(PI()/180*5)*3.842)/(COS(PI()/180*67.9)*0.476)</f>
        <v>-0.24783150718401609</v>
      </c>
      <c r="J74" s="575">
        <f t="shared" ca="1" si="11"/>
        <v>6.4981229604872473E-2</v>
      </c>
      <c r="K74" s="575">
        <f t="shared" ca="1" si="11"/>
        <v>0.14551395945180159</v>
      </c>
      <c r="L74" s="575">
        <f t="shared" ca="1" si="11"/>
        <v>0.1205214998658596</v>
      </c>
      <c r="M74" s="577">
        <f t="shared" ca="1" si="11"/>
        <v>0.15348578470717331</v>
      </c>
    </row>
    <row r="75" spans="2:18" ht="15" customHeight="1" x14ac:dyDescent="0.2">
      <c r="B75" s="1722" t="str">
        <f>$B$28</f>
        <v>Inner rows, 2nd to 4th row from north</v>
      </c>
      <c r="C75" s="183" t="str">
        <f>$C$26</f>
        <v>1st-10th module</v>
      </c>
      <c r="D75" s="189">
        <f t="shared" ref="D75:H75" ca="1" si="12">(9.81*(D117+40)/1000/1.5+D103*(SIN(PI()/180*5)*3.842/0.5+COS(PI()/180*5)*3.842))/(SIN(PI()/180*67.9)*0.476/0.5-COS(PI()/180*67.9)*0.476)</f>
        <v>5.1743896961319411E-2</v>
      </c>
      <c r="E75" s="190">
        <f t="shared" ca="1" si="12"/>
        <v>3.8106083085550239E-2</v>
      </c>
      <c r="F75" s="190">
        <f t="shared" ca="1" si="12"/>
        <v>6.475471099781599E-2</v>
      </c>
      <c r="G75" s="190">
        <f t="shared" ca="1" si="12"/>
        <v>5.2467936480042124E-3</v>
      </c>
      <c r="H75" s="573">
        <f t="shared" ca="1" si="12"/>
        <v>2.0229284671253768E-3</v>
      </c>
      <c r="I75" s="189">
        <f t="shared" ref="I75:M75" ca="1" si="13">(-9.81*(I117+40)/1000/1.5-I103*COS(PI()/180*5)*3.842)/(COS(PI()/180*67.9)*0.476)</f>
        <v>0.12701208472876624</v>
      </c>
      <c r="J75" s="190">
        <f t="shared" ca="1" si="13"/>
        <v>0.12575443911706355</v>
      </c>
      <c r="K75" s="190">
        <f t="shared" ca="1" si="13"/>
        <v>-9.0611378784955565E-2</v>
      </c>
      <c r="L75" s="190">
        <f t="shared" ca="1" si="13"/>
        <v>0.14562116908815917</v>
      </c>
      <c r="M75" s="191">
        <f t="shared" ca="1" si="13"/>
        <v>-6.2362238002940593E-2</v>
      </c>
    </row>
    <row r="76" spans="2:18" ht="15" customHeight="1" thickBot="1" x14ac:dyDescent="0.25">
      <c r="B76" s="1724"/>
      <c r="C76" s="278" t="str">
        <f>$C$27</f>
        <v>Interior modules</v>
      </c>
      <c r="D76" s="578">
        <f t="shared" ref="D76:H76" ca="1" si="14">(9.81*(D118+40)/1000/1.5+D104*(SIN(PI()/180*5)*3.842/0.5+COS(PI()/180*5)*3.842))/(SIN(PI()/180*67.9)*0.476/0.5-COS(PI()/180*67.9)*0.476)</f>
        <v>1.7265662984144219E-2</v>
      </c>
      <c r="E76" s="579">
        <f t="shared" ca="1" si="14"/>
        <v>3.8746027760233344E-2</v>
      </c>
      <c r="F76" s="579">
        <f t="shared" ca="1" si="14"/>
        <v>5.4029286231111244E-2</v>
      </c>
      <c r="G76" s="579">
        <f t="shared" ca="1" si="14"/>
        <v>8.4422023112491161E-3</v>
      </c>
      <c r="H76" s="580">
        <f t="shared" ca="1" si="14"/>
        <v>-1.0069933727048825E-4</v>
      </c>
      <c r="I76" s="578">
        <f t="shared" ref="I76:M76" ca="1" si="15">(-9.81*(I118+40)/1000/1.5-I104*COS(PI()/180*5)*3.842)/(COS(PI()/180*67.9)*0.476)</f>
        <v>-0.22887233501652407</v>
      </c>
      <c r="J76" s="579">
        <f t="shared" ca="1" si="15"/>
        <v>0.10340788963337254</v>
      </c>
      <c r="K76" s="579">
        <f t="shared" ca="1" si="15"/>
        <v>0.16979605680504839</v>
      </c>
      <c r="L76" s="579">
        <f t="shared" ca="1" si="15"/>
        <v>6.6222412849202578E-2</v>
      </c>
      <c r="M76" s="581">
        <f t="shared" ca="1" si="15"/>
        <v>0.14232746587326398</v>
      </c>
    </row>
    <row r="77" spans="2:18" ht="15" customHeight="1" x14ac:dyDescent="0.2">
      <c r="B77" s="1722" t="str">
        <f>$B$30</f>
        <v>Inner rows, from 5th row from north</v>
      </c>
      <c r="C77" s="183" t="str">
        <f>$C$26</f>
        <v>1st-10th module</v>
      </c>
      <c r="D77" s="189">
        <f t="shared" ref="D77:H77" ca="1" si="16">(9.81*(D119+40)/1000/1.5+D105*(SIN(PI()/180*5)*3.842/0.5+COS(PI()/180*5)*3.842))/(SIN(PI()/180*67.9)*0.476/0.5-COS(PI()/180*67.9)*0.476)</f>
        <v>1.8255363230189361E-2</v>
      </c>
      <c r="E77" s="190">
        <f t="shared" ca="1" si="16"/>
        <v>3.0508060434244613E-2</v>
      </c>
      <c r="F77" s="190">
        <f t="shared" ca="1" si="16"/>
        <v>5.8107114915166812E-2</v>
      </c>
      <c r="G77" s="190">
        <f t="shared" ca="1" si="16"/>
        <v>4.8466006751388653E-3</v>
      </c>
      <c r="H77" s="190">
        <f t="shared" ca="1" si="16"/>
        <v>-2.4920832742785864E-3</v>
      </c>
      <c r="I77" s="189">
        <f t="shared" ref="I77:L77" ca="1" si="17">(-9.81*(I119+40)/1000/1.5-I105*COS(PI()/180*5)*3.842)/(COS(PI()/180*67.9)*0.476)</f>
        <v>0.15164440073492272</v>
      </c>
      <c r="J77" s="190">
        <f t="shared" ca="1" si="17"/>
        <v>0.20286660212400529</v>
      </c>
      <c r="K77" s="190">
        <f t="shared" ca="1" si="17"/>
        <v>3.3087988297098705E-2</v>
      </c>
      <c r="L77" s="190">
        <f t="shared" ca="1" si="17"/>
        <v>0.13923056319612548</v>
      </c>
      <c r="M77" s="191">
        <f ca="1">(-9.81*(M119+40)/1000/1.5-M105*COS(PI()/180*5)*3.842)/(COS(PI()/180*67.9)*0.476)</f>
        <v>-2.8223803871824861E-2</v>
      </c>
    </row>
    <row r="78" spans="2:18" ht="15" customHeight="1" thickBot="1" x14ac:dyDescent="0.25">
      <c r="B78" s="1724"/>
      <c r="C78" s="278" t="str">
        <f>$C$27</f>
        <v>Interior modules</v>
      </c>
      <c r="D78" s="582">
        <f t="shared" ref="D78:H78" ca="1" si="18">(9.81*(D120+40)/1000/1.5+D106*(SIN(PI()/180*5)*3.842/0.5+COS(PI()/180*5)*3.842))/(SIN(PI()/180*67.9)*0.476/0.5-COS(PI()/180*67.9)*0.476)</f>
        <v>1.7265662984144219E-2</v>
      </c>
      <c r="E78" s="583">
        <f t="shared" ca="1" si="18"/>
        <v>3.7587971257739695E-2</v>
      </c>
      <c r="F78" s="583">
        <f t="shared" ca="1" si="18"/>
        <v>7.0783680764698056E-2</v>
      </c>
      <c r="G78" s="583">
        <f t="shared" ca="1" si="18"/>
        <v>2.2369735345524604E-2</v>
      </c>
      <c r="H78" s="583">
        <f t="shared" ca="1" si="18"/>
        <v>-2.4920832742785864E-3</v>
      </c>
      <c r="I78" s="582">
        <f t="shared" ref="I78:M78" ca="1" si="19">(-9.81*(I120+40)/1000/1.5-I106*COS(PI()/180*5)*3.842)/(COS(PI()/180*67.9)*0.476)</f>
        <v>0.13187631405116734</v>
      </c>
      <c r="J78" s="583">
        <f t="shared" ca="1" si="19"/>
        <v>0.19401804350278007</v>
      </c>
      <c r="K78" s="583">
        <f t="shared" ca="1" si="19"/>
        <v>0.17136374500011592</v>
      </c>
      <c r="L78" s="583">
        <f t="shared" ca="1" si="19"/>
        <v>0.12040018275083529</v>
      </c>
      <c r="M78" s="585">
        <f t="shared" ca="1" si="19"/>
        <v>-2.8223803871824861E-2</v>
      </c>
    </row>
    <row r="79" spans="2:18" ht="15" customHeight="1" x14ac:dyDescent="0.2">
      <c r="B79" s="1722" t="str">
        <f>$B$32</f>
        <v>South row</v>
      </c>
      <c r="C79" s="183" t="str">
        <f>$C$26</f>
        <v>1st-10th module</v>
      </c>
      <c r="D79" s="189">
        <f t="shared" ref="D79:H79" ca="1" si="20">(9.81*(D121+40)/1000/1.5+D107*(SIN(PI()/180*5)*3.842/0.5+COS(PI()/180*5)*3.842))/(SIN(PI()/180*67.9)*0.476/0.5-COS(PI()/180*67.9)*0.476)</f>
        <v>2.4819898441123558E-2</v>
      </c>
      <c r="E79" s="190">
        <f t="shared" ca="1" si="20"/>
        <v>3.8147495955747034E-2</v>
      </c>
      <c r="F79" s="190">
        <f t="shared" ca="1" si="20"/>
        <v>6.3739068631938969E-2</v>
      </c>
      <c r="G79" s="190">
        <f t="shared" ca="1" si="20"/>
        <v>2.3332210254121511E-2</v>
      </c>
      <c r="H79" s="573">
        <f t="shared" ca="1" si="20"/>
        <v>-2.4920832742785864E-3</v>
      </c>
      <c r="I79" s="189">
        <f t="shared" ref="I79:M79" ca="1" si="21">(-9.81*(I121+40)/1000/1.5-I107*COS(PI()/180*5)*3.842)/(COS(PI()/180*67.9)*0.476)</f>
        <v>0.37411273081864599</v>
      </c>
      <c r="J79" s="190">
        <f t="shared" ca="1" si="21"/>
        <v>-9.1908760293275844E-3</v>
      </c>
      <c r="K79" s="190">
        <f t="shared" ca="1" si="21"/>
        <v>0.16151473558966439</v>
      </c>
      <c r="L79" s="190">
        <f t="shared" ca="1" si="21"/>
        <v>0.17891149003509216</v>
      </c>
      <c r="M79" s="191">
        <f t="shared" ca="1" si="21"/>
        <v>-2.2404772857911752E-2</v>
      </c>
    </row>
    <row r="80" spans="2:18" ht="15" customHeight="1" thickBot="1" x14ac:dyDescent="0.25">
      <c r="B80" s="1724"/>
      <c r="C80" s="278" t="str">
        <f>$C$27</f>
        <v>Interior modules</v>
      </c>
      <c r="D80" s="578">
        <f t="shared" ref="D80:G80" ca="1" si="22">(9.81*(D122+40)/1000/1.5+D108*(SIN(PI()/180*5)*3.842/0.5+COS(PI()/180*5)*3.842))/(SIN(PI()/180*67.9)*0.476/0.5-COS(PI()/180*67.9)*0.476)</f>
        <v>1.7265662984144219E-2</v>
      </c>
      <c r="E80" s="579">
        <f t="shared" ca="1" si="22"/>
        <v>3.6323216316738932E-2</v>
      </c>
      <c r="F80" s="579">
        <f t="shared" ca="1" si="22"/>
        <v>7.0783680764698056E-2</v>
      </c>
      <c r="G80" s="579">
        <f t="shared" ca="1" si="22"/>
        <v>7.0783680764698056E-2</v>
      </c>
      <c r="H80" s="580">
        <f ca="1">(9.81*(H122+40)/1000/1.5+H108*(SIN(PI()/180*5)*3.842/0.5+COS(PI()/180*5)*3.842))/(SIN(PI()/180*67.9)*0.476/0.5-COS(PI()/180*67.9)*0.476)</f>
        <v>-2.4920832742785864E-3</v>
      </c>
      <c r="I80" s="578">
        <f t="shared" ref="I80:L80" ca="1" si="23">(-9.81*(I122+40)/1000/1.5-I108*COS(PI()/180*5)*3.842)/(COS(PI()/180*67.9)*0.476)</f>
        <v>2.5084089076183983E-2</v>
      </c>
      <c r="J80" s="579">
        <f t="shared" ca="1" si="23"/>
        <v>5.5600696927049567E-2</v>
      </c>
      <c r="K80" s="579">
        <f t="shared" ca="1" si="23"/>
        <v>0.18495285751799867</v>
      </c>
      <c r="L80" s="579">
        <f t="shared" ca="1" si="23"/>
        <v>0.18129439413206938</v>
      </c>
      <c r="M80" s="581">
        <f ca="1">(-9.81*(M122+40)/1000/1.5-M108*COS(PI()/180*5)*3.842)/(COS(PI()/180*67.9)*0.476)</f>
        <v>-2.8223803871824861E-2</v>
      </c>
    </row>
    <row r="81" spans="2:31" ht="15" customHeight="1" x14ac:dyDescent="0.25">
      <c r="C81" s="231"/>
      <c r="D81" s="187"/>
      <c r="E81" s="187"/>
      <c r="F81" s="187"/>
      <c r="G81" s="187"/>
      <c r="H81" s="187"/>
      <c r="I81" s="187"/>
      <c r="J81" s="187"/>
      <c r="K81" s="187"/>
      <c r="L81" s="187"/>
      <c r="M81" s="187"/>
      <c r="N81" s="187"/>
      <c r="O81" s="187"/>
      <c r="P81" s="187"/>
      <c r="Q81" s="187"/>
      <c r="R81"/>
    </row>
    <row r="82" spans="2:31" ht="15" customHeight="1" x14ac:dyDescent="0.25">
      <c r="C82" s="231"/>
      <c r="D82" s="187"/>
      <c r="E82" s="187"/>
      <c r="F82" s="187"/>
      <c r="G82" s="187"/>
      <c r="H82" s="187"/>
      <c r="I82" s="187"/>
      <c r="J82" s="187"/>
      <c r="K82" s="187"/>
      <c r="L82" s="187"/>
      <c r="M82" s="187"/>
      <c r="N82" s="187"/>
      <c r="O82" s="187"/>
      <c r="P82" s="187"/>
      <c r="Q82" s="187"/>
      <c r="R82"/>
    </row>
    <row r="83" spans="2:31" ht="15" customHeight="1" thickBot="1" x14ac:dyDescent="0.3">
      <c r="B83" s="144" t="s">
        <v>467</v>
      </c>
      <c r="M83" s="121"/>
    </row>
    <row r="84" spans="2:31" ht="15" customHeight="1" thickBot="1" x14ac:dyDescent="0.3">
      <c r="D84" s="591"/>
      <c r="E84" s="592"/>
      <c r="F84" s="592" t="str">
        <f>$F$23</f>
        <v>Sliding</v>
      </c>
      <c r="G84" s="592"/>
      <c r="H84" s="592"/>
      <c r="I84" s="591"/>
      <c r="J84" s="592"/>
      <c r="K84" s="592" t="str">
        <f>$K$23</f>
        <v>Uplift</v>
      </c>
      <c r="L84" s="592"/>
      <c r="M84" s="592"/>
      <c r="N84" s="607"/>
      <c r="O84" s="609"/>
      <c r="P84" s="609" t="s">
        <v>62</v>
      </c>
      <c r="Q84" s="609"/>
      <c r="R84" s="610"/>
    </row>
    <row r="85" spans="2:31" ht="15" customHeight="1" thickBot="1" x14ac:dyDescent="0.3">
      <c r="D85" s="437" t="str">
        <f>$D$24</f>
        <v>Roof position 1</v>
      </c>
      <c r="E85" s="438" t="str">
        <f>$E$24</f>
        <v>Roof position 2</v>
      </c>
      <c r="F85" s="438" t="str">
        <f>$F$24</f>
        <v>Roof position 3</v>
      </c>
      <c r="G85" s="438" t="str">
        <f>$G$24</f>
        <v>Roof position 4</v>
      </c>
      <c r="H85" s="526" t="str">
        <f>$H$24</f>
        <v>Roof position 5</v>
      </c>
      <c r="I85" s="437" t="str">
        <f>$I$24</f>
        <v>Roof position 1</v>
      </c>
      <c r="J85" s="438" t="str">
        <f>$J$24</f>
        <v>Roof position 2</v>
      </c>
      <c r="K85" s="438" t="str">
        <f>$K$24</f>
        <v>Roof position 3</v>
      </c>
      <c r="L85" s="438" t="str">
        <f>$L$24</f>
        <v>Roof position 4</v>
      </c>
      <c r="M85" s="526" t="str">
        <f>$H$24</f>
        <v>Roof position 5</v>
      </c>
      <c r="N85" s="437" t="str">
        <f>$I$24</f>
        <v>Roof position 1</v>
      </c>
      <c r="O85" s="438" t="str">
        <f>$J$24</f>
        <v>Roof position 2</v>
      </c>
      <c r="P85" s="438" t="str">
        <f>$K$24</f>
        <v>Roof position 3</v>
      </c>
      <c r="Q85" s="438" t="str">
        <f>$L$24</f>
        <v>Roof position 4</v>
      </c>
      <c r="R85" s="439" t="str">
        <f>$H$24</f>
        <v>Roof position 5</v>
      </c>
    </row>
    <row r="86" spans="2:31" ht="15" customHeight="1" thickBot="1" x14ac:dyDescent="0.3">
      <c r="B86" s="143"/>
      <c r="C86" s="231"/>
      <c r="D86" s="437" t="s">
        <v>58</v>
      </c>
      <c r="E86" s="438" t="s">
        <v>58</v>
      </c>
      <c r="F86" s="438" t="s">
        <v>58</v>
      </c>
      <c r="G86" s="438" t="s">
        <v>58</v>
      </c>
      <c r="H86" s="438" t="s">
        <v>58</v>
      </c>
      <c r="I86" s="437" t="s">
        <v>58</v>
      </c>
      <c r="J86" s="438" t="s">
        <v>58</v>
      </c>
      <c r="K86" s="438" t="s">
        <v>58</v>
      </c>
      <c r="L86" s="438" t="s">
        <v>58</v>
      </c>
      <c r="M86" s="438" t="s">
        <v>58</v>
      </c>
      <c r="N86" s="565" t="s">
        <v>63</v>
      </c>
      <c r="O86" s="438" t="s">
        <v>63</v>
      </c>
      <c r="P86" s="438" t="s">
        <v>63</v>
      </c>
      <c r="Q86" s="438" t="s">
        <v>63</v>
      </c>
      <c r="R86" s="439" t="s">
        <v>63</v>
      </c>
    </row>
    <row r="87" spans="2:31" ht="15" customHeight="1" x14ac:dyDescent="0.2">
      <c r="B87" s="1722" t="str">
        <f>$B$26</f>
        <v>North row</v>
      </c>
      <c r="C87" s="183" t="str">
        <f>$C$26</f>
        <v>1st-10th module</v>
      </c>
      <c r="D87" s="189">
        <f>IF(N87=-2,1000*($G$17*$G$18*$C$19)/625,1000*($G$17*$G$18*$C$19)/(MAX(150,MIN($G$16*MAX($G$14:$G$15),4*$G$16^2,4*(MIN($G$14:$G$15))^2))*(MAX(6.12,$G$16)/12.5)^N87))</f>
        <v>261.69873999999987</v>
      </c>
      <c r="E87" s="190">
        <f t="shared" ref="E87:H94" si="24">IF(O87=-2,1000*($G$17*$G$18*$C$19)/625,1000*($G$17*$G$18*$C$19)/(MAX(150,MIN($G$16*MAX($G$14:$G$15),4*$G$16^2,4*(MIN($G$14:$G$15))^2))*(MAX(6.12,$G$16)/12.5)^O87))</f>
        <v>342.09248668821152</v>
      </c>
      <c r="F87" s="190">
        <f t="shared" si="24"/>
        <v>228.89203455827396</v>
      </c>
      <c r="G87" s="190">
        <f t="shared" si="24"/>
        <v>200.19799668972843</v>
      </c>
      <c r="H87" s="573">
        <f t="shared" si="24"/>
        <v>153.15028982783997</v>
      </c>
      <c r="I87" s="189">
        <f>IF(N87=-2,1000*($G$17*$G$18*$C$16)/625,1000*($G$17*$G$18*$C$16)/(MAX(150,MIN($G$16*MAX($G$14:$G$15),4*$G$16^2,4*(MIN($G$14:$G$15))^2))*(MAX(6.12,$G$16)/12.5)^N87))</f>
        <v>49.068513749999987</v>
      </c>
      <c r="J87" s="190">
        <f t="shared" ref="J87:M94" si="25">IF(O87=-2,1000*($G$17*$G$18*$C$16)/625,1000*($G$17*$G$18*$C$16)/(MAX(150,MIN($G$16*MAX($G$14:$G$15),4*$G$16^2,4*(MIN($G$14:$G$15))^2))*(MAX(6.12,$G$16)/12.5)^O87))</f>
        <v>64.142341254039664</v>
      </c>
      <c r="K87" s="190">
        <f t="shared" si="25"/>
        <v>42.917256479676368</v>
      </c>
      <c r="L87" s="190">
        <f t="shared" si="25"/>
        <v>37.537124379324084</v>
      </c>
      <c r="M87" s="573">
        <f t="shared" si="25"/>
        <v>28.715679342719994</v>
      </c>
      <c r="N87" s="189">
        <v>-1</v>
      </c>
      <c r="O87" s="190">
        <v>-0.5</v>
      </c>
      <c r="P87" s="190">
        <v>-1.25</v>
      </c>
      <c r="Q87" s="190">
        <v>-1.5</v>
      </c>
      <c r="R87" s="191">
        <v>-2</v>
      </c>
    </row>
    <row r="88" spans="2:31" ht="15" customHeight="1" thickBot="1" x14ac:dyDescent="0.25">
      <c r="B88" s="1724"/>
      <c r="C88" s="278" t="str">
        <f>$C$27</f>
        <v>Interior modules</v>
      </c>
      <c r="D88" s="574">
        <f t="shared" ref="D88:D94" si="26">IF(N88=-2,1000*($G$17*$G$18*$C$19)/625,1000*($G$17*$G$18*$C$19)/(MAX(150,MIN($G$16*MAX($G$14:$G$15),4*$G$16^2,4*(MIN($G$14:$G$15))^2))*(MAX(6.12,$G$16)/12.5)^N88))</f>
        <v>261.69873999999987</v>
      </c>
      <c r="E88" s="575">
        <f t="shared" si="24"/>
        <v>342.09248668821152</v>
      </c>
      <c r="F88" s="575">
        <f t="shared" si="24"/>
        <v>228.89203455827396</v>
      </c>
      <c r="G88" s="575">
        <f t="shared" si="24"/>
        <v>200.19799668972843</v>
      </c>
      <c r="H88" s="576">
        <f t="shared" si="24"/>
        <v>153.15028982783997</v>
      </c>
      <c r="I88" s="574">
        <f t="shared" ref="I88:I94" si="27">IF(N88=-2,1000*($G$17*$G$18*$C$16)/625,1000*($G$17*$G$18*$C$16)/(MAX(150,MIN($G$16*MAX($G$14:$G$15),4*$G$16^2,4*(MIN($G$14:$G$15))^2))*(MAX(6.12,$G$16)/12.5)^N88))</f>
        <v>49.068513749999987</v>
      </c>
      <c r="J88" s="575">
        <f t="shared" si="25"/>
        <v>64.142341254039664</v>
      </c>
      <c r="K88" s="575">
        <f t="shared" si="25"/>
        <v>42.917256479676368</v>
      </c>
      <c r="L88" s="575">
        <f t="shared" si="25"/>
        <v>37.537124379324084</v>
      </c>
      <c r="M88" s="576">
        <f t="shared" si="25"/>
        <v>28.715679342719994</v>
      </c>
      <c r="N88" s="574">
        <v>-1</v>
      </c>
      <c r="O88" s="575">
        <v>-0.5</v>
      </c>
      <c r="P88" s="575">
        <v>-1.25</v>
      </c>
      <c r="Q88" s="575">
        <v>-1.5</v>
      </c>
      <c r="R88" s="577">
        <v>-2</v>
      </c>
    </row>
    <row r="89" spans="2:31" ht="15" customHeight="1" x14ac:dyDescent="0.2">
      <c r="B89" s="1722" t="str">
        <f>$B$28</f>
        <v>Inner rows, 2nd to 4th row from north</v>
      </c>
      <c r="C89" s="241" t="str">
        <f>$C$26</f>
        <v>1st-10th module</v>
      </c>
      <c r="D89" s="190">
        <f t="shared" si="26"/>
        <v>447.183159722222</v>
      </c>
      <c r="E89" s="190">
        <f t="shared" si="24"/>
        <v>299.20757465306878</v>
      </c>
      <c r="F89" s="190">
        <f t="shared" si="24"/>
        <v>228.89203455827396</v>
      </c>
      <c r="G89" s="190">
        <f t="shared" si="24"/>
        <v>200.19799668972843</v>
      </c>
      <c r="H89" s="573">
        <f t="shared" si="24"/>
        <v>153.15028982783997</v>
      </c>
      <c r="I89" s="189">
        <f t="shared" si="27"/>
        <v>83.846842447916629</v>
      </c>
      <c r="J89" s="190">
        <f t="shared" si="25"/>
        <v>56.101420247450392</v>
      </c>
      <c r="K89" s="190">
        <f t="shared" si="25"/>
        <v>42.917256479676368</v>
      </c>
      <c r="L89" s="190">
        <f t="shared" si="25"/>
        <v>37.537124379324084</v>
      </c>
      <c r="M89" s="573">
        <f t="shared" si="25"/>
        <v>28.715679342719994</v>
      </c>
      <c r="N89" s="189">
        <v>0</v>
      </c>
      <c r="O89" s="190">
        <v>-0.75</v>
      </c>
      <c r="P89" s="190">
        <v>-1.25</v>
      </c>
      <c r="Q89" s="190">
        <v>-1.5</v>
      </c>
      <c r="R89" s="191">
        <v>-2</v>
      </c>
    </row>
    <row r="90" spans="2:31" ht="15" customHeight="1" thickBot="1" x14ac:dyDescent="0.25">
      <c r="B90" s="1724"/>
      <c r="C90" s="524" t="str">
        <f>$C$27</f>
        <v>Interior modules</v>
      </c>
      <c r="D90" s="578">
        <f t="shared" si="26"/>
        <v>447.183159722222</v>
      </c>
      <c r="E90" s="579">
        <f t="shared" si="24"/>
        <v>299.20757465306878</v>
      </c>
      <c r="F90" s="579">
        <f t="shared" si="24"/>
        <v>228.89203455827396</v>
      </c>
      <c r="G90" s="579">
        <f t="shared" si="24"/>
        <v>200.19799668972843</v>
      </c>
      <c r="H90" s="580">
        <f t="shared" si="24"/>
        <v>153.15028982783997</v>
      </c>
      <c r="I90" s="578">
        <f t="shared" si="27"/>
        <v>83.846842447916629</v>
      </c>
      <c r="J90" s="579">
        <f t="shared" si="25"/>
        <v>56.101420247450392</v>
      </c>
      <c r="K90" s="579">
        <f t="shared" si="25"/>
        <v>42.917256479676368</v>
      </c>
      <c r="L90" s="579">
        <f t="shared" si="25"/>
        <v>37.537124379324084</v>
      </c>
      <c r="M90" s="580">
        <f t="shared" si="25"/>
        <v>28.715679342719994</v>
      </c>
      <c r="N90" s="578">
        <v>0</v>
      </c>
      <c r="O90" s="579">
        <v>-0.75</v>
      </c>
      <c r="P90" s="579">
        <v>-1.25</v>
      </c>
      <c r="Q90" s="579">
        <v>-1.5</v>
      </c>
      <c r="R90" s="581">
        <v>-2</v>
      </c>
    </row>
    <row r="91" spans="2:31" ht="15" customHeight="1" x14ac:dyDescent="0.2">
      <c r="B91" s="1722" t="str">
        <f>$B$30</f>
        <v>Inner rows, from 5th row from north</v>
      </c>
      <c r="C91" s="183" t="str">
        <f>$C$26</f>
        <v>1st-10th module</v>
      </c>
      <c r="D91" s="189">
        <f t="shared" si="26"/>
        <v>447.183159722222</v>
      </c>
      <c r="E91" s="190">
        <f t="shared" si="24"/>
        <v>299.20757465306878</v>
      </c>
      <c r="F91" s="190">
        <f t="shared" si="24"/>
        <v>228.89203455827396</v>
      </c>
      <c r="G91" s="190">
        <f t="shared" si="24"/>
        <v>200.19799668972843</v>
      </c>
      <c r="H91" s="573">
        <f t="shared" si="24"/>
        <v>200.19799668972843</v>
      </c>
      <c r="I91" s="189">
        <f t="shared" si="27"/>
        <v>83.846842447916629</v>
      </c>
      <c r="J91" s="190">
        <f t="shared" si="25"/>
        <v>56.101420247450392</v>
      </c>
      <c r="K91" s="190">
        <f t="shared" si="25"/>
        <v>42.917256479676368</v>
      </c>
      <c r="L91" s="190">
        <f t="shared" si="25"/>
        <v>37.537124379324084</v>
      </c>
      <c r="M91" s="573">
        <f t="shared" si="25"/>
        <v>37.537124379324084</v>
      </c>
      <c r="N91" s="189">
        <v>0</v>
      </c>
      <c r="O91" s="190">
        <v>-0.75</v>
      </c>
      <c r="P91" s="190">
        <v>-1.25</v>
      </c>
      <c r="Q91" s="190">
        <v>-1.5</v>
      </c>
      <c r="R91" s="191">
        <v>-1.5</v>
      </c>
    </row>
    <row r="92" spans="2:31" ht="15" customHeight="1" thickBot="1" x14ac:dyDescent="0.25">
      <c r="B92" s="1724"/>
      <c r="C92" s="278" t="str">
        <f>$C$27</f>
        <v>Interior modules</v>
      </c>
      <c r="D92" s="582">
        <f t="shared" si="26"/>
        <v>447.183159722222</v>
      </c>
      <c r="E92" s="583">
        <f t="shared" si="24"/>
        <v>299.20757465306878</v>
      </c>
      <c r="F92" s="583">
        <f t="shared" si="24"/>
        <v>228.89203455827396</v>
      </c>
      <c r="G92" s="583">
        <f t="shared" si="24"/>
        <v>200.19799668972843</v>
      </c>
      <c r="H92" s="584">
        <f t="shared" si="24"/>
        <v>200.19799668972843</v>
      </c>
      <c r="I92" s="582">
        <f t="shared" si="27"/>
        <v>83.846842447916629</v>
      </c>
      <c r="J92" s="583">
        <f t="shared" si="25"/>
        <v>56.101420247450392</v>
      </c>
      <c r="K92" s="583">
        <f t="shared" si="25"/>
        <v>42.917256479676368</v>
      </c>
      <c r="L92" s="583">
        <f t="shared" si="25"/>
        <v>37.537124379324084</v>
      </c>
      <c r="M92" s="584">
        <f t="shared" si="25"/>
        <v>37.537124379324084</v>
      </c>
      <c r="N92" s="582">
        <v>0</v>
      </c>
      <c r="O92" s="583">
        <v>-0.75</v>
      </c>
      <c r="P92" s="583">
        <v>-1.25</v>
      </c>
      <c r="Q92" s="583">
        <v>-1.5</v>
      </c>
      <c r="R92" s="585">
        <v>-1.5</v>
      </c>
    </row>
    <row r="93" spans="2:31" ht="15" customHeight="1" x14ac:dyDescent="0.2">
      <c r="B93" s="1722" t="str">
        <f>$B$32</f>
        <v>South row</v>
      </c>
      <c r="C93" s="183" t="str">
        <f>$C$26</f>
        <v>1st-10th module</v>
      </c>
      <c r="D93" s="189">
        <f t="shared" si="26"/>
        <v>447.183159722222</v>
      </c>
      <c r="E93" s="190">
        <f t="shared" si="24"/>
        <v>299.20757465306878</v>
      </c>
      <c r="F93" s="190">
        <f t="shared" si="24"/>
        <v>228.89203455827396</v>
      </c>
      <c r="G93" s="190">
        <f t="shared" si="24"/>
        <v>200.19799668972843</v>
      </c>
      <c r="H93" s="573">
        <f t="shared" si="24"/>
        <v>200.19799668972843</v>
      </c>
      <c r="I93" s="189">
        <f t="shared" si="27"/>
        <v>83.846842447916629</v>
      </c>
      <c r="J93" s="190">
        <f t="shared" si="25"/>
        <v>56.101420247450392</v>
      </c>
      <c r="K93" s="190">
        <f t="shared" si="25"/>
        <v>42.917256479676368</v>
      </c>
      <c r="L93" s="190">
        <f t="shared" si="25"/>
        <v>37.537124379324084</v>
      </c>
      <c r="M93" s="573">
        <f t="shared" si="25"/>
        <v>37.537124379324084</v>
      </c>
      <c r="N93" s="189">
        <v>0</v>
      </c>
      <c r="O93" s="190">
        <v>-0.75</v>
      </c>
      <c r="P93" s="190">
        <v>-1.25</v>
      </c>
      <c r="Q93" s="190">
        <v>-1.5</v>
      </c>
      <c r="R93" s="191">
        <v>-1.5</v>
      </c>
    </row>
    <row r="94" spans="2:31" ht="15" customHeight="1" thickBot="1" x14ac:dyDescent="0.25">
      <c r="B94" s="1724"/>
      <c r="C94" s="278" t="str">
        <f>$C$27</f>
        <v>Interior modules</v>
      </c>
      <c r="D94" s="578">
        <f t="shared" si="26"/>
        <v>447.183159722222</v>
      </c>
      <c r="E94" s="579">
        <f t="shared" si="24"/>
        <v>299.20757465306878</v>
      </c>
      <c r="F94" s="579">
        <f t="shared" si="24"/>
        <v>228.89203455827396</v>
      </c>
      <c r="G94" s="579">
        <f t="shared" si="24"/>
        <v>200.19799668972843</v>
      </c>
      <c r="H94" s="580">
        <f>IF(R94=-2,1000*($G$17*$G$18*$C$19)/625,1000*($G$17*$G$18*$C$19)/(MAX(150,MIN($G$16*MAX($G$14:$G$15),4*$G$16^2,4*(MIN($G$14:$G$15))^2))*(MAX(6.12,$G$16)/12.5)^R94))</f>
        <v>200.19799668972843</v>
      </c>
      <c r="I94" s="578">
        <f t="shared" si="27"/>
        <v>83.846842447916629</v>
      </c>
      <c r="J94" s="579">
        <f t="shared" si="25"/>
        <v>56.101420247450392</v>
      </c>
      <c r="K94" s="579">
        <f t="shared" si="25"/>
        <v>42.917256479676368</v>
      </c>
      <c r="L94" s="579">
        <f t="shared" si="25"/>
        <v>37.537124379324084</v>
      </c>
      <c r="M94" s="580">
        <f>IF(R94=-2,1000*($G$17*$G$18*$C$16)/625,1000*($G$17*$G$18*$C$16)/(MAX(150,MIN($G$16*MAX($G$14:$G$15),4*$G$16^2,4*(MIN($G$14:$G$15))^2))*(MAX(6.12,$G$16)/12.5)^R94))</f>
        <v>37.537124379324084</v>
      </c>
      <c r="N94" s="578">
        <v>0</v>
      </c>
      <c r="O94" s="579">
        <v>-0.75</v>
      </c>
      <c r="P94" s="579">
        <v>-1.25</v>
      </c>
      <c r="Q94" s="579">
        <v>-1.5</v>
      </c>
      <c r="R94" s="581">
        <v>-1.5</v>
      </c>
    </row>
    <row r="95" spans="2:31" ht="15" customHeight="1" x14ac:dyDescent="0.25">
      <c r="C95" s="231"/>
      <c r="D95" s="187"/>
      <c r="E95" s="187"/>
      <c r="F95" s="187"/>
      <c r="G95" s="187"/>
      <c r="H95" s="187"/>
      <c r="I95" s="187"/>
      <c r="J95" s="187"/>
      <c r="K95" s="187"/>
      <c r="L95" s="187"/>
      <c r="M95" s="187"/>
      <c r="N95" s="187"/>
      <c r="O95" s="187"/>
      <c r="P95" s="187"/>
      <c r="Q95" s="187"/>
      <c r="R95"/>
    </row>
    <row r="96" spans="2:31" ht="15" customHeight="1" x14ac:dyDescent="0.25">
      <c r="C96" s="231"/>
      <c r="D96" s="187"/>
      <c r="E96" s="187"/>
      <c r="F96" s="187"/>
      <c r="G96" s="187"/>
      <c r="H96" s="187"/>
      <c r="I96" s="187"/>
      <c r="J96" s="187"/>
      <c r="K96" s="187"/>
      <c r="L96" s="187"/>
      <c r="M96" s="187"/>
      <c r="N96" s="187"/>
      <c r="O96" s="187"/>
      <c r="P96" s="187"/>
      <c r="Q96" s="187"/>
      <c r="R96"/>
      <c r="V96" s="121">
        <v>0</v>
      </c>
      <c r="W96" s="121">
        <v>0</v>
      </c>
      <c r="X96" s="121">
        <v>0</v>
      </c>
      <c r="Y96" s="121">
        <v>0</v>
      </c>
      <c r="Z96" s="121">
        <v>0</v>
      </c>
      <c r="AA96" s="121">
        <v>58</v>
      </c>
      <c r="AB96" s="121">
        <v>58</v>
      </c>
      <c r="AC96" s="121">
        <v>58</v>
      </c>
      <c r="AD96" s="121">
        <v>58</v>
      </c>
      <c r="AE96" s="121">
        <v>58</v>
      </c>
    </row>
    <row r="97" spans="2:71" ht="15" customHeight="1" thickBot="1" x14ac:dyDescent="0.3">
      <c r="B97" s="144" t="s">
        <v>468</v>
      </c>
      <c r="M97" s="121"/>
      <c r="V97" s="121">
        <v>0</v>
      </c>
      <c r="W97" s="121">
        <v>3</v>
      </c>
      <c r="X97" s="121">
        <v>6</v>
      </c>
      <c r="Y97" s="121">
        <v>9</v>
      </c>
      <c r="Z97" s="121">
        <v>12</v>
      </c>
      <c r="AA97" s="121">
        <v>0</v>
      </c>
      <c r="AB97" s="121">
        <v>3</v>
      </c>
      <c r="AC97" s="121">
        <v>6</v>
      </c>
      <c r="AD97" s="121">
        <v>9</v>
      </c>
      <c r="AE97" s="121">
        <v>12</v>
      </c>
    </row>
    <row r="98" spans="2:71" ht="15" customHeight="1" thickBot="1" x14ac:dyDescent="0.3">
      <c r="D98" s="591"/>
      <c r="E98" s="592"/>
      <c r="F98" s="592" t="str">
        <f>$F$23</f>
        <v>Sliding</v>
      </c>
      <c r="G98" s="592"/>
      <c r="H98" s="592"/>
      <c r="I98" s="591"/>
      <c r="J98" s="592"/>
      <c r="K98" s="592" t="str">
        <f>$K$23</f>
        <v>Uplift</v>
      </c>
      <c r="L98" s="592"/>
      <c r="M98" s="593"/>
      <c r="V98" s="618" t="s">
        <v>473</v>
      </c>
      <c r="W98" s="619"/>
      <c r="X98" s="619"/>
      <c r="Y98" s="619"/>
      <c r="Z98" s="619"/>
      <c r="AA98" s="619"/>
      <c r="AB98" s="619"/>
      <c r="AC98" s="619"/>
      <c r="AD98" s="619"/>
      <c r="AE98" s="620"/>
      <c r="AF98" s="618" t="s">
        <v>83</v>
      </c>
      <c r="AG98" s="619"/>
      <c r="AH98" s="619"/>
      <c r="AI98" s="619"/>
      <c r="AJ98" s="619"/>
      <c r="AK98" s="619"/>
      <c r="AL98" s="619"/>
      <c r="AM98" s="619"/>
      <c r="AN98" s="619"/>
      <c r="AO98" s="620"/>
      <c r="AP98" s="618" t="s">
        <v>84</v>
      </c>
      <c r="AQ98" s="619"/>
      <c r="AR98" s="619"/>
      <c r="AS98" s="619"/>
      <c r="AT98" s="619"/>
      <c r="AU98" s="619"/>
      <c r="AV98" s="619"/>
      <c r="AW98" s="619"/>
      <c r="AX98" s="619"/>
      <c r="AY98" s="620"/>
      <c r="AZ98" s="618" t="s">
        <v>85</v>
      </c>
      <c r="BA98" s="619"/>
      <c r="BB98" s="619"/>
      <c r="BC98" s="619"/>
      <c r="BD98" s="619"/>
      <c r="BE98" s="619"/>
      <c r="BF98" s="619"/>
      <c r="BG98" s="619"/>
      <c r="BH98" s="619"/>
      <c r="BI98" s="620"/>
      <c r="BJ98" s="618" t="s">
        <v>86</v>
      </c>
      <c r="BK98" s="619"/>
      <c r="BL98" s="619"/>
      <c r="BM98" s="619"/>
      <c r="BN98" s="619"/>
      <c r="BO98" s="619"/>
      <c r="BP98" s="619"/>
      <c r="BQ98" s="619"/>
      <c r="BR98" s="619"/>
      <c r="BS98" s="620"/>
    </row>
    <row r="99" spans="2:71" ht="15" customHeight="1" thickBot="1" x14ac:dyDescent="0.3">
      <c r="D99" s="437" t="str">
        <f>$D$24</f>
        <v>Roof position 1</v>
      </c>
      <c r="E99" s="438" t="str">
        <f>$E$24</f>
        <v>Roof position 2</v>
      </c>
      <c r="F99" s="438" t="str">
        <f>$F$24</f>
        <v>Roof position 3</v>
      </c>
      <c r="G99" s="438" t="str">
        <f>$G$24</f>
        <v>Roof position 4</v>
      </c>
      <c r="H99" s="526" t="str">
        <f>$H$24</f>
        <v>Roof position 5</v>
      </c>
      <c r="I99" s="437" t="str">
        <f>$I$24</f>
        <v>Roof position 1</v>
      </c>
      <c r="J99" s="438" t="str">
        <f>$J$24</f>
        <v>Roof position 2</v>
      </c>
      <c r="K99" s="438" t="str">
        <f>$K$24</f>
        <v>Roof position 3</v>
      </c>
      <c r="L99" s="438" t="str">
        <f>$L$24</f>
        <v>Roof position 4</v>
      </c>
      <c r="M99" s="439" t="str">
        <f>$H$24</f>
        <v>Roof position 5</v>
      </c>
      <c r="S99"/>
      <c r="V99" s="591"/>
      <c r="W99" s="592"/>
      <c r="X99" s="592" t="str">
        <f>$F$23</f>
        <v>Sliding</v>
      </c>
      <c r="Y99" s="592"/>
      <c r="Z99" s="592"/>
      <c r="AA99" s="591"/>
      <c r="AB99" s="592"/>
      <c r="AC99" s="592" t="str">
        <f>$K$23</f>
        <v>Uplift</v>
      </c>
      <c r="AD99" s="592"/>
      <c r="AE99" s="593"/>
      <c r="AF99" s="591"/>
      <c r="AG99" s="592"/>
      <c r="AH99" s="592" t="str">
        <f>$F$23</f>
        <v>Sliding</v>
      </c>
      <c r="AI99" s="592"/>
      <c r="AJ99" s="592"/>
      <c r="AK99" s="591"/>
      <c r="AL99" s="592"/>
      <c r="AM99" s="592" t="str">
        <f>$K$23</f>
        <v>Uplift</v>
      </c>
      <c r="AN99" s="592"/>
      <c r="AO99" s="593"/>
      <c r="AP99" s="591"/>
      <c r="AQ99" s="592"/>
      <c r="AR99" s="592" t="str">
        <f>$F$23</f>
        <v>Sliding</v>
      </c>
      <c r="AS99" s="592"/>
      <c r="AT99" s="592"/>
      <c r="AU99" s="591"/>
      <c r="AV99" s="592"/>
      <c r="AW99" s="592" t="str">
        <f>$K$23</f>
        <v>Uplift</v>
      </c>
      <c r="AX99" s="592"/>
      <c r="AY99" s="593"/>
      <c r="AZ99" s="591"/>
      <c r="BA99" s="592"/>
      <c r="BB99" s="592" t="str">
        <f>$F$23</f>
        <v>Sliding</v>
      </c>
      <c r="BC99" s="592"/>
      <c r="BD99" s="592"/>
      <c r="BE99" s="591"/>
      <c r="BF99" s="592"/>
      <c r="BG99" s="592" t="str">
        <f>$K$23</f>
        <v>Uplift</v>
      </c>
      <c r="BH99" s="592"/>
      <c r="BI99" s="593"/>
      <c r="BJ99" s="591"/>
      <c r="BK99" s="592"/>
      <c r="BL99" s="592" t="str">
        <f>$F$23</f>
        <v>Sliding</v>
      </c>
      <c r="BM99" s="592"/>
      <c r="BN99" s="592"/>
      <c r="BO99" s="591"/>
      <c r="BP99" s="592"/>
      <c r="BQ99" s="592" t="str">
        <f>$K$23</f>
        <v>Uplift</v>
      </c>
      <c r="BR99" s="592"/>
      <c r="BS99" s="593"/>
    </row>
    <row r="100" spans="2:71" ht="15" customHeight="1" thickBot="1" x14ac:dyDescent="0.3">
      <c r="B100" s="143"/>
      <c r="C100" s="231"/>
      <c r="D100" s="437" t="s">
        <v>68</v>
      </c>
      <c r="E100" s="438" t="s">
        <v>68</v>
      </c>
      <c r="F100" s="438" t="s">
        <v>68</v>
      </c>
      <c r="G100" s="438" t="s">
        <v>68</v>
      </c>
      <c r="H100" s="438" t="s">
        <v>68</v>
      </c>
      <c r="I100" s="437" t="s">
        <v>81</v>
      </c>
      <c r="J100" s="438" t="s">
        <v>81</v>
      </c>
      <c r="K100" s="438" t="s">
        <v>81</v>
      </c>
      <c r="L100" s="438" t="s">
        <v>81</v>
      </c>
      <c r="M100" s="439" t="s">
        <v>81</v>
      </c>
      <c r="S100"/>
      <c r="T100" s="143"/>
      <c r="U100" s="231"/>
      <c r="V100" s="437" t="str">
        <f>$D$24</f>
        <v>Roof position 1</v>
      </c>
      <c r="W100" s="438" t="str">
        <f>$E$24</f>
        <v>Roof position 2</v>
      </c>
      <c r="X100" s="438" t="str">
        <f>$F$24</f>
        <v>Roof position 3</v>
      </c>
      <c r="Y100" s="438" t="str">
        <f>$G$24</f>
        <v>Roof position 4</v>
      </c>
      <c r="Z100" s="526" t="str">
        <f>$H$24</f>
        <v>Roof position 5</v>
      </c>
      <c r="AA100" s="437" t="str">
        <f>$I$24</f>
        <v>Roof position 1</v>
      </c>
      <c r="AB100" s="438" t="str">
        <f>$J$24</f>
        <v>Roof position 2</v>
      </c>
      <c r="AC100" s="438" t="str">
        <f>$K$24</f>
        <v>Roof position 3</v>
      </c>
      <c r="AD100" s="438" t="str">
        <f>$L$24</f>
        <v>Roof position 4</v>
      </c>
      <c r="AE100" s="439" t="str">
        <f>$H$24</f>
        <v>Roof position 5</v>
      </c>
      <c r="AF100" s="437" t="str">
        <f>$D$24</f>
        <v>Roof position 1</v>
      </c>
      <c r="AG100" s="438" t="str">
        <f>$E$24</f>
        <v>Roof position 2</v>
      </c>
      <c r="AH100" s="438" t="str">
        <f>$F$24</f>
        <v>Roof position 3</v>
      </c>
      <c r="AI100" s="438" t="str">
        <f>$G$24</f>
        <v>Roof position 4</v>
      </c>
      <c r="AJ100" s="526" t="str">
        <f>$H$24</f>
        <v>Roof position 5</v>
      </c>
      <c r="AK100" s="437" t="str">
        <f>$I$24</f>
        <v>Roof position 1</v>
      </c>
      <c r="AL100" s="438" t="str">
        <f>$J$24</f>
        <v>Roof position 2</v>
      </c>
      <c r="AM100" s="438" t="str">
        <f>$K$24</f>
        <v>Roof position 3</v>
      </c>
      <c r="AN100" s="438" t="str">
        <f>$L$24</f>
        <v>Roof position 4</v>
      </c>
      <c r="AO100" s="439" t="str">
        <f>$H$24</f>
        <v>Roof position 5</v>
      </c>
      <c r="AP100" s="437" t="str">
        <f>$D$24</f>
        <v>Roof position 1</v>
      </c>
      <c r="AQ100" s="438" t="str">
        <f>$E$24</f>
        <v>Roof position 2</v>
      </c>
      <c r="AR100" s="438" t="str">
        <f>$F$24</f>
        <v>Roof position 3</v>
      </c>
      <c r="AS100" s="438" t="str">
        <f>$G$24</f>
        <v>Roof position 4</v>
      </c>
      <c r="AT100" s="526" t="str">
        <f>$H$24</f>
        <v>Roof position 5</v>
      </c>
      <c r="AU100" s="437" t="str">
        <f>$I$24</f>
        <v>Roof position 1</v>
      </c>
      <c r="AV100" s="438" t="str">
        <f>$J$24</f>
        <v>Roof position 2</v>
      </c>
      <c r="AW100" s="438" t="str">
        <f>$K$24</f>
        <v>Roof position 3</v>
      </c>
      <c r="AX100" s="438" t="str">
        <f>$L$24</f>
        <v>Roof position 4</v>
      </c>
      <c r="AY100" s="439" t="str">
        <f>$H$24</f>
        <v>Roof position 5</v>
      </c>
      <c r="AZ100" s="437" t="str">
        <f>$D$24</f>
        <v>Roof position 1</v>
      </c>
      <c r="BA100" s="438" t="str">
        <f>$E$24</f>
        <v>Roof position 2</v>
      </c>
      <c r="BB100" s="438" t="str">
        <f>$F$24</f>
        <v>Roof position 3</v>
      </c>
      <c r="BC100" s="438" t="str">
        <f>$G$24</f>
        <v>Roof position 4</v>
      </c>
      <c r="BD100" s="526" t="str">
        <f>$H$24</f>
        <v>Roof position 5</v>
      </c>
      <c r="BE100" s="437" t="str">
        <f>$I$24</f>
        <v>Roof position 1</v>
      </c>
      <c r="BF100" s="438" t="str">
        <f>$J$24</f>
        <v>Roof position 2</v>
      </c>
      <c r="BG100" s="438" t="str">
        <f>$K$24</f>
        <v>Roof position 3</v>
      </c>
      <c r="BH100" s="438" t="str">
        <f>$L$24</f>
        <v>Roof position 4</v>
      </c>
      <c r="BI100" s="439" t="str">
        <f>$H$24</f>
        <v>Roof position 5</v>
      </c>
      <c r="BJ100" s="437" t="str">
        <f>$D$24</f>
        <v>Roof position 1</v>
      </c>
      <c r="BK100" s="438" t="str">
        <f>$E$24</f>
        <v>Roof position 2</v>
      </c>
      <c r="BL100" s="438" t="str">
        <f>$F$24</f>
        <v>Roof position 3</v>
      </c>
      <c r="BM100" s="438" t="str">
        <f>$G$24</f>
        <v>Roof position 4</v>
      </c>
      <c r="BN100" s="526" t="str">
        <f>$H$24</f>
        <v>Roof position 5</v>
      </c>
      <c r="BO100" s="437" t="str">
        <f>$I$24</f>
        <v>Roof position 1</v>
      </c>
      <c r="BP100" s="438" t="str">
        <f>$J$24</f>
        <v>Roof position 2</v>
      </c>
      <c r="BQ100" s="438" t="str">
        <f>$K$24</f>
        <v>Roof position 3</v>
      </c>
      <c r="BR100" s="438" t="str">
        <f>$L$24</f>
        <v>Roof position 4</v>
      </c>
      <c r="BS100" s="439" t="str">
        <f>$H$24</f>
        <v>Roof position 5</v>
      </c>
    </row>
    <row r="101" spans="2:71" ht="15" customHeight="1" x14ac:dyDescent="0.25">
      <c r="B101" s="1722" t="str">
        <f>$B$26</f>
        <v>North row</v>
      </c>
      <c r="C101" s="183" t="str">
        <f>$C$26</f>
        <v>1st-10th module</v>
      </c>
      <c r="D101" s="189">
        <f ca="1">AF101+(AP101-AF101)/(LOG(BJ101)-LOG(AZ101))*(LOG(D87)-LOG(AZ101))</f>
        <v>-0.19700260492019969</v>
      </c>
      <c r="E101" s="190">
        <f t="shared" ref="E101:M101" ca="1" si="28">AG101+(AQ101-AG101)/(LOG(BK101)-LOG(BA101))*(LOG(E87)-LOG(BA101))</f>
        <v>-0.22302822205835282</v>
      </c>
      <c r="F101" s="190">
        <f t="shared" ca="1" si="28"/>
        <v>-0.16893912048756801</v>
      </c>
      <c r="G101" s="190">
        <f t="shared" ca="1" si="28"/>
        <v>-0.17263283450070147</v>
      </c>
      <c r="H101" s="573">
        <f t="shared" ca="1" si="28"/>
        <v>-0.17387030656757835</v>
      </c>
      <c r="I101" s="189">
        <f t="shared" ca="1" si="28"/>
        <v>-0.32901145701825896</v>
      </c>
      <c r="J101" s="190">
        <f t="shared" ca="1" si="28"/>
        <v>-0.4121080295863252</v>
      </c>
      <c r="K101" s="190">
        <f t="shared" ca="1" si="28"/>
        <v>-0.28644492646374708</v>
      </c>
      <c r="L101" s="190">
        <f t="shared" ca="1" si="28"/>
        <v>-0.24959191987918411</v>
      </c>
      <c r="M101" s="191">
        <f t="shared" ca="1" si="28"/>
        <v>-0.25702081796115911</v>
      </c>
      <c r="S101">
        <v>0</v>
      </c>
      <c r="T101" s="621" t="str">
        <f>$B$26</f>
        <v>North row</v>
      </c>
      <c r="U101" s="183" t="str">
        <f>$C$26</f>
        <v>1st-10th module</v>
      </c>
      <c r="V101" s="189" t="str">
        <f t="shared" ref="V101:AE108" si="29">CONCATENATE(ADDRESS(ROW($C$128)+V$96+$S101,COLUMN($C$128)+V$97,4),":",ADDRESS(ROW($C$128)+V$96+$S101+4,COLUMN($C$128)+V$97,4))</f>
        <v>C128:C132</v>
      </c>
      <c r="W101" s="190" t="str">
        <f t="shared" si="29"/>
        <v>F128:F132</v>
      </c>
      <c r="X101" s="190" t="str">
        <f t="shared" si="29"/>
        <v>I128:I132</v>
      </c>
      <c r="Y101" s="190" t="str">
        <f t="shared" si="29"/>
        <v>L128:L132</v>
      </c>
      <c r="Z101" s="573" t="str">
        <f t="shared" si="29"/>
        <v>O128:O132</v>
      </c>
      <c r="AA101" s="189" t="str">
        <f t="shared" si="29"/>
        <v>C186:C190</v>
      </c>
      <c r="AB101" s="190" t="str">
        <f t="shared" si="29"/>
        <v>F186:F190</v>
      </c>
      <c r="AC101" s="190" t="str">
        <f t="shared" si="29"/>
        <v>I186:I190</v>
      </c>
      <c r="AD101" s="190" t="str">
        <f t="shared" si="29"/>
        <v>L186:L190</v>
      </c>
      <c r="AE101" s="191" t="str">
        <f t="shared" si="29"/>
        <v>O186:O190</v>
      </c>
      <c r="AF101" s="189">
        <f ca="1">INDEX(OFFSET(INDIRECT(V101),0,1),MATCH(D87,INDIRECT(V101),1))</f>
        <v>-0.26</v>
      </c>
      <c r="AG101" s="190">
        <f t="shared" ref="AG101:AO101" ca="1" si="30">INDEX(OFFSET(INDIRECT(W101),0,1),MATCH(E87,INDIRECT(W101),1))</f>
        <v>-0.3</v>
      </c>
      <c r="AH101" s="190">
        <f t="shared" ca="1" si="30"/>
        <v>-0.24</v>
      </c>
      <c r="AI101" s="190">
        <f t="shared" ca="1" si="30"/>
        <v>-0.19</v>
      </c>
      <c r="AJ101" s="573">
        <f t="shared" ca="1" si="30"/>
        <v>-0.21</v>
      </c>
      <c r="AK101" s="189">
        <f t="shared" ca="1" si="30"/>
        <v>-0.46</v>
      </c>
      <c r="AL101" s="190">
        <f t="shared" ca="1" si="30"/>
        <v>-1.1200000000000001</v>
      </c>
      <c r="AM101" s="190">
        <f t="shared" ca="1" si="30"/>
        <v>-0.39</v>
      </c>
      <c r="AN101" s="190">
        <f t="shared" ca="1" si="30"/>
        <v>-0.27</v>
      </c>
      <c r="AO101" s="191">
        <f t="shared" ca="1" si="30"/>
        <v>-0.27</v>
      </c>
      <c r="AP101" s="189">
        <f ca="1">INDEX(OFFSET(INDIRECT(V101),0,1),MATCH(D87,INDIRECT(V101),1)+1)</f>
        <v>-0.15</v>
      </c>
      <c r="AQ101" s="190">
        <f t="shared" ref="AQ101:AY101" ca="1" si="31">INDEX(OFFSET(INDIRECT(W101),0,1),MATCH(E87,INDIRECT(W101),1)+1)</f>
        <v>-0.17</v>
      </c>
      <c r="AR101" s="190">
        <f t="shared" ca="1" si="31"/>
        <v>-0.13</v>
      </c>
      <c r="AS101" s="190">
        <f t="shared" ca="1" si="31"/>
        <v>-0.14000000000000001</v>
      </c>
      <c r="AT101" s="573">
        <f t="shared" ca="1" si="31"/>
        <v>-0.14000000000000001</v>
      </c>
      <c r="AU101" s="189">
        <f t="shared" ca="1" si="31"/>
        <v>-0.26</v>
      </c>
      <c r="AV101" s="190">
        <f t="shared" ca="1" si="31"/>
        <v>-0.34</v>
      </c>
      <c r="AW101" s="190">
        <f t="shared" ca="1" si="31"/>
        <v>-0.27</v>
      </c>
      <c r="AX101" s="190">
        <f t="shared" ca="1" si="31"/>
        <v>-0.19</v>
      </c>
      <c r="AY101" s="191">
        <f t="shared" ca="1" si="31"/>
        <v>-0.21</v>
      </c>
      <c r="AZ101" s="641">
        <f ca="1">INDEX(OFFSET(INDIRECT(V101),0,0),MATCH(D87,INDIRECT(V101),1))</f>
        <v>70</v>
      </c>
      <c r="BA101" s="642">
        <f t="shared" ref="BA101:BI101" ca="1" si="32">INDEX(OFFSET(INDIRECT(W101),0,0),MATCH(E87,INDIRECT(W101),1))</f>
        <v>121</v>
      </c>
      <c r="BB101" s="642">
        <f t="shared" ca="1" si="32"/>
        <v>55</v>
      </c>
      <c r="BC101" s="642">
        <f t="shared" ca="1" si="32"/>
        <v>123</v>
      </c>
      <c r="BD101" s="643">
        <f t="shared" ca="1" si="32"/>
        <v>55</v>
      </c>
      <c r="BE101" s="641">
        <f t="shared" ca="1" si="32"/>
        <v>25</v>
      </c>
      <c r="BF101" s="642">
        <f t="shared" ca="1" si="32"/>
        <v>1</v>
      </c>
      <c r="BG101" s="642">
        <f t="shared" ca="1" si="32"/>
        <v>9</v>
      </c>
      <c r="BH101" s="642">
        <f t="shared" ca="1" si="32"/>
        <v>25</v>
      </c>
      <c r="BI101" s="644">
        <f t="shared" ca="1" si="32"/>
        <v>24</v>
      </c>
      <c r="BJ101" s="641">
        <f ca="1">INDEX(OFFSET(INDIRECT(V101),0,0),MATCH(D87,INDIRECT(V101),1)+1)</f>
        <v>700</v>
      </c>
      <c r="BK101" s="642">
        <f t="shared" ref="BK101:BS101" ca="1" si="33">INDEX(OFFSET(INDIRECT(W101),0,0),MATCH(E87,INDIRECT(W101),1)+1)</f>
        <v>700</v>
      </c>
      <c r="BL101" s="642">
        <f t="shared" ca="1" si="33"/>
        <v>500</v>
      </c>
      <c r="BM101" s="642">
        <f t="shared" ca="1" si="33"/>
        <v>500</v>
      </c>
      <c r="BN101" s="643">
        <f t="shared" ca="1" si="33"/>
        <v>400</v>
      </c>
      <c r="BO101" s="641">
        <f t="shared" ca="1" si="33"/>
        <v>70</v>
      </c>
      <c r="BP101" s="642">
        <f t="shared" ca="1" si="33"/>
        <v>98</v>
      </c>
      <c r="BQ101" s="642">
        <f t="shared" ca="1" si="33"/>
        <v>55</v>
      </c>
      <c r="BR101" s="642">
        <f t="shared" ca="1" si="33"/>
        <v>123</v>
      </c>
      <c r="BS101" s="644">
        <f t="shared" ca="1" si="33"/>
        <v>55</v>
      </c>
    </row>
    <row r="102" spans="2:71" ht="15" customHeight="1" thickBot="1" x14ac:dyDescent="0.3">
      <c r="B102" s="1724"/>
      <c r="C102" s="278" t="str">
        <f>$C$27</f>
        <v>Interior modules</v>
      </c>
      <c r="D102" s="574">
        <f t="shared" ref="D102:M102" ca="1" si="34">AF102+(AP102-AF102)/(LOG(BJ102)-LOG(AZ102))*(LOG(D88)-LOG(AZ102))</f>
        <v>-0.15</v>
      </c>
      <c r="E102" s="575">
        <f t="shared" ca="1" si="34"/>
        <v>-0.20209943110023135</v>
      </c>
      <c r="F102" s="575">
        <f t="shared" ca="1" si="34"/>
        <v>-0.1559161120744437</v>
      </c>
      <c r="G102" s="575">
        <f t="shared" ca="1" si="34"/>
        <v>-0.16361529003093364</v>
      </c>
      <c r="H102" s="576">
        <f t="shared" ca="1" si="34"/>
        <v>-0.17870892179151812</v>
      </c>
      <c r="I102" s="574">
        <f t="shared" ca="1" si="34"/>
        <v>-0.25628602116013754</v>
      </c>
      <c r="J102" s="575">
        <f t="shared" ca="1" si="34"/>
        <v>-0.38580587725741877</v>
      </c>
      <c r="K102" s="575">
        <f t="shared" ca="1" si="34"/>
        <v>-0.2146896808215441</v>
      </c>
      <c r="L102" s="575">
        <f t="shared" ca="1" si="34"/>
        <v>-0.23819174419277514</v>
      </c>
      <c r="M102" s="577">
        <f t="shared" ca="1" si="34"/>
        <v>-0.25702081796115911</v>
      </c>
      <c r="S102">
        <v>7</v>
      </c>
      <c r="T102" s="622"/>
      <c r="U102" s="277" t="str">
        <f>$C$27</f>
        <v>Interior modules</v>
      </c>
      <c r="V102" s="574" t="str">
        <f t="shared" si="29"/>
        <v>C135:C139</v>
      </c>
      <c r="W102" s="575" t="str">
        <f t="shared" si="29"/>
        <v>F135:F139</v>
      </c>
      <c r="X102" s="575" t="str">
        <f t="shared" si="29"/>
        <v>I135:I139</v>
      </c>
      <c r="Y102" s="575" t="str">
        <f t="shared" si="29"/>
        <v>L135:L139</v>
      </c>
      <c r="Z102" s="576" t="str">
        <f t="shared" si="29"/>
        <v>O135:O139</v>
      </c>
      <c r="AA102" s="574" t="str">
        <f t="shared" si="29"/>
        <v>C193:C197</v>
      </c>
      <c r="AB102" s="575" t="str">
        <f t="shared" si="29"/>
        <v>F193:F197</v>
      </c>
      <c r="AC102" s="575" t="str">
        <f t="shared" si="29"/>
        <v>I193:I197</v>
      </c>
      <c r="AD102" s="575" t="str">
        <f t="shared" si="29"/>
        <v>L193:L197</v>
      </c>
      <c r="AE102" s="577" t="str">
        <f t="shared" si="29"/>
        <v>O193:O197</v>
      </c>
      <c r="AF102" s="574">
        <f t="shared" ref="AF102:AO108" ca="1" si="35">INDEX(OFFSET(INDIRECT(V102),0,1),MATCH(D88,INDIRECT(V102),1))</f>
        <v>-0.15</v>
      </c>
      <c r="AG102" s="575">
        <f t="shared" ca="1" si="35"/>
        <v>-0.28999999999999998</v>
      </c>
      <c r="AH102" s="575">
        <f t="shared" ca="1" si="35"/>
        <v>-0.18</v>
      </c>
      <c r="AI102" s="575">
        <f t="shared" ca="1" si="35"/>
        <v>-0.19</v>
      </c>
      <c r="AJ102" s="576">
        <f t="shared" ca="1" si="35"/>
        <v>-0.22</v>
      </c>
      <c r="AK102" s="574">
        <f t="shared" ca="1" si="35"/>
        <v>-0.42</v>
      </c>
      <c r="AL102" s="575">
        <f t="shared" ca="1" si="35"/>
        <v>-1.1299999999999999</v>
      </c>
      <c r="AM102" s="575">
        <f t="shared" ca="1" si="35"/>
        <v>-0.3</v>
      </c>
      <c r="AN102" s="575">
        <f t="shared" ca="1" si="35"/>
        <v>-0.25</v>
      </c>
      <c r="AO102" s="577">
        <f t="shared" ca="1" si="35"/>
        <v>-0.27</v>
      </c>
      <c r="AP102" s="574">
        <f t="shared" ref="AP102:AY108" ca="1" si="36">INDEX(OFFSET(INDIRECT(V102),0,1),MATCH(D88,INDIRECT(V102),1)+1)</f>
        <v>-0.15</v>
      </c>
      <c r="AQ102" s="575">
        <f t="shared" ca="1" si="36"/>
        <v>-0.17</v>
      </c>
      <c r="AR102" s="575">
        <f t="shared" ca="1" si="36"/>
        <v>-0.13</v>
      </c>
      <c r="AS102" s="575">
        <f t="shared" ca="1" si="36"/>
        <v>-0.14000000000000001</v>
      </c>
      <c r="AT102" s="576">
        <f t="shared" ca="1" si="36"/>
        <v>-0.14000000000000001</v>
      </c>
      <c r="AU102" s="574">
        <f t="shared" ca="1" si="36"/>
        <v>-0.24</v>
      </c>
      <c r="AV102" s="575">
        <f t="shared" ca="1" si="36"/>
        <v>-0.31</v>
      </c>
      <c r="AW102" s="575">
        <f t="shared" ca="1" si="36"/>
        <v>-0.18</v>
      </c>
      <c r="AX102" s="575">
        <f t="shared" ca="1" si="36"/>
        <v>-0.19</v>
      </c>
      <c r="AY102" s="577">
        <f t="shared" ca="1" si="36"/>
        <v>-0.21</v>
      </c>
      <c r="AZ102" s="645">
        <f t="shared" ref="AZ102:BI108" ca="1" si="37">INDEX(OFFSET(INDIRECT(V102),0,0),MATCH(D88,INDIRECT(V102),1))</f>
        <v>164</v>
      </c>
      <c r="BA102" s="646">
        <f t="shared" ca="1" si="37"/>
        <v>121</v>
      </c>
      <c r="BB102" s="646">
        <f t="shared" ca="1" si="37"/>
        <v>81</v>
      </c>
      <c r="BC102" s="646">
        <f t="shared" ca="1" si="37"/>
        <v>72</v>
      </c>
      <c r="BD102" s="647">
        <f t="shared" ca="1" si="37"/>
        <v>55</v>
      </c>
      <c r="BE102" s="645">
        <f t="shared" ca="1" si="37"/>
        <v>13</v>
      </c>
      <c r="BF102" s="646">
        <f t="shared" ca="1" si="37"/>
        <v>1</v>
      </c>
      <c r="BG102" s="646">
        <f t="shared" ca="1" si="37"/>
        <v>9</v>
      </c>
      <c r="BH102" s="646">
        <f t="shared" ca="1" si="37"/>
        <v>32</v>
      </c>
      <c r="BI102" s="648">
        <f t="shared" ca="1" si="37"/>
        <v>24</v>
      </c>
      <c r="BJ102" s="645">
        <f t="shared" ref="BJ102:BS108" ca="1" si="38">INDEX(OFFSET(INDIRECT(V102),0,0),MATCH(D88,INDIRECT(V102),1)+1)</f>
        <v>10000</v>
      </c>
      <c r="BK102" s="646">
        <f t="shared" ca="1" si="38"/>
        <v>500</v>
      </c>
      <c r="BL102" s="646">
        <f t="shared" ca="1" si="38"/>
        <v>700</v>
      </c>
      <c r="BM102" s="646">
        <f t="shared" ca="1" si="38"/>
        <v>500</v>
      </c>
      <c r="BN102" s="647">
        <f t="shared" ca="1" si="38"/>
        <v>400</v>
      </c>
      <c r="BO102" s="645">
        <f t="shared" ca="1" si="38"/>
        <v>56</v>
      </c>
      <c r="BP102" s="646">
        <f t="shared" ca="1" si="38"/>
        <v>98</v>
      </c>
      <c r="BQ102" s="646">
        <f t="shared" ca="1" si="38"/>
        <v>81</v>
      </c>
      <c r="BR102" s="646">
        <f t="shared" ca="1" si="38"/>
        <v>72</v>
      </c>
      <c r="BS102" s="648">
        <f t="shared" ca="1" si="38"/>
        <v>55</v>
      </c>
    </row>
    <row r="103" spans="2:71" ht="15" customHeight="1" x14ac:dyDescent="0.25">
      <c r="B103" s="1722" t="str">
        <f>$B$28</f>
        <v>Inner rows, 2nd to 4th row from north</v>
      </c>
      <c r="C103" s="183" t="str">
        <f>$C$26</f>
        <v>1st-10th module</v>
      </c>
      <c r="D103" s="189">
        <f t="shared" ref="D103:M103" ca="1" si="39">AF103+(AP103-AF103)/(LOG(BJ103)-LOG(AZ103))*(LOG(D89)-LOG(AZ103))</f>
        <v>-0.18540313070608122</v>
      </c>
      <c r="E103" s="190">
        <f t="shared" ca="1" si="39"/>
        <v>-0.22757658922866755</v>
      </c>
      <c r="F103" s="190">
        <f t="shared" ca="1" si="39"/>
        <v>-0.17000494597255378</v>
      </c>
      <c r="G103" s="190">
        <f t="shared" ca="1" si="39"/>
        <v>-0.17915940140084177</v>
      </c>
      <c r="H103" s="573">
        <f t="shared" ca="1" si="39"/>
        <v>-0.17922535507802873</v>
      </c>
      <c r="I103" s="189">
        <f t="shared" ca="1" si="39"/>
        <v>-0.27013541713259681</v>
      </c>
      <c r="J103" s="190">
        <f t="shared" ca="1" si="39"/>
        <v>-0.29157888628640072</v>
      </c>
      <c r="K103" s="190">
        <f t="shared" ca="1" si="39"/>
        <v>-0.23432132301306846</v>
      </c>
      <c r="L103" s="190">
        <f t="shared" ca="1" si="39"/>
        <v>-0.21979595993959206</v>
      </c>
      <c r="M103" s="191">
        <f t="shared" ca="1" si="39"/>
        <v>-0.23530758405437743</v>
      </c>
      <c r="S103">
        <v>14</v>
      </c>
      <c r="T103" s="621" t="str">
        <f>$B$28</f>
        <v>Inner rows, 2nd to 4th row from north</v>
      </c>
      <c r="U103" s="183" t="str">
        <f>$C$26</f>
        <v>1st-10th module</v>
      </c>
      <c r="V103" s="189" t="str">
        <f t="shared" si="29"/>
        <v>C142:C146</v>
      </c>
      <c r="W103" s="190" t="str">
        <f t="shared" si="29"/>
        <v>F142:F146</v>
      </c>
      <c r="X103" s="190" t="str">
        <f t="shared" si="29"/>
        <v>I142:I146</v>
      </c>
      <c r="Y103" s="190" t="str">
        <f t="shared" si="29"/>
        <v>L142:L146</v>
      </c>
      <c r="Z103" s="573" t="str">
        <f t="shared" si="29"/>
        <v>O142:O146</v>
      </c>
      <c r="AA103" s="189" t="str">
        <f t="shared" si="29"/>
        <v>C200:C204</v>
      </c>
      <c r="AB103" s="190" t="str">
        <f t="shared" si="29"/>
        <v>F200:F204</v>
      </c>
      <c r="AC103" s="190" t="str">
        <f t="shared" si="29"/>
        <v>I200:I204</v>
      </c>
      <c r="AD103" s="190" t="str">
        <f t="shared" si="29"/>
        <v>L200:L204</v>
      </c>
      <c r="AE103" s="191" t="str">
        <f t="shared" si="29"/>
        <v>O200:O204</v>
      </c>
      <c r="AF103" s="189">
        <f t="shared" ca="1" si="35"/>
        <v>-0.28000000000000003</v>
      </c>
      <c r="AG103" s="190">
        <f t="shared" ca="1" si="35"/>
        <v>-0.25</v>
      </c>
      <c r="AH103" s="190">
        <f t="shared" ca="1" si="35"/>
        <v>-0.2</v>
      </c>
      <c r="AI103" s="190">
        <f t="shared" ca="1" si="35"/>
        <v>-0.2</v>
      </c>
      <c r="AJ103" s="573">
        <f t="shared" ca="1" si="35"/>
        <v>-0.28000000000000003</v>
      </c>
      <c r="AK103" s="189">
        <f t="shared" ca="1" si="35"/>
        <v>-0.28000000000000003</v>
      </c>
      <c r="AL103" s="190">
        <f t="shared" ca="1" si="35"/>
        <v>-0.35</v>
      </c>
      <c r="AM103" s="190">
        <f t="shared" ca="1" si="35"/>
        <v>-0.27</v>
      </c>
      <c r="AN103" s="190">
        <f t="shared" ca="1" si="35"/>
        <v>-0.23</v>
      </c>
      <c r="AO103" s="191">
        <f t="shared" ca="1" si="35"/>
        <v>-0.27</v>
      </c>
      <c r="AP103" s="189">
        <f t="shared" ca="1" si="36"/>
        <v>-0.15</v>
      </c>
      <c r="AQ103" s="190">
        <f t="shared" ca="1" si="36"/>
        <v>-0.17</v>
      </c>
      <c r="AR103" s="190">
        <f t="shared" ca="1" si="36"/>
        <v>-0.13</v>
      </c>
      <c r="AS103" s="190">
        <f t="shared" ca="1" si="36"/>
        <v>-0.14000000000000001</v>
      </c>
      <c r="AT103" s="573">
        <f t="shared" ca="1" si="36"/>
        <v>-0.14000000000000001</v>
      </c>
      <c r="AU103" s="189">
        <f t="shared" ca="1" si="36"/>
        <v>-0.15</v>
      </c>
      <c r="AV103" s="190">
        <f t="shared" ca="1" si="36"/>
        <v>-0.24</v>
      </c>
      <c r="AW103" s="190">
        <f t="shared" ca="1" si="36"/>
        <v>-0.2</v>
      </c>
      <c r="AX103" s="190">
        <f t="shared" ca="1" si="36"/>
        <v>-0.19</v>
      </c>
      <c r="AY103" s="191">
        <f t="shared" ca="1" si="36"/>
        <v>-0.12</v>
      </c>
      <c r="AZ103" s="641">
        <f t="shared" ca="1" si="37"/>
        <v>69</v>
      </c>
      <c r="BA103" s="642">
        <f t="shared" ca="1" si="37"/>
        <v>204</v>
      </c>
      <c r="BB103" s="642">
        <f t="shared" ca="1" si="37"/>
        <v>99</v>
      </c>
      <c r="BC103" s="642">
        <f t="shared" ca="1" si="37"/>
        <v>123</v>
      </c>
      <c r="BD103" s="643">
        <f t="shared" ca="1" si="37"/>
        <v>13</v>
      </c>
      <c r="BE103" s="641">
        <f t="shared" ca="1" si="37"/>
        <v>69</v>
      </c>
      <c r="BF103" s="642">
        <f t="shared" ca="1" si="37"/>
        <v>13</v>
      </c>
      <c r="BG103" s="642">
        <f t="shared" ca="1" si="37"/>
        <v>18</v>
      </c>
      <c r="BH103" s="642">
        <f t="shared" ca="1" si="37"/>
        <v>25</v>
      </c>
      <c r="BI103" s="644">
        <f t="shared" ca="1" si="37"/>
        <v>13</v>
      </c>
      <c r="BJ103" s="641">
        <f t="shared" ca="1" si="38"/>
        <v>900</v>
      </c>
      <c r="BK103" s="642">
        <f t="shared" ca="1" si="38"/>
        <v>800</v>
      </c>
      <c r="BL103" s="642">
        <f t="shared" ca="1" si="38"/>
        <v>700</v>
      </c>
      <c r="BM103" s="642">
        <f t="shared" ca="1" si="38"/>
        <v>500</v>
      </c>
      <c r="BN103" s="643">
        <f t="shared" ca="1" si="38"/>
        <v>400</v>
      </c>
      <c r="BO103" s="641">
        <f t="shared" ca="1" si="38"/>
        <v>900</v>
      </c>
      <c r="BP103" s="642">
        <f t="shared" ca="1" si="38"/>
        <v>204</v>
      </c>
      <c r="BQ103" s="642">
        <f t="shared" ca="1" si="38"/>
        <v>99</v>
      </c>
      <c r="BR103" s="642">
        <f t="shared" ca="1" si="38"/>
        <v>123</v>
      </c>
      <c r="BS103" s="644">
        <f t="shared" ca="1" si="38"/>
        <v>400</v>
      </c>
    </row>
    <row r="104" spans="2:71" ht="15" customHeight="1" thickBot="1" x14ac:dyDescent="0.3">
      <c r="B104" s="1724"/>
      <c r="C104" s="278" t="str">
        <f>$C$27</f>
        <v>Interior modules</v>
      </c>
      <c r="D104" s="578">
        <f t="shared" ref="D104:M104" ca="1" si="40">AF104+(AP104-AF104)/(LOG(BJ104)-LOG(AZ104))*(LOG(D90)-LOG(AZ104))</f>
        <v>-0.15</v>
      </c>
      <c r="E104" s="579">
        <f t="shared" ca="1" si="40"/>
        <v>-0.21871156334851691</v>
      </c>
      <c r="F104" s="579">
        <f t="shared" ca="1" si="40"/>
        <v>-0.15055172220738045</v>
      </c>
      <c r="G104" s="579">
        <f t="shared" ca="1" si="40"/>
        <v>-0.1541691740185602</v>
      </c>
      <c r="H104" s="580">
        <f t="shared" ca="1" si="40"/>
        <v>-0.16077577854268627</v>
      </c>
      <c r="I104" s="578">
        <f t="shared" ca="1" si="40"/>
        <v>-0.2085957248453599</v>
      </c>
      <c r="J104" s="579">
        <f t="shared" ca="1" si="40"/>
        <v>-0.27821668820142481</v>
      </c>
      <c r="K104" s="579">
        <f t="shared" ca="1" si="40"/>
        <v>-0.1591022574908941</v>
      </c>
      <c r="L104" s="579">
        <f t="shared" ca="1" si="40"/>
        <v>-0.17732186637994851</v>
      </c>
      <c r="M104" s="581">
        <f t="shared" ca="1" si="40"/>
        <v>-0.1916752361966538</v>
      </c>
      <c r="S104">
        <v>21</v>
      </c>
      <c r="T104" s="622"/>
      <c r="U104" s="278" t="str">
        <f>$C$27</f>
        <v>Interior modules</v>
      </c>
      <c r="V104" s="578" t="str">
        <f t="shared" si="29"/>
        <v>C149:C153</v>
      </c>
      <c r="W104" s="579" t="str">
        <f t="shared" si="29"/>
        <v>F149:F153</v>
      </c>
      <c r="X104" s="579" t="str">
        <f t="shared" si="29"/>
        <v>I149:I153</v>
      </c>
      <c r="Y104" s="579" t="str">
        <f t="shared" si="29"/>
        <v>L149:L153</v>
      </c>
      <c r="Z104" s="580" t="str">
        <f t="shared" si="29"/>
        <v>O149:O153</v>
      </c>
      <c r="AA104" s="578" t="str">
        <f t="shared" si="29"/>
        <v>C207:C211</v>
      </c>
      <c r="AB104" s="579" t="str">
        <f t="shared" si="29"/>
        <v>F207:F211</v>
      </c>
      <c r="AC104" s="579" t="str">
        <f t="shared" si="29"/>
        <v>I207:I211</v>
      </c>
      <c r="AD104" s="579" t="str">
        <f t="shared" si="29"/>
        <v>L207:L211</v>
      </c>
      <c r="AE104" s="581" t="str">
        <f t="shared" si="29"/>
        <v>O207:O211</v>
      </c>
      <c r="AF104" s="578">
        <f t="shared" ca="1" si="35"/>
        <v>-0.15</v>
      </c>
      <c r="AG104" s="579">
        <f t="shared" ca="1" si="35"/>
        <v>-0.26</v>
      </c>
      <c r="AH104" s="579">
        <f t="shared" ca="1" si="35"/>
        <v>-0.16</v>
      </c>
      <c r="AI104" s="579">
        <f t="shared" ca="1" si="35"/>
        <v>-0.17</v>
      </c>
      <c r="AJ104" s="580">
        <f t="shared" ca="1" si="35"/>
        <v>-0.17</v>
      </c>
      <c r="AK104" s="578">
        <f t="shared" ca="1" si="35"/>
        <v>-0.22</v>
      </c>
      <c r="AL104" s="579">
        <f t="shared" ca="1" si="35"/>
        <v>-0.33</v>
      </c>
      <c r="AM104" s="579">
        <f t="shared" ca="1" si="35"/>
        <v>-0.16</v>
      </c>
      <c r="AN104" s="579">
        <f t="shared" ca="1" si="35"/>
        <v>-0.2</v>
      </c>
      <c r="AO104" s="581">
        <f t="shared" ca="1" si="35"/>
        <v>-0.25</v>
      </c>
      <c r="AP104" s="578">
        <f t="shared" ca="1" si="36"/>
        <v>-0.15</v>
      </c>
      <c r="AQ104" s="579">
        <f t="shared" ca="1" si="36"/>
        <v>-0.17</v>
      </c>
      <c r="AR104" s="579">
        <f t="shared" ca="1" si="36"/>
        <v>-0.15</v>
      </c>
      <c r="AS104" s="579">
        <f t="shared" ca="1" si="36"/>
        <v>-0.14000000000000001</v>
      </c>
      <c r="AT104" s="580">
        <f t="shared" ca="1" si="36"/>
        <v>-0.14000000000000001</v>
      </c>
      <c r="AU104" s="578">
        <f t="shared" ca="1" si="36"/>
        <v>-0.15</v>
      </c>
      <c r="AV104" s="579">
        <f t="shared" ca="1" si="36"/>
        <v>-0.25</v>
      </c>
      <c r="AW104" s="579">
        <f t="shared" ca="1" si="36"/>
        <v>-0.15</v>
      </c>
      <c r="AX104" s="579">
        <f t="shared" ca="1" si="36"/>
        <v>-0.16</v>
      </c>
      <c r="AY104" s="581">
        <f t="shared" ca="1" si="36"/>
        <v>-0.17</v>
      </c>
      <c r="AZ104" s="649">
        <f t="shared" ca="1" si="37"/>
        <v>246</v>
      </c>
      <c r="BA104" s="650">
        <f t="shared" ca="1" si="37"/>
        <v>130</v>
      </c>
      <c r="BB104" s="650">
        <f t="shared" ca="1" si="37"/>
        <v>36</v>
      </c>
      <c r="BC104" s="650">
        <f t="shared" ca="1" si="37"/>
        <v>72</v>
      </c>
      <c r="BD104" s="651">
        <f t="shared" ca="1" si="37"/>
        <v>100</v>
      </c>
      <c r="BE104" s="649">
        <f t="shared" ca="1" si="37"/>
        <v>68</v>
      </c>
      <c r="BF104" s="650">
        <f t="shared" ca="1" si="37"/>
        <v>12</v>
      </c>
      <c r="BG104" s="650">
        <f t="shared" ca="1" si="37"/>
        <v>36</v>
      </c>
      <c r="BH104" s="650">
        <f t="shared" ca="1" si="37"/>
        <v>16</v>
      </c>
      <c r="BI104" s="652">
        <f t="shared" ca="1" si="37"/>
        <v>1</v>
      </c>
      <c r="BJ104" s="649">
        <f t="shared" ca="1" si="38"/>
        <v>10000</v>
      </c>
      <c r="BK104" s="650">
        <f t="shared" ca="1" si="38"/>
        <v>800</v>
      </c>
      <c r="BL104" s="650">
        <f t="shared" ca="1" si="38"/>
        <v>255</v>
      </c>
      <c r="BM104" s="650">
        <f t="shared" ca="1" si="38"/>
        <v>500</v>
      </c>
      <c r="BN104" s="651">
        <f t="shared" ca="1" si="38"/>
        <v>400</v>
      </c>
      <c r="BO104" s="649">
        <f t="shared" ca="1" si="38"/>
        <v>246</v>
      </c>
      <c r="BP104" s="650">
        <f t="shared" ca="1" si="38"/>
        <v>130</v>
      </c>
      <c r="BQ104" s="650">
        <f t="shared" ca="1" si="38"/>
        <v>255</v>
      </c>
      <c r="BR104" s="650">
        <f t="shared" ca="1" si="38"/>
        <v>72</v>
      </c>
      <c r="BS104" s="652">
        <f t="shared" ca="1" si="38"/>
        <v>100</v>
      </c>
    </row>
    <row r="105" spans="2:71" ht="15" customHeight="1" x14ac:dyDescent="0.25">
      <c r="B105" s="1722" t="str">
        <f>$B$30</f>
        <v>Inner rows, from 5th row from north</v>
      </c>
      <c r="C105" s="183" t="str">
        <f>$C$26</f>
        <v>1st-10th module</v>
      </c>
      <c r="D105" s="189">
        <f t="shared" ref="D105:M105" ca="1" si="41">AF105+(AP105-AF105)/(LOG(BJ105)-LOG(AZ105))*(LOG(D91)-LOG(AZ105))</f>
        <v>-0.15859828186401426</v>
      </c>
      <c r="E105" s="190">
        <f t="shared" ca="1" si="41"/>
        <v>-0.19703140274762021</v>
      </c>
      <c r="F105" s="190">
        <f t="shared" ca="1" si="41"/>
        <v>-0.14554966724466623</v>
      </c>
      <c r="G105" s="190">
        <f t="shared" ca="1" si="41"/>
        <v>-0.15672350913163197</v>
      </c>
      <c r="H105" s="190">
        <f t="shared" ca="1" si="41"/>
        <v>-0.14000000000000001</v>
      </c>
      <c r="I105" s="189">
        <f t="shared" ca="1" si="41"/>
        <v>-0.27943498844426617</v>
      </c>
      <c r="J105" s="190">
        <f t="shared" ca="1" si="41"/>
        <v>-0.25067913229920674</v>
      </c>
      <c r="K105" s="190">
        <f t="shared" ca="1" si="41"/>
        <v>-0.20645323958996015</v>
      </c>
      <c r="L105" s="190">
        <f t="shared" ca="1" si="41"/>
        <v>-0.19817753164645441</v>
      </c>
      <c r="M105" s="191">
        <f t="shared" ca="1" si="41"/>
        <v>-0.12</v>
      </c>
      <c r="S105">
        <v>28</v>
      </c>
      <c r="T105" s="621" t="str">
        <f>$B$30</f>
        <v>Inner rows, from 5th row from north</v>
      </c>
      <c r="U105" s="183" t="str">
        <f>$C$26</f>
        <v>1st-10th module</v>
      </c>
      <c r="V105" s="189" t="str">
        <f t="shared" si="29"/>
        <v>C156:C160</v>
      </c>
      <c r="W105" s="190" t="str">
        <f t="shared" si="29"/>
        <v>F156:F160</v>
      </c>
      <c r="X105" s="190" t="str">
        <f t="shared" si="29"/>
        <v>I156:I160</v>
      </c>
      <c r="Y105" s="190" t="str">
        <f t="shared" si="29"/>
        <v>L156:L160</v>
      </c>
      <c r="Z105" s="190" t="str">
        <f t="shared" si="29"/>
        <v>O156:O160</v>
      </c>
      <c r="AA105" s="189" t="str">
        <f t="shared" si="29"/>
        <v>C214:C218</v>
      </c>
      <c r="AB105" s="190" t="str">
        <f t="shared" si="29"/>
        <v>F214:F218</v>
      </c>
      <c r="AC105" s="190" t="str">
        <f t="shared" si="29"/>
        <v>I214:I218</v>
      </c>
      <c r="AD105" s="190" t="str">
        <f t="shared" si="29"/>
        <v>L214:L218</v>
      </c>
      <c r="AE105" s="191" t="str">
        <f t="shared" si="29"/>
        <v>O214:O218</v>
      </c>
      <c r="AF105" s="189">
        <f t="shared" ca="1" si="35"/>
        <v>-0.32</v>
      </c>
      <c r="AG105" s="190">
        <f t="shared" ca="1" si="35"/>
        <v>-0.24</v>
      </c>
      <c r="AH105" s="190">
        <f t="shared" ca="1" si="35"/>
        <v>-0.16</v>
      </c>
      <c r="AI105" s="190">
        <f t="shared" ca="1" si="35"/>
        <v>-0.18</v>
      </c>
      <c r="AJ105" s="190">
        <f t="shared" ca="1" si="35"/>
        <v>-0.14000000000000001</v>
      </c>
      <c r="AK105" s="189">
        <f t="shared" ca="1" si="35"/>
        <v>-0.31</v>
      </c>
      <c r="AL105" s="190">
        <f t="shared" ca="1" si="35"/>
        <v>-0.31</v>
      </c>
      <c r="AM105" s="190">
        <f t="shared" ca="1" si="35"/>
        <v>-0.27</v>
      </c>
      <c r="AN105" s="190">
        <f t="shared" ca="1" si="35"/>
        <v>-0.25</v>
      </c>
      <c r="AO105" s="191">
        <f t="shared" ca="1" si="35"/>
        <v>-0.12</v>
      </c>
      <c r="AP105" s="189">
        <f t="shared" ca="1" si="36"/>
        <v>-0.15</v>
      </c>
      <c r="AQ105" s="190">
        <f t="shared" ca="1" si="36"/>
        <v>-0.17</v>
      </c>
      <c r="AR105" s="190">
        <f t="shared" ca="1" si="36"/>
        <v>-0.13</v>
      </c>
      <c r="AS105" s="190">
        <f t="shared" ca="1" si="36"/>
        <v>-0.14000000000000001</v>
      </c>
      <c r="AT105" s="190">
        <f t="shared" ca="1" si="36"/>
        <v>-0.14000000000000001</v>
      </c>
      <c r="AU105" s="189">
        <f t="shared" ca="1" si="36"/>
        <v>-0.15</v>
      </c>
      <c r="AV105" s="190">
        <f t="shared" ca="1" si="36"/>
        <v>-0.23</v>
      </c>
      <c r="AW105" s="190">
        <f t="shared" ca="1" si="36"/>
        <v>-0.16</v>
      </c>
      <c r="AX105" s="190">
        <f t="shared" ca="1" si="36"/>
        <v>-0.18</v>
      </c>
      <c r="AY105" s="191">
        <f t="shared" ca="1" si="36"/>
        <v>-0.12</v>
      </c>
      <c r="AZ105" s="641">
        <f t="shared" ca="1" si="37"/>
        <v>55</v>
      </c>
      <c r="BA105" s="642">
        <f t="shared" ca="1" si="37"/>
        <v>99</v>
      </c>
      <c r="BB105" s="642">
        <f t="shared" ca="1" si="37"/>
        <v>81</v>
      </c>
      <c r="BC105" s="642">
        <f t="shared" ca="1" si="37"/>
        <v>56</v>
      </c>
      <c r="BD105" s="642">
        <f t="shared" ca="1" si="37"/>
        <v>35</v>
      </c>
      <c r="BE105" s="641">
        <f t="shared" ca="1" si="37"/>
        <v>55</v>
      </c>
      <c r="BF105" s="642">
        <f t="shared" ca="1" si="37"/>
        <v>11</v>
      </c>
      <c r="BG105" s="642">
        <f t="shared" ca="1" si="37"/>
        <v>18</v>
      </c>
      <c r="BH105" s="642">
        <f t="shared" ca="1" si="37"/>
        <v>12</v>
      </c>
      <c r="BI105" s="644">
        <f t="shared" ca="1" si="37"/>
        <v>35</v>
      </c>
      <c r="BJ105" s="641">
        <f t="shared" ca="1" si="38"/>
        <v>500</v>
      </c>
      <c r="BK105" s="642">
        <f t="shared" ca="1" si="38"/>
        <v>600</v>
      </c>
      <c r="BL105" s="642">
        <f t="shared" ca="1" si="38"/>
        <v>700</v>
      </c>
      <c r="BM105" s="642">
        <f t="shared" ca="1" si="38"/>
        <v>500</v>
      </c>
      <c r="BN105" s="642">
        <f t="shared" ca="1" si="38"/>
        <v>10000</v>
      </c>
      <c r="BO105" s="641">
        <f t="shared" ca="1" si="38"/>
        <v>500</v>
      </c>
      <c r="BP105" s="642">
        <f t="shared" ca="1" si="38"/>
        <v>99</v>
      </c>
      <c r="BQ105" s="642">
        <f t="shared" ca="1" si="38"/>
        <v>81</v>
      </c>
      <c r="BR105" s="642">
        <f t="shared" ca="1" si="38"/>
        <v>56</v>
      </c>
      <c r="BS105" s="644">
        <f t="shared" ca="1" si="38"/>
        <v>10000</v>
      </c>
    </row>
    <row r="106" spans="2:71" ht="15" customHeight="1" thickBot="1" x14ac:dyDescent="0.3">
      <c r="B106" s="1724"/>
      <c r="C106" s="278" t="str">
        <f>$C$27</f>
        <v>Interior modules</v>
      </c>
      <c r="D106" s="582">
        <f t="shared" ref="D106:M106" ca="1" si="42">AF106+(AP106-AF106)/(LOG(BJ106)-LOG(AZ106))*(LOG(D92)-LOG(AZ106))</f>
        <v>-0.15</v>
      </c>
      <c r="E106" s="583">
        <f t="shared" ca="1" si="42"/>
        <v>-0.20294733630104622</v>
      </c>
      <c r="F106" s="583">
        <f t="shared" ca="1" si="42"/>
        <v>-0.13</v>
      </c>
      <c r="G106" s="583">
        <f t="shared" ca="1" si="42"/>
        <v>-0.14000000000000001</v>
      </c>
      <c r="H106" s="583">
        <f t="shared" ca="1" si="42"/>
        <v>-0.14000000000000001</v>
      </c>
      <c r="I106" s="582">
        <f t="shared" ca="1" si="42"/>
        <v>-0.16692404114049589</v>
      </c>
      <c r="J106" s="583">
        <f t="shared" ca="1" si="42"/>
        <v>-0.24958313878246352</v>
      </c>
      <c r="K106" s="583">
        <f t="shared" ca="1" si="42"/>
        <v>-0.15619658579439863</v>
      </c>
      <c r="L106" s="583">
        <f t="shared" ca="1" si="42"/>
        <v>-0.14519358047041556</v>
      </c>
      <c r="M106" s="585">
        <f t="shared" ca="1" si="42"/>
        <v>-0.12</v>
      </c>
      <c r="S106">
        <v>35</v>
      </c>
      <c r="T106" s="622"/>
      <c r="U106" s="277" t="str">
        <f>$C$27</f>
        <v>Interior modules</v>
      </c>
      <c r="V106" s="582" t="str">
        <f t="shared" si="29"/>
        <v>C163:C167</v>
      </c>
      <c r="W106" s="583" t="str">
        <f t="shared" si="29"/>
        <v>F163:F167</v>
      </c>
      <c r="X106" s="583" t="str">
        <f t="shared" si="29"/>
        <v>I163:I167</v>
      </c>
      <c r="Y106" s="583" t="str">
        <f t="shared" si="29"/>
        <v>L163:L167</v>
      </c>
      <c r="Z106" s="583" t="str">
        <f t="shared" si="29"/>
        <v>O163:O167</v>
      </c>
      <c r="AA106" s="582" t="str">
        <f t="shared" si="29"/>
        <v>C221:C225</v>
      </c>
      <c r="AB106" s="583" t="str">
        <f t="shared" si="29"/>
        <v>F221:F225</v>
      </c>
      <c r="AC106" s="583" t="str">
        <f t="shared" si="29"/>
        <v>I221:I225</v>
      </c>
      <c r="AD106" s="583" t="str">
        <f t="shared" si="29"/>
        <v>L221:L225</v>
      </c>
      <c r="AE106" s="585" t="str">
        <f t="shared" si="29"/>
        <v>O221:O225</v>
      </c>
      <c r="AF106" s="582">
        <f t="shared" ca="1" si="35"/>
        <v>-0.15</v>
      </c>
      <c r="AG106" s="583">
        <f t="shared" ca="1" si="35"/>
        <v>-0.24</v>
      </c>
      <c r="AH106" s="583">
        <f t="shared" ca="1" si="35"/>
        <v>-0.13</v>
      </c>
      <c r="AI106" s="583">
        <f t="shared" ca="1" si="35"/>
        <v>-0.14000000000000001</v>
      </c>
      <c r="AJ106" s="583">
        <f t="shared" ca="1" si="35"/>
        <v>-0.14000000000000001</v>
      </c>
      <c r="AK106" s="582">
        <f t="shared" ca="1" si="35"/>
        <v>-0.17</v>
      </c>
      <c r="AL106" s="583">
        <f t="shared" ca="1" si="35"/>
        <v>-0.3</v>
      </c>
      <c r="AM106" s="583">
        <f t="shared" ca="1" si="35"/>
        <v>-0.16</v>
      </c>
      <c r="AN106" s="583">
        <f t="shared" ca="1" si="35"/>
        <v>-0.16</v>
      </c>
      <c r="AO106" s="585">
        <f t="shared" ca="1" si="35"/>
        <v>-0.12</v>
      </c>
      <c r="AP106" s="582">
        <f t="shared" ca="1" si="36"/>
        <v>-0.15</v>
      </c>
      <c r="AQ106" s="583">
        <f t="shared" ca="1" si="36"/>
        <v>-0.17</v>
      </c>
      <c r="AR106" s="583">
        <f t="shared" ca="1" si="36"/>
        <v>-0.13</v>
      </c>
      <c r="AS106" s="583">
        <f t="shared" ca="1" si="36"/>
        <v>-0.14000000000000001</v>
      </c>
      <c r="AT106" s="583">
        <f t="shared" ca="1" si="36"/>
        <v>-0.14000000000000001</v>
      </c>
      <c r="AU106" s="582">
        <f t="shared" ca="1" si="36"/>
        <v>-0.15</v>
      </c>
      <c r="AV106" s="583">
        <f t="shared" ca="1" si="36"/>
        <v>-0.23</v>
      </c>
      <c r="AW106" s="583">
        <f t="shared" ca="1" si="36"/>
        <v>-0.13</v>
      </c>
      <c r="AX106" s="583">
        <f t="shared" ca="1" si="36"/>
        <v>-0.14000000000000001</v>
      </c>
      <c r="AY106" s="585">
        <f t="shared" ca="1" si="36"/>
        <v>-0.12</v>
      </c>
      <c r="AZ106" s="653">
        <f t="shared" ca="1" si="37"/>
        <v>245</v>
      </c>
      <c r="BA106" s="654">
        <f t="shared" ca="1" si="37"/>
        <v>99</v>
      </c>
      <c r="BB106" s="654">
        <f t="shared" ca="1" si="37"/>
        <v>144</v>
      </c>
      <c r="BC106" s="654">
        <f t="shared" ca="1" si="37"/>
        <v>56</v>
      </c>
      <c r="BD106" s="654">
        <f t="shared" ca="1" si="37"/>
        <v>35</v>
      </c>
      <c r="BE106" s="653">
        <f t="shared" ca="1" si="37"/>
        <v>69</v>
      </c>
      <c r="BF106" s="654">
        <f t="shared" ca="1" si="37"/>
        <v>13</v>
      </c>
      <c r="BG106" s="654">
        <f t="shared" ca="1" si="37"/>
        <v>36</v>
      </c>
      <c r="BH106" s="654">
        <f t="shared" ca="1" si="37"/>
        <v>12</v>
      </c>
      <c r="BI106" s="655">
        <f t="shared" ca="1" si="37"/>
        <v>35</v>
      </c>
      <c r="BJ106" s="653">
        <f t="shared" ca="1" si="38"/>
        <v>10000</v>
      </c>
      <c r="BK106" s="654">
        <f t="shared" ca="1" si="38"/>
        <v>800</v>
      </c>
      <c r="BL106" s="654">
        <f t="shared" ca="1" si="38"/>
        <v>700</v>
      </c>
      <c r="BM106" s="654">
        <f t="shared" ca="1" si="38"/>
        <v>500</v>
      </c>
      <c r="BN106" s="654">
        <f t="shared" ca="1" si="38"/>
        <v>10000</v>
      </c>
      <c r="BO106" s="653">
        <f t="shared" ca="1" si="38"/>
        <v>245</v>
      </c>
      <c r="BP106" s="654">
        <f t="shared" ca="1" si="38"/>
        <v>99</v>
      </c>
      <c r="BQ106" s="654">
        <f t="shared" ca="1" si="38"/>
        <v>144</v>
      </c>
      <c r="BR106" s="654">
        <f t="shared" ca="1" si="38"/>
        <v>56</v>
      </c>
      <c r="BS106" s="655">
        <f t="shared" ca="1" si="38"/>
        <v>10000</v>
      </c>
    </row>
    <row r="107" spans="2:71" ht="15" customHeight="1" x14ac:dyDescent="0.25">
      <c r="B107" s="1722" t="str">
        <f>$B$32</f>
        <v>South row</v>
      </c>
      <c r="C107" s="183" t="str">
        <f>$C$26</f>
        <v>1st-10th module</v>
      </c>
      <c r="D107" s="189">
        <f t="shared" ref="D107:M107" ca="1" si="43">AF107+(AP107-AF107)/(LOG(BJ107)-LOG(AZ107))*(LOG(D93)-LOG(AZ107))</f>
        <v>-0.17347161663633265</v>
      </c>
      <c r="E107" s="190">
        <f t="shared" ca="1" si="43"/>
        <v>-0.19270165282333807</v>
      </c>
      <c r="F107" s="190">
        <f t="shared" ca="1" si="43"/>
        <v>-0.16013463940487116</v>
      </c>
      <c r="G107" s="190">
        <f t="shared" ca="1" si="43"/>
        <v>-0.14836175456581599</v>
      </c>
      <c r="H107" s="573">
        <f t="shared" ca="1" si="43"/>
        <v>-0.14000000000000001</v>
      </c>
      <c r="I107" s="189">
        <f t="shared" ca="1" si="43"/>
        <v>-0.24285476220291077</v>
      </c>
      <c r="J107" s="190">
        <f t="shared" ca="1" si="43"/>
        <v>-0.2313422528117996</v>
      </c>
      <c r="K107" s="190">
        <f t="shared" ca="1" si="43"/>
        <v>-0.21407745849022475</v>
      </c>
      <c r="L107" s="190">
        <f t="shared" ca="1" si="43"/>
        <v>-0.17416342290199252</v>
      </c>
      <c r="M107" s="191">
        <f t="shared" ca="1" si="43"/>
        <v>-0.12452334376229594</v>
      </c>
      <c r="S107">
        <v>42</v>
      </c>
      <c r="T107" s="621" t="str">
        <f>$B$32</f>
        <v>South row</v>
      </c>
      <c r="U107" s="183" t="str">
        <f>$C$26</f>
        <v>1st-10th module</v>
      </c>
      <c r="V107" s="189" t="str">
        <f t="shared" si="29"/>
        <v>C170:C174</v>
      </c>
      <c r="W107" s="190" t="str">
        <f t="shared" si="29"/>
        <v>F170:F174</v>
      </c>
      <c r="X107" s="190" t="str">
        <f t="shared" si="29"/>
        <v>I170:I174</v>
      </c>
      <c r="Y107" s="190" t="str">
        <f t="shared" si="29"/>
        <v>L170:L174</v>
      </c>
      <c r="Z107" s="573" t="str">
        <f t="shared" si="29"/>
        <v>O170:O174</v>
      </c>
      <c r="AA107" s="189" t="str">
        <f t="shared" si="29"/>
        <v>C228:C232</v>
      </c>
      <c r="AB107" s="190" t="str">
        <f t="shared" si="29"/>
        <v>F228:F232</v>
      </c>
      <c r="AC107" s="190" t="str">
        <f t="shared" si="29"/>
        <v>I228:I232</v>
      </c>
      <c r="AD107" s="190" t="str">
        <f t="shared" si="29"/>
        <v>L228:L232</v>
      </c>
      <c r="AE107" s="191" t="str">
        <f t="shared" si="29"/>
        <v>O228:O232</v>
      </c>
      <c r="AF107" s="189">
        <f t="shared" ca="1" si="35"/>
        <v>-0.24</v>
      </c>
      <c r="AG107" s="190">
        <f t="shared" ca="1" si="35"/>
        <v>-0.25</v>
      </c>
      <c r="AH107" s="190">
        <f t="shared" ca="1" si="35"/>
        <v>-0.21</v>
      </c>
      <c r="AI107" s="190">
        <f t="shared" ca="1" si="35"/>
        <v>-0.16</v>
      </c>
      <c r="AJ107" s="573">
        <f t="shared" ca="1" si="35"/>
        <v>-0.14000000000000001</v>
      </c>
      <c r="AK107" s="189">
        <f t="shared" ca="1" si="35"/>
        <v>-0.41</v>
      </c>
      <c r="AL107" s="190">
        <f t="shared" ca="1" si="35"/>
        <v>-0.25</v>
      </c>
      <c r="AM107" s="190">
        <f t="shared" ca="1" si="35"/>
        <v>-0.22</v>
      </c>
      <c r="AN107" s="190">
        <f t="shared" ca="1" si="35"/>
        <v>-0.19</v>
      </c>
      <c r="AO107" s="191">
        <f t="shared" ca="1" si="35"/>
        <v>-0.2</v>
      </c>
      <c r="AP107" s="189">
        <f t="shared" ca="1" si="36"/>
        <v>-0.15</v>
      </c>
      <c r="AQ107" s="190">
        <f t="shared" ca="1" si="36"/>
        <v>-0.17</v>
      </c>
      <c r="AR107" s="190">
        <f t="shared" ca="1" si="36"/>
        <v>-0.13</v>
      </c>
      <c r="AS107" s="190">
        <f t="shared" ca="1" si="36"/>
        <v>-0.14000000000000001</v>
      </c>
      <c r="AT107" s="573">
        <f t="shared" ca="1" si="36"/>
        <v>-0.14000000000000001</v>
      </c>
      <c r="AU107" s="189">
        <f t="shared" ca="1" si="36"/>
        <v>-0.24</v>
      </c>
      <c r="AV107" s="190">
        <f t="shared" ca="1" si="36"/>
        <v>-0.17</v>
      </c>
      <c r="AW107" s="190">
        <f t="shared" ca="1" si="36"/>
        <v>-0.12</v>
      </c>
      <c r="AX107" s="190">
        <f t="shared" ca="1" si="36"/>
        <v>-0.16</v>
      </c>
      <c r="AY107" s="191">
        <f t="shared" ca="1" si="36"/>
        <v>-0.12</v>
      </c>
      <c r="AZ107" s="641">
        <f t="shared" ca="1" si="37"/>
        <v>86</v>
      </c>
      <c r="BA107" s="642">
        <f t="shared" ca="1" si="37"/>
        <v>25</v>
      </c>
      <c r="BB107" s="642">
        <f t="shared" ca="1" si="37"/>
        <v>36</v>
      </c>
      <c r="BC107" s="642">
        <f t="shared" ca="1" si="37"/>
        <v>56</v>
      </c>
      <c r="BD107" s="643">
        <f t="shared" ca="1" si="37"/>
        <v>40</v>
      </c>
      <c r="BE107" s="641">
        <f t="shared" ca="1" si="37"/>
        <v>19</v>
      </c>
      <c r="BF107" s="642">
        <f t="shared" ca="1" si="37"/>
        <v>25</v>
      </c>
      <c r="BG107" s="642">
        <f t="shared" ca="1" si="37"/>
        <v>36</v>
      </c>
      <c r="BH107" s="642">
        <f t="shared" ca="1" si="37"/>
        <v>24</v>
      </c>
      <c r="BI107" s="644">
        <f t="shared" ca="1" si="37"/>
        <v>13</v>
      </c>
      <c r="BJ107" s="641">
        <f t="shared" ca="1" si="38"/>
        <v>800</v>
      </c>
      <c r="BK107" s="642">
        <f t="shared" ca="1" si="38"/>
        <v>800</v>
      </c>
      <c r="BL107" s="642">
        <f t="shared" ca="1" si="38"/>
        <v>700</v>
      </c>
      <c r="BM107" s="642">
        <f t="shared" ca="1" si="38"/>
        <v>500</v>
      </c>
      <c r="BN107" s="643">
        <f t="shared" ca="1" si="38"/>
        <v>10000</v>
      </c>
      <c r="BO107" s="641">
        <f t="shared" ca="1" si="38"/>
        <v>86</v>
      </c>
      <c r="BP107" s="642">
        <f t="shared" ca="1" si="38"/>
        <v>800</v>
      </c>
      <c r="BQ107" s="642">
        <f t="shared" ca="1" si="38"/>
        <v>700</v>
      </c>
      <c r="BR107" s="642">
        <f t="shared" ca="1" si="38"/>
        <v>56</v>
      </c>
      <c r="BS107" s="644">
        <f t="shared" ca="1" si="38"/>
        <v>40</v>
      </c>
    </row>
    <row r="108" spans="2:71" ht="15" customHeight="1" thickBot="1" x14ac:dyDescent="0.3">
      <c r="B108" s="1724"/>
      <c r="C108" s="278" t="str">
        <f>$C$27</f>
        <v>Interior modules</v>
      </c>
      <c r="D108" s="578">
        <f t="shared" ref="D108:M108" ca="1" si="44">AF108+(AP108-AF108)/(LOG(BJ108)-LOG(AZ108))*(LOG(D94)-LOG(AZ108))</f>
        <v>-0.15</v>
      </c>
      <c r="E108" s="579">
        <f t="shared" ca="1" si="44"/>
        <v>-0.19608750393160157</v>
      </c>
      <c r="F108" s="579">
        <f t="shared" ca="1" si="44"/>
        <v>-0.13</v>
      </c>
      <c r="G108" s="579">
        <f t="shared" ca="1" si="44"/>
        <v>-0.13</v>
      </c>
      <c r="H108" s="580">
        <f t="shared" ca="1" si="44"/>
        <v>-0.14000000000000001</v>
      </c>
      <c r="I108" s="578">
        <f t="shared" ca="1" si="44"/>
        <v>-0.17232789560562783</v>
      </c>
      <c r="J108" s="579">
        <f t="shared" ca="1" si="44"/>
        <v>-0.21869791016064341</v>
      </c>
      <c r="K108" s="579">
        <f t="shared" ca="1" si="44"/>
        <v>-0.16056268342679841</v>
      </c>
      <c r="L108" s="579">
        <f t="shared" ca="1" si="44"/>
        <v>-0.13779037070562333</v>
      </c>
      <c r="M108" s="581">
        <f t="shared" ca="1" si="44"/>
        <v>-0.12</v>
      </c>
      <c r="S108">
        <v>49</v>
      </c>
      <c r="T108" s="622"/>
      <c r="U108" s="277" t="str">
        <f>$C$27</f>
        <v>Interior modules</v>
      </c>
      <c r="V108" s="578" t="str">
        <f t="shared" si="29"/>
        <v>C177:C181</v>
      </c>
      <c r="W108" s="579" t="str">
        <f t="shared" si="29"/>
        <v>F177:F181</v>
      </c>
      <c r="X108" s="579" t="str">
        <f t="shared" si="29"/>
        <v>I177:I181</v>
      </c>
      <c r="Y108" s="579" t="str">
        <f t="shared" si="29"/>
        <v>L177:L181</v>
      </c>
      <c r="Z108" s="580" t="str">
        <f t="shared" si="29"/>
        <v>O177:O181</v>
      </c>
      <c r="AA108" s="578" t="str">
        <f t="shared" si="29"/>
        <v>C235:C239</v>
      </c>
      <c r="AB108" s="579" t="str">
        <f t="shared" si="29"/>
        <v>F235:F239</v>
      </c>
      <c r="AC108" s="579" t="str">
        <f t="shared" si="29"/>
        <v>I235:I239</v>
      </c>
      <c r="AD108" s="579" t="str">
        <f t="shared" si="29"/>
        <v>L235:L239</v>
      </c>
      <c r="AE108" s="581" t="str">
        <f t="shared" si="29"/>
        <v>O235:O239</v>
      </c>
      <c r="AF108" s="578">
        <f t="shared" ca="1" si="35"/>
        <v>-0.15</v>
      </c>
      <c r="AG108" s="579">
        <f t="shared" ca="1" si="35"/>
        <v>-0.22</v>
      </c>
      <c r="AH108" s="579">
        <f t="shared" ca="1" si="35"/>
        <v>-0.13</v>
      </c>
      <c r="AI108" s="579">
        <f t="shared" ca="1" si="35"/>
        <v>-0.13</v>
      </c>
      <c r="AJ108" s="580">
        <f t="shared" ca="1" si="35"/>
        <v>-0.14000000000000001</v>
      </c>
      <c r="AK108" s="578">
        <f t="shared" ca="1" si="35"/>
        <v>-0.22</v>
      </c>
      <c r="AL108" s="579">
        <f t="shared" ca="1" si="35"/>
        <v>-0.26</v>
      </c>
      <c r="AM108" s="579">
        <f t="shared" ca="1" si="35"/>
        <v>-0.2</v>
      </c>
      <c r="AN108" s="579">
        <f t="shared" ca="1" si="35"/>
        <v>-0.16</v>
      </c>
      <c r="AO108" s="581">
        <f t="shared" ca="1" si="35"/>
        <v>-0.12</v>
      </c>
      <c r="AP108" s="578">
        <f t="shared" ca="1" si="36"/>
        <v>-0.15</v>
      </c>
      <c r="AQ108" s="579">
        <f t="shared" ca="1" si="36"/>
        <v>-0.17</v>
      </c>
      <c r="AR108" s="579">
        <f t="shared" ca="1" si="36"/>
        <v>-0.13</v>
      </c>
      <c r="AS108" s="579">
        <f t="shared" ca="1" si="36"/>
        <v>-0.13</v>
      </c>
      <c r="AT108" s="580">
        <f t="shared" ca="1" si="36"/>
        <v>-0.14000000000000001</v>
      </c>
      <c r="AU108" s="578">
        <f t="shared" ca="1" si="36"/>
        <v>-0.15</v>
      </c>
      <c r="AV108" s="579">
        <f t="shared" ca="1" si="36"/>
        <v>-0.2</v>
      </c>
      <c r="AW108" s="579">
        <f t="shared" ca="1" si="36"/>
        <v>-0.13</v>
      </c>
      <c r="AX108" s="579">
        <f t="shared" ca="1" si="36"/>
        <v>-0.13</v>
      </c>
      <c r="AY108" s="581">
        <f t="shared" ca="1" si="36"/>
        <v>-0.12</v>
      </c>
      <c r="AZ108" s="649">
        <f t="shared" ca="1" si="37"/>
        <v>120</v>
      </c>
      <c r="BA108" s="650">
        <f t="shared" ca="1" si="37"/>
        <v>99</v>
      </c>
      <c r="BB108" s="650">
        <f t="shared" ca="1" si="37"/>
        <v>144</v>
      </c>
      <c r="BC108" s="650">
        <f t="shared" ca="1" si="37"/>
        <v>56</v>
      </c>
      <c r="BD108" s="651">
        <f t="shared" ca="1" si="37"/>
        <v>25</v>
      </c>
      <c r="BE108" s="649">
        <f t="shared" ca="1" si="37"/>
        <v>39</v>
      </c>
      <c r="BF108" s="650">
        <f t="shared" ca="1" si="37"/>
        <v>16</v>
      </c>
      <c r="BG108" s="650">
        <f t="shared" ca="1" si="37"/>
        <v>9</v>
      </c>
      <c r="BH108" s="650">
        <f t="shared" ca="1" si="37"/>
        <v>12</v>
      </c>
      <c r="BI108" s="652">
        <f t="shared" ca="1" si="37"/>
        <v>25</v>
      </c>
      <c r="BJ108" s="649">
        <f t="shared" ca="1" si="38"/>
        <v>10000</v>
      </c>
      <c r="BK108" s="650">
        <f t="shared" ca="1" si="38"/>
        <v>1000</v>
      </c>
      <c r="BL108" s="650">
        <f t="shared" ca="1" si="38"/>
        <v>700</v>
      </c>
      <c r="BM108" s="650">
        <f t="shared" ca="1" si="38"/>
        <v>500</v>
      </c>
      <c r="BN108" s="651">
        <f t="shared" ca="1" si="38"/>
        <v>10000</v>
      </c>
      <c r="BO108" s="649">
        <f t="shared" ca="1" si="38"/>
        <v>120</v>
      </c>
      <c r="BP108" s="650">
        <f t="shared" ca="1" si="38"/>
        <v>99</v>
      </c>
      <c r="BQ108" s="650">
        <f t="shared" ca="1" si="38"/>
        <v>144</v>
      </c>
      <c r="BR108" s="650">
        <f t="shared" ca="1" si="38"/>
        <v>56</v>
      </c>
      <c r="BS108" s="652">
        <f t="shared" ca="1" si="38"/>
        <v>10000</v>
      </c>
    </row>
    <row r="109" spans="2:71" ht="15" customHeight="1" x14ac:dyDescent="0.25">
      <c r="C109" s="231"/>
      <c r="D109" s="187"/>
      <c r="E109" s="187"/>
      <c r="F109" s="187"/>
      <c r="G109" s="187"/>
      <c r="H109" s="187"/>
      <c r="I109" s="187"/>
      <c r="J109" s="187"/>
      <c r="K109" s="187"/>
      <c r="L109" s="187"/>
      <c r="M109" s="187"/>
      <c r="N109" s="187"/>
      <c r="O109" s="187"/>
      <c r="P109" s="187"/>
      <c r="Q109" s="187"/>
      <c r="R109"/>
    </row>
    <row r="110" spans="2:71" ht="15" customHeight="1" x14ac:dyDescent="0.25">
      <c r="D110" s="533"/>
      <c r="E110" s="533"/>
      <c r="F110" s="533"/>
      <c r="G110" s="533"/>
      <c r="H110" s="533"/>
      <c r="I110" s="533"/>
      <c r="J110" s="533"/>
      <c r="K110" s="533"/>
      <c r="L110" s="533"/>
      <c r="M110" s="533"/>
      <c r="N110" s="533"/>
      <c r="O110" s="533"/>
      <c r="P110" s="533"/>
      <c r="Q110" s="533"/>
      <c r="V110" s="121">
        <v>0</v>
      </c>
      <c r="W110" s="121">
        <v>0</v>
      </c>
      <c r="X110" s="121">
        <v>0</v>
      </c>
      <c r="Y110" s="121">
        <v>0</v>
      </c>
      <c r="Z110" s="121">
        <v>0</v>
      </c>
      <c r="AA110" s="121">
        <v>58</v>
      </c>
      <c r="AB110" s="121">
        <v>58</v>
      </c>
      <c r="AC110" s="121">
        <v>58</v>
      </c>
      <c r="AD110" s="121">
        <v>58</v>
      </c>
      <c r="AE110" s="121">
        <v>58</v>
      </c>
    </row>
    <row r="111" spans="2:71" ht="15" customHeight="1" thickBot="1" x14ac:dyDescent="0.3">
      <c r="B111" s="144" t="s">
        <v>469</v>
      </c>
      <c r="M111" s="121"/>
      <c r="V111" s="121">
        <v>0</v>
      </c>
      <c r="W111" s="121">
        <v>3</v>
      </c>
      <c r="X111" s="121">
        <v>6</v>
      </c>
      <c r="Y111" s="121">
        <v>9</v>
      </c>
      <c r="Z111" s="121">
        <v>12</v>
      </c>
      <c r="AA111" s="121">
        <v>0</v>
      </c>
      <c r="AB111" s="121">
        <v>3</v>
      </c>
      <c r="AC111" s="121">
        <v>6</v>
      </c>
      <c r="AD111" s="121">
        <v>9</v>
      </c>
      <c r="AE111" s="121">
        <v>12</v>
      </c>
    </row>
    <row r="112" spans="2:71" ht="15" customHeight="1" thickBot="1" x14ac:dyDescent="0.3">
      <c r="D112" s="591"/>
      <c r="E112" s="592"/>
      <c r="F112" s="592" t="str">
        <f>$F$23</f>
        <v>Sliding</v>
      </c>
      <c r="G112" s="592"/>
      <c r="H112" s="592"/>
      <c r="I112" s="591"/>
      <c r="J112" s="592"/>
      <c r="K112" s="592" t="str">
        <f>$K$23</f>
        <v>Uplift</v>
      </c>
      <c r="L112" s="592"/>
      <c r="M112" s="593"/>
      <c r="V112" s="618" t="s">
        <v>473</v>
      </c>
      <c r="W112" s="619"/>
      <c r="X112" s="619"/>
      <c r="Y112" s="619"/>
      <c r="Z112" s="619"/>
      <c r="AA112" s="619"/>
      <c r="AB112" s="619"/>
      <c r="AC112" s="619"/>
      <c r="AD112" s="619"/>
      <c r="AE112" s="620"/>
      <c r="AF112" s="618" t="s">
        <v>83</v>
      </c>
      <c r="AG112" s="619"/>
      <c r="AH112" s="619"/>
      <c r="AI112" s="619"/>
      <c r="AJ112" s="619"/>
      <c r="AK112" s="619"/>
      <c r="AL112" s="619"/>
      <c r="AM112" s="619"/>
      <c r="AN112" s="619"/>
      <c r="AO112" s="620"/>
      <c r="AP112" s="618" t="s">
        <v>84</v>
      </c>
      <c r="AQ112" s="619"/>
      <c r="AR112" s="619"/>
      <c r="AS112" s="619"/>
      <c r="AT112" s="619"/>
      <c r="AU112" s="619"/>
      <c r="AV112" s="619"/>
      <c r="AW112" s="619"/>
      <c r="AX112" s="619"/>
      <c r="AY112" s="620"/>
      <c r="AZ112" s="618" t="s">
        <v>85</v>
      </c>
      <c r="BA112" s="619"/>
      <c r="BB112" s="619"/>
      <c r="BC112" s="619"/>
      <c r="BD112" s="619"/>
      <c r="BE112" s="619"/>
      <c r="BF112" s="619"/>
      <c r="BG112" s="619"/>
      <c r="BH112" s="619"/>
      <c r="BI112" s="620"/>
      <c r="BJ112" s="618" t="s">
        <v>86</v>
      </c>
      <c r="BK112" s="619"/>
      <c r="BL112" s="619"/>
      <c r="BM112" s="619"/>
      <c r="BN112" s="619"/>
      <c r="BO112" s="619"/>
      <c r="BP112" s="619"/>
      <c r="BQ112" s="619"/>
      <c r="BR112" s="619"/>
      <c r="BS112" s="620"/>
    </row>
    <row r="113" spans="2:71" ht="15" customHeight="1" thickBot="1" x14ac:dyDescent="0.3">
      <c r="D113" s="437" t="str">
        <f>$D$24</f>
        <v>Roof position 1</v>
      </c>
      <c r="E113" s="438" t="str">
        <f>$E$24</f>
        <v>Roof position 2</v>
      </c>
      <c r="F113" s="438" t="str">
        <f>$F$24</f>
        <v>Roof position 3</v>
      </c>
      <c r="G113" s="438" t="str">
        <f>$G$24</f>
        <v>Roof position 4</v>
      </c>
      <c r="H113" s="526" t="str">
        <f>$H$24</f>
        <v>Roof position 5</v>
      </c>
      <c r="I113" s="437" t="str">
        <f>$I$24</f>
        <v>Roof position 1</v>
      </c>
      <c r="J113" s="438" t="str">
        <f>$J$24</f>
        <v>Roof position 2</v>
      </c>
      <c r="K113" s="438" t="str">
        <f>$K$24</f>
        <v>Roof position 3</v>
      </c>
      <c r="L113" s="438" t="str">
        <f>$L$24</f>
        <v>Roof position 4</v>
      </c>
      <c r="M113" s="439" t="str">
        <f>$H$24</f>
        <v>Roof position 5</v>
      </c>
      <c r="S113"/>
      <c r="V113" s="591"/>
      <c r="W113" s="592"/>
      <c r="X113" s="592" t="str">
        <f>$F$23</f>
        <v>Sliding</v>
      </c>
      <c r="Y113" s="592"/>
      <c r="Z113" s="592"/>
      <c r="AA113" s="591"/>
      <c r="AB113" s="592"/>
      <c r="AC113" s="592" t="str">
        <f>$K$23</f>
        <v>Uplift</v>
      </c>
      <c r="AD113" s="592"/>
      <c r="AE113" s="593"/>
      <c r="AF113" s="591"/>
      <c r="AG113" s="592"/>
      <c r="AH113" s="592" t="str">
        <f>$F$23</f>
        <v>Sliding</v>
      </c>
      <c r="AI113" s="592"/>
      <c r="AJ113" s="592"/>
      <c r="AK113" s="591"/>
      <c r="AL113" s="592"/>
      <c r="AM113" s="592" t="str">
        <f>$K$23</f>
        <v>Uplift</v>
      </c>
      <c r="AN113" s="592"/>
      <c r="AO113" s="593"/>
      <c r="AP113" s="591"/>
      <c r="AQ113" s="592"/>
      <c r="AR113" s="592" t="str">
        <f>$F$23</f>
        <v>Sliding</v>
      </c>
      <c r="AS113" s="592"/>
      <c r="AT113" s="592"/>
      <c r="AU113" s="591"/>
      <c r="AV113" s="592"/>
      <c r="AW113" s="592" t="str">
        <f>$K$23</f>
        <v>Uplift</v>
      </c>
      <c r="AX113" s="592"/>
      <c r="AY113" s="593"/>
      <c r="AZ113" s="591"/>
      <c r="BA113" s="592"/>
      <c r="BB113" s="592" t="str">
        <f>$F$23</f>
        <v>Sliding</v>
      </c>
      <c r="BC113" s="592"/>
      <c r="BD113" s="592"/>
      <c r="BE113" s="591"/>
      <c r="BF113" s="592"/>
      <c r="BG113" s="592" t="str">
        <f>$K$23</f>
        <v>Uplift</v>
      </c>
      <c r="BH113" s="592"/>
      <c r="BI113" s="593"/>
      <c r="BJ113" s="591"/>
      <c r="BK113" s="592"/>
      <c r="BL113" s="592" t="str">
        <f>$F$23</f>
        <v>Sliding</v>
      </c>
      <c r="BM113" s="592"/>
      <c r="BN113" s="592"/>
      <c r="BO113" s="591"/>
      <c r="BP113" s="592"/>
      <c r="BQ113" s="592" t="str">
        <f>$K$23</f>
        <v>Uplift</v>
      </c>
      <c r="BR113" s="592"/>
      <c r="BS113" s="593"/>
    </row>
    <row r="114" spans="2:71" ht="15" customHeight="1" thickBot="1" x14ac:dyDescent="0.3">
      <c r="B114" s="143"/>
      <c r="C114" s="231"/>
      <c r="D114" s="437" t="s">
        <v>66</v>
      </c>
      <c r="E114" s="438" t="s">
        <v>66</v>
      </c>
      <c r="F114" s="438" t="s">
        <v>66</v>
      </c>
      <c r="G114" s="438" t="s">
        <v>66</v>
      </c>
      <c r="H114" s="438" t="s">
        <v>66</v>
      </c>
      <c r="I114" s="437" t="s">
        <v>82</v>
      </c>
      <c r="J114" s="438" t="s">
        <v>82</v>
      </c>
      <c r="K114" s="438" t="s">
        <v>82</v>
      </c>
      <c r="L114" s="438" t="s">
        <v>82</v>
      </c>
      <c r="M114" s="439" t="s">
        <v>82</v>
      </c>
      <c r="S114"/>
      <c r="T114" s="143"/>
      <c r="U114" s="231"/>
      <c r="V114" s="437" t="str">
        <f>$D$24</f>
        <v>Roof position 1</v>
      </c>
      <c r="W114" s="438" t="str">
        <f>$E$24</f>
        <v>Roof position 2</v>
      </c>
      <c r="X114" s="438" t="str">
        <f>$F$24</f>
        <v>Roof position 3</v>
      </c>
      <c r="Y114" s="438" t="str">
        <f>$G$24</f>
        <v>Roof position 4</v>
      </c>
      <c r="Z114" s="526" t="str">
        <f>$H$24</f>
        <v>Roof position 5</v>
      </c>
      <c r="AA114" s="437" t="str">
        <f>$I$24</f>
        <v>Roof position 1</v>
      </c>
      <c r="AB114" s="438" t="str">
        <f>$J$24</f>
        <v>Roof position 2</v>
      </c>
      <c r="AC114" s="438" t="str">
        <f>$K$24</f>
        <v>Roof position 3</v>
      </c>
      <c r="AD114" s="438" t="str">
        <f>$L$24</f>
        <v>Roof position 4</v>
      </c>
      <c r="AE114" s="439" t="str">
        <f>$H$24</f>
        <v>Roof position 5</v>
      </c>
      <c r="AF114" s="437" t="str">
        <f>$D$24</f>
        <v>Roof position 1</v>
      </c>
      <c r="AG114" s="438" t="str">
        <f>$E$24</f>
        <v>Roof position 2</v>
      </c>
      <c r="AH114" s="438" t="str">
        <f>$F$24</f>
        <v>Roof position 3</v>
      </c>
      <c r="AI114" s="438" t="str">
        <f>$G$24</f>
        <v>Roof position 4</v>
      </c>
      <c r="AJ114" s="526" t="str">
        <f>$H$24</f>
        <v>Roof position 5</v>
      </c>
      <c r="AK114" s="437" t="str">
        <f>$I$24</f>
        <v>Roof position 1</v>
      </c>
      <c r="AL114" s="438" t="str">
        <f>$J$24</f>
        <v>Roof position 2</v>
      </c>
      <c r="AM114" s="438" t="str">
        <f>$K$24</f>
        <v>Roof position 3</v>
      </c>
      <c r="AN114" s="438" t="str">
        <f>$L$24</f>
        <v>Roof position 4</v>
      </c>
      <c r="AO114" s="439" t="str">
        <f>$H$24</f>
        <v>Roof position 5</v>
      </c>
      <c r="AP114" s="437" t="str">
        <f>$D$24</f>
        <v>Roof position 1</v>
      </c>
      <c r="AQ114" s="438" t="str">
        <f>$E$24</f>
        <v>Roof position 2</v>
      </c>
      <c r="AR114" s="438" t="str">
        <f>$F$24</f>
        <v>Roof position 3</v>
      </c>
      <c r="AS114" s="438" t="str">
        <f>$G$24</f>
        <v>Roof position 4</v>
      </c>
      <c r="AT114" s="526" t="str">
        <f>$H$24</f>
        <v>Roof position 5</v>
      </c>
      <c r="AU114" s="437" t="str">
        <f>$I$24</f>
        <v>Roof position 1</v>
      </c>
      <c r="AV114" s="438" t="str">
        <f>$J$24</f>
        <v>Roof position 2</v>
      </c>
      <c r="AW114" s="438" t="str">
        <f>$K$24</f>
        <v>Roof position 3</v>
      </c>
      <c r="AX114" s="438" t="str">
        <f>$L$24</f>
        <v>Roof position 4</v>
      </c>
      <c r="AY114" s="439" t="str">
        <f>$H$24</f>
        <v>Roof position 5</v>
      </c>
      <c r="AZ114" s="437" t="str">
        <f>$D$24</f>
        <v>Roof position 1</v>
      </c>
      <c r="BA114" s="438" t="str">
        <f>$E$24</f>
        <v>Roof position 2</v>
      </c>
      <c r="BB114" s="438" t="str">
        <f>$F$24</f>
        <v>Roof position 3</v>
      </c>
      <c r="BC114" s="438" t="str">
        <f>$G$24</f>
        <v>Roof position 4</v>
      </c>
      <c r="BD114" s="526" t="str">
        <f>$H$24</f>
        <v>Roof position 5</v>
      </c>
      <c r="BE114" s="437" t="str">
        <f>$I$24</f>
        <v>Roof position 1</v>
      </c>
      <c r="BF114" s="438" t="str">
        <f>$J$24</f>
        <v>Roof position 2</v>
      </c>
      <c r="BG114" s="438" t="str">
        <f>$K$24</f>
        <v>Roof position 3</v>
      </c>
      <c r="BH114" s="438" t="str">
        <f>$L$24</f>
        <v>Roof position 4</v>
      </c>
      <c r="BI114" s="439" t="str">
        <f>$H$24</f>
        <v>Roof position 5</v>
      </c>
      <c r="BJ114" s="437" t="str">
        <f>$D$24</f>
        <v>Roof position 1</v>
      </c>
      <c r="BK114" s="438" t="str">
        <f>$E$24</f>
        <v>Roof position 2</v>
      </c>
      <c r="BL114" s="438" t="str">
        <f>$F$24</f>
        <v>Roof position 3</v>
      </c>
      <c r="BM114" s="438" t="str">
        <f>$G$24</f>
        <v>Roof position 4</v>
      </c>
      <c r="BN114" s="526" t="str">
        <f>$H$24</f>
        <v>Roof position 5</v>
      </c>
      <c r="BO114" s="437" t="str">
        <f>$I$24</f>
        <v>Roof position 1</v>
      </c>
      <c r="BP114" s="438" t="str">
        <f>$J$24</f>
        <v>Roof position 2</v>
      </c>
      <c r="BQ114" s="438" t="str">
        <f>$K$24</f>
        <v>Roof position 3</v>
      </c>
      <c r="BR114" s="438" t="str">
        <f>$L$24</f>
        <v>Roof position 4</v>
      </c>
      <c r="BS114" s="439" t="str">
        <f>$H$24</f>
        <v>Roof position 5</v>
      </c>
    </row>
    <row r="115" spans="2:71" ht="15" customHeight="1" x14ac:dyDescent="0.25">
      <c r="B115" s="1722" t="str">
        <f>$B$26</f>
        <v>North row</v>
      </c>
      <c r="C115" s="183" t="str">
        <f>$C$26</f>
        <v>1st-10th module</v>
      </c>
      <c r="D115" s="626">
        <f ca="1">AF115+(AP115-AF115)/(LOG(BJ115)-LOG(AZ115))*(LOG(D87)-LOG(AZ115))</f>
        <v>94.910748585581629</v>
      </c>
      <c r="E115" s="627">
        <f t="shared" ref="E115:M115" ca="1" si="45">AG115+(AQ115-AG115)/(LOG(BK115)-LOG(BA115))*(LOG(E87)-LOG(BA115))</f>
        <v>117.30393663994924</v>
      </c>
      <c r="F115" s="627">
        <f t="shared" ca="1" si="45"/>
        <v>83.903392336865181</v>
      </c>
      <c r="G115" s="627">
        <f t="shared" ca="1" si="45"/>
        <v>79.84298415049102</v>
      </c>
      <c r="H115" s="628">
        <f t="shared" ca="1" si="45"/>
        <v>81.160799164486775</v>
      </c>
      <c r="I115" s="626">
        <f t="shared" ca="1" si="45"/>
        <v>162.44204606622924</v>
      </c>
      <c r="J115" s="627">
        <f t="shared" ca="1" si="45"/>
        <v>197.43280202579905</v>
      </c>
      <c r="K115" s="627">
        <f t="shared" ca="1" si="45"/>
        <v>120.00399693211281</v>
      </c>
      <c r="L115" s="627">
        <f t="shared" ca="1" si="45"/>
        <v>106.47964691995946</v>
      </c>
      <c r="M115" s="629">
        <f t="shared" ca="1" si="45"/>
        <v>105.42881047734281</v>
      </c>
      <c r="S115">
        <v>0</v>
      </c>
      <c r="T115" s="621" t="str">
        <f>$B$26</f>
        <v>North row</v>
      </c>
      <c r="U115" s="183" t="str">
        <f>$C$26</f>
        <v>1st-10th module</v>
      </c>
      <c r="V115" s="189" t="str">
        <f>CONCATENATE(ADDRESS(ROW($C$128)+V$110+$S115,COLUMN($C$128)+V$111,4),":",ADDRESS(ROW($C$128)+V$110+$S115+4,COLUMN($C$128)+V$111,4))</f>
        <v>C128:C132</v>
      </c>
      <c r="W115" s="190" t="str">
        <f t="shared" ref="V115:AE122" si="46">CONCATENATE(ADDRESS(ROW($C$128)+W$110+$S115,COLUMN($C$128)+W$111,4),":",ADDRESS(ROW($C$128)+W$110+$S115+4,COLUMN($C$128)+W$111,4))</f>
        <v>F128:F132</v>
      </c>
      <c r="X115" s="190" t="str">
        <f t="shared" si="46"/>
        <v>I128:I132</v>
      </c>
      <c r="Y115" s="190" t="str">
        <f t="shared" si="46"/>
        <v>L128:L132</v>
      </c>
      <c r="Z115" s="573" t="str">
        <f t="shared" si="46"/>
        <v>O128:O132</v>
      </c>
      <c r="AA115" s="189" t="str">
        <f t="shared" si="46"/>
        <v>C186:C190</v>
      </c>
      <c r="AB115" s="190" t="str">
        <f t="shared" si="46"/>
        <v>F186:F190</v>
      </c>
      <c r="AC115" s="190" t="str">
        <f t="shared" si="46"/>
        <v>I186:I190</v>
      </c>
      <c r="AD115" s="190" t="str">
        <f t="shared" si="46"/>
        <v>L186:L190</v>
      </c>
      <c r="AE115" s="191" t="str">
        <f t="shared" si="46"/>
        <v>O186:O190</v>
      </c>
      <c r="AF115" s="641">
        <f ca="1">INDEX(OFFSET(INDIRECT(V115),0,2),MATCH(D87,INDIRECT(V115),1))</f>
        <v>135</v>
      </c>
      <c r="AG115" s="642">
        <f t="shared" ref="AG115:AO115" ca="1" si="47">INDEX(OFFSET(INDIRECT(W115),0,2),MATCH(E87,INDIRECT(W115),1))</f>
        <v>170</v>
      </c>
      <c r="AH115" s="642">
        <f t="shared" ca="1" si="47"/>
        <v>133</v>
      </c>
      <c r="AI115" s="642">
        <f t="shared" ca="1" si="47"/>
        <v>92</v>
      </c>
      <c r="AJ115" s="643">
        <f t="shared" ca="1" si="47"/>
        <v>108</v>
      </c>
      <c r="AK115" s="641">
        <f t="shared" ca="1" si="47"/>
        <v>243</v>
      </c>
      <c r="AL115" s="642">
        <f t="shared" ca="1" si="47"/>
        <v>614</v>
      </c>
      <c r="AM115" s="642">
        <f t="shared" ca="1" si="47"/>
        <v>183</v>
      </c>
      <c r="AN115" s="642">
        <f t="shared" ca="1" si="47"/>
        <v>120</v>
      </c>
      <c r="AO115" s="644">
        <f t="shared" ca="1" si="47"/>
        <v>113</v>
      </c>
      <c r="AP115" s="641">
        <f ca="1">INDEX(OFFSET(INDIRECT(V115),0,2),MATCH(D87,INDIRECT(V115),1)+1)</f>
        <v>65</v>
      </c>
      <c r="AQ115" s="642">
        <f t="shared" ref="AQ115:AY115" ca="1" si="48">INDEX(OFFSET(INDIRECT(W115),0,2),MATCH(E87,INDIRECT(W115),1)+1)</f>
        <v>81</v>
      </c>
      <c r="AR115" s="642">
        <f t="shared" ca="1" si="48"/>
        <v>57</v>
      </c>
      <c r="AS115" s="642">
        <f t="shared" ca="1" si="48"/>
        <v>57</v>
      </c>
      <c r="AT115" s="643">
        <f t="shared" ca="1" si="48"/>
        <v>56</v>
      </c>
      <c r="AU115" s="641">
        <f t="shared" ca="1" si="48"/>
        <v>120</v>
      </c>
      <c r="AV115" s="642">
        <f t="shared" ca="1" si="48"/>
        <v>155</v>
      </c>
      <c r="AW115" s="642">
        <f t="shared" ca="1" si="48"/>
        <v>110</v>
      </c>
      <c r="AX115" s="642">
        <f t="shared" ca="1" si="48"/>
        <v>67</v>
      </c>
      <c r="AY115" s="644">
        <f t="shared" ca="1" si="48"/>
        <v>78</v>
      </c>
      <c r="AZ115" s="641">
        <f ca="1">INDEX(OFFSET(INDIRECT(V115),0,0),MATCH(D87,INDIRECT(V115),1))</f>
        <v>70</v>
      </c>
      <c r="BA115" s="642">
        <f t="shared" ref="BA115:BI115" ca="1" si="49">INDEX(OFFSET(INDIRECT(W115),0,0),MATCH(E87,INDIRECT(W115),1))</f>
        <v>121</v>
      </c>
      <c r="BB115" s="642">
        <f t="shared" ca="1" si="49"/>
        <v>55</v>
      </c>
      <c r="BC115" s="642">
        <f t="shared" ca="1" si="49"/>
        <v>123</v>
      </c>
      <c r="BD115" s="643">
        <f t="shared" ca="1" si="49"/>
        <v>55</v>
      </c>
      <c r="BE115" s="641">
        <f t="shared" ca="1" si="49"/>
        <v>25</v>
      </c>
      <c r="BF115" s="642">
        <f t="shared" ca="1" si="49"/>
        <v>1</v>
      </c>
      <c r="BG115" s="642">
        <f t="shared" ca="1" si="49"/>
        <v>9</v>
      </c>
      <c r="BH115" s="642">
        <f t="shared" ca="1" si="49"/>
        <v>25</v>
      </c>
      <c r="BI115" s="644">
        <f t="shared" ca="1" si="49"/>
        <v>24</v>
      </c>
      <c r="BJ115" s="641">
        <f ca="1">INDEX(OFFSET(INDIRECT(V115),0,0),MATCH(D87,INDIRECT(V115),1)+1)</f>
        <v>700</v>
      </c>
      <c r="BK115" s="642">
        <f t="shared" ref="BK115:BS115" ca="1" si="50">INDEX(OFFSET(INDIRECT(W115),0,0),MATCH(E87,INDIRECT(W115),1)+1)</f>
        <v>700</v>
      </c>
      <c r="BL115" s="642">
        <f t="shared" ca="1" si="50"/>
        <v>500</v>
      </c>
      <c r="BM115" s="642">
        <f t="shared" ca="1" si="50"/>
        <v>500</v>
      </c>
      <c r="BN115" s="643">
        <f t="shared" ca="1" si="50"/>
        <v>400</v>
      </c>
      <c r="BO115" s="641">
        <f t="shared" ca="1" si="50"/>
        <v>70</v>
      </c>
      <c r="BP115" s="642">
        <f t="shared" ca="1" si="50"/>
        <v>98</v>
      </c>
      <c r="BQ115" s="642">
        <f t="shared" ca="1" si="50"/>
        <v>55</v>
      </c>
      <c r="BR115" s="642">
        <f t="shared" ca="1" si="50"/>
        <v>123</v>
      </c>
      <c r="BS115" s="644">
        <f t="shared" ca="1" si="50"/>
        <v>55</v>
      </c>
    </row>
    <row r="116" spans="2:71" ht="15" customHeight="1" thickBot="1" x14ac:dyDescent="0.3">
      <c r="B116" s="1724"/>
      <c r="C116" s="278" t="str">
        <f>$C$27</f>
        <v>Interior modules</v>
      </c>
      <c r="D116" s="630">
        <f t="shared" ref="D116:M116" ca="1" si="51">AF116+(AP116-AF116)/(LOG(BJ116)-LOG(AZ116))*(LOG(D88)-LOG(AZ116))</f>
        <v>65</v>
      </c>
      <c r="E116" s="631">
        <f t="shared" ca="1" si="51"/>
        <v>103.73709702933053</v>
      </c>
      <c r="F116" s="631">
        <f t="shared" ca="1" si="51"/>
        <v>74.622956210621709</v>
      </c>
      <c r="G116" s="631">
        <f t="shared" ca="1" si="51"/>
        <v>76.364537825365588</v>
      </c>
      <c r="H116" s="632">
        <f t="shared" ca="1" si="51"/>
        <v>84.547829821244619</v>
      </c>
      <c r="I116" s="630">
        <f t="shared" ca="1" si="51"/>
        <v>116.77161269608253</v>
      </c>
      <c r="J116" s="631">
        <f t="shared" ca="1" si="51"/>
        <v>184.00438728601381</v>
      </c>
      <c r="K116" s="631">
        <f t="shared" ca="1" si="51"/>
        <v>81.657485798874973</v>
      </c>
      <c r="L116" s="631">
        <f t="shared" ca="1" si="51"/>
        <v>96.095872096387566</v>
      </c>
      <c r="M116" s="633">
        <f t="shared" ca="1" si="51"/>
        <v>106.21249077669546</v>
      </c>
      <c r="S116">
        <v>7</v>
      </c>
      <c r="T116" s="622"/>
      <c r="U116" s="277" t="str">
        <f>$C$27</f>
        <v>Interior modules</v>
      </c>
      <c r="V116" s="574" t="str">
        <f t="shared" si="46"/>
        <v>C135:C139</v>
      </c>
      <c r="W116" s="575" t="str">
        <f t="shared" si="46"/>
        <v>F135:F139</v>
      </c>
      <c r="X116" s="575" t="str">
        <f t="shared" si="46"/>
        <v>I135:I139</v>
      </c>
      <c r="Y116" s="575" t="str">
        <f t="shared" si="46"/>
        <v>L135:L139</v>
      </c>
      <c r="Z116" s="576" t="str">
        <f t="shared" si="46"/>
        <v>O135:O139</v>
      </c>
      <c r="AA116" s="574" t="str">
        <f t="shared" si="46"/>
        <v>C193:C197</v>
      </c>
      <c r="AB116" s="575" t="str">
        <f t="shared" si="46"/>
        <v>F193:F197</v>
      </c>
      <c r="AC116" s="575" t="str">
        <f t="shared" si="46"/>
        <v>I193:I197</v>
      </c>
      <c r="AD116" s="575" t="str">
        <f t="shared" si="46"/>
        <v>L193:L197</v>
      </c>
      <c r="AE116" s="577" t="str">
        <f t="shared" si="46"/>
        <v>O193:O197</v>
      </c>
      <c r="AF116" s="645">
        <f t="shared" ref="AF116:AO122" ca="1" si="52">INDEX(OFFSET(INDIRECT(V116),0,2),MATCH(D88,INDIRECT(V116),1))</f>
        <v>65</v>
      </c>
      <c r="AG116" s="646">
        <f t="shared" ca="1" si="52"/>
        <v>166</v>
      </c>
      <c r="AH116" s="646">
        <f t="shared" ca="1" si="52"/>
        <v>91</v>
      </c>
      <c r="AI116" s="646">
        <f t="shared" ca="1" si="52"/>
        <v>98</v>
      </c>
      <c r="AJ116" s="647">
        <f t="shared" ca="1" si="52"/>
        <v>115</v>
      </c>
      <c r="AK116" s="645">
        <f t="shared" ca="1" si="52"/>
        <v>215</v>
      </c>
      <c r="AL116" s="646">
        <f t="shared" ca="1" si="52"/>
        <v>616</v>
      </c>
      <c r="AM116" s="646">
        <f t="shared" ca="1" si="52"/>
        <v>130</v>
      </c>
      <c r="AN116" s="646">
        <f t="shared" ca="1" si="52"/>
        <v>102</v>
      </c>
      <c r="AO116" s="648">
        <f t="shared" ca="1" si="52"/>
        <v>114</v>
      </c>
      <c r="AP116" s="645">
        <f t="shared" ref="AP116:AY122" ca="1" si="53">INDEX(OFFSET(INDIRECT(V116),0,2),MATCH(D88,INDIRECT(V116),1)+1)</f>
        <v>65</v>
      </c>
      <c r="AQ116" s="646">
        <f t="shared" ca="1" si="53"/>
        <v>81</v>
      </c>
      <c r="AR116" s="646">
        <f t="shared" ca="1" si="53"/>
        <v>57</v>
      </c>
      <c r="AS116" s="646">
        <f t="shared" ca="1" si="53"/>
        <v>57</v>
      </c>
      <c r="AT116" s="647">
        <f t="shared" ca="1" si="53"/>
        <v>56</v>
      </c>
      <c r="AU116" s="645">
        <f t="shared" ca="1" si="53"/>
        <v>107</v>
      </c>
      <c r="AV116" s="646">
        <f t="shared" ca="1" si="53"/>
        <v>140</v>
      </c>
      <c r="AW116" s="646">
        <f t="shared" ca="1" si="53"/>
        <v>62</v>
      </c>
      <c r="AX116" s="646">
        <f t="shared" ca="1" si="53"/>
        <v>72</v>
      </c>
      <c r="AY116" s="648">
        <f t="shared" ca="1" si="53"/>
        <v>78</v>
      </c>
      <c r="AZ116" s="645">
        <f t="shared" ref="AZ116:BI122" ca="1" si="54">INDEX(OFFSET(INDIRECT(V116),0,0),MATCH(D88,INDIRECT(V116),1))</f>
        <v>164</v>
      </c>
      <c r="BA116" s="646">
        <f t="shared" ca="1" si="54"/>
        <v>121</v>
      </c>
      <c r="BB116" s="646">
        <f t="shared" ca="1" si="54"/>
        <v>81</v>
      </c>
      <c r="BC116" s="646">
        <f t="shared" ca="1" si="54"/>
        <v>72</v>
      </c>
      <c r="BD116" s="647">
        <f t="shared" ca="1" si="54"/>
        <v>55</v>
      </c>
      <c r="BE116" s="645">
        <f t="shared" ca="1" si="54"/>
        <v>13</v>
      </c>
      <c r="BF116" s="646">
        <f t="shared" ca="1" si="54"/>
        <v>1</v>
      </c>
      <c r="BG116" s="646">
        <f t="shared" ca="1" si="54"/>
        <v>9</v>
      </c>
      <c r="BH116" s="646">
        <f t="shared" ca="1" si="54"/>
        <v>32</v>
      </c>
      <c r="BI116" s="648">
        <f t="shared" ca="1" si="54"/>
        <v>24</v>
      </c>
      <c r="BJ116" s="645">
        <f t="shared" ref="BJ116:BS122" ca="1" si="55">INDEX(OFFSET(INDIRECT(V116),0,0),MATCH(D88,INDIRECT(V116),1)+1)</f>
        <v>10000</v>
      </c>
      <c r="BK116" s="646">
        <f t="shared" ca="1" si="55"/>
        <v>500</v>
      </c>
      <c r="BL116" s="646">
        <f t="shared" ca="1" si="55"/>
        <v>700</v>
      </c>
      <c r="BM116" s="646">
        <f t="shared" ca="1" si="55"/>
        <v>500</v>
      </c>
      <c r="BN116" s="647">
        <f t="shared" ca="1" si="55"/>
        <v>400</v>
      </c>
      <c r="BO116" s="645">
        <f t="shared" ca="1" si="55"/>
        <v>56</v>
      </c>
      <c r="BP116" s="646">
        <f t="shared" ca="1" si="55"/>
        <v>98</v>
      </c>
      <c r="BQ116" s="646">
        <f t="shared" ca="1" si="55"/>
        <v>81</v>
      </c>
      <c r="BR116" s="646">
        <f t="shared" ca="1" si="55"/>
        <v>72</v>
      </c>
      <c r="BS116" s="648">
        <f t="shared" ca="1" si="55"/>
        <v>55</v>
      </c>
    </row>
    <row r="117" spans="2:71" ht="15" customHeight="1" x14ac:dyDescent="0.25">
      <c r="B117" s="1722" t="str">
        <f>$B$28</f>
        <v>Inner rows, 2nd to 4th row from north</v>
      </c>
      <c r="C117" s="183" t="str">
        <f>$C$26</f>
        <v>1st-10th module</v>
      </c>
      <c r="D117" s="626">
        <f t="shared" ref="D117:M117" ca="1" si="56">AF117+(AP117-AF117)/(LOG(BJ117)-LOG(AZ117))*(LOG(D89)-LOG(AZ117))</f>
        <v>93.050172790202822</v>
      </c>
      <c r="E117" s="627">
        <f t="shared" ca="1" si="56"/>
        <v>120.58390509470894</v>
      </c>
      <c r="F117" s="627">
        <f t="shared" ca="1" si="56"/>
        <v>83.860463724428968</v>
      </c>
      <c r="G117" s="627">
        <f t="shared" ca="1" si="56"/>
        <v>83.758924290575195</v>
      </c>
      <c r="H117" s="628">
        <f t="shared" ca="1" si="56"/>
        <v>83.457748554620082</v>
      </c>
      <c r="I117" s="626">
        <f t="shared" ca="1" si="56"/>
        <v>114.6124201262644</v>
      </c>
      <c r="J117" s="627">
        <f t="shared" ca="1" si="56"/>
        <v>127.19614004192039</v>
      </c>
      <c r="K117" s="627">
        <f t="shared" ca="1" si="56"/>
        <v>99.612184578896247</v>
      </c>
      <c r="L117" s="627">
        <f t="shared" ca="1" si="56"/>
        <v>84.642878968285828</v>
      </c>
      <c r="M117" s="629">
        <f t="shared" ca="1" si="56"/>
        <v>99.415833205597266</v>
      </c>
      <c r="S117">
        <v>14</v>
      </c>
      <c r="T117" s="621" t="str">
        <f>$B$28</f>
        <v>Inner rows, 2nd to 4th row from north</v>
      </c>
      <c r="U117" s="183" t="str">
        <f>$C$26</f>
        <v>1st-10th module</v>
      </c>
      <c r="V117" s="189" t="str">
        <f t="shared" si="46"/>
        <v>C142:C146</v>
      </c>
      <c r="W117" s="190" t="str">
        <f t="shared" si="46"/>
        <v>F142:F146</v>
      </c>
      <c r="X117" s="190" t="str">
        <f t="shared" si="46"/>
        <v>I142:I146</v>
      </c>
      <c r="Y117" s="190" t="str">
        <f t="shared" si="46"/>
        <v>L142:L146</v>
      </c>
      <c r="Z117" s="573" t="str">
        <f t="shared" si="46"/>
        <v>O142:O146</v>
      </c>
      <c r="AA117" s="189" t="str">
        <f t="shared" si="46"/>
        <v>C200:C204</v>
      </c>
      <c r="AB117" s="190" t="str">
        <f t="shared" si="46"/>
        <v>F200:F204</v>
      </c>
      <c r="AC117" s="190" t="str">
        <f t="shared" si="46"/>
        <v>I200:I204</v>
      </c>
      <c r="AD117" s="190" t="str">
        <f t="shared" si="46"/>
        <v>L200:L204</v>
      </c>
      <c r="AE117" s="191" t="str">
        <f t="shared" si="46"/>
        <v>O200:O204</v>
      </c>
      <c r="AF117" s="641">
        <f t="shared" ca="1" si="52"/>
        <v>168</v>
      </c>
      <c r="AG117" s="642">
        <f t="shared" ca="1" si="52"/>
        <v>136</v>
      </c>
      <c r="AH117" s="642">
        <f t="shared" ca="1" si="52"/>
        <v>104</v>
      </c>
      <c r="AI117" s="642">
        <f t="shared" ca="1" si="52"/>
        <v>98</v>
      </c>
      <c r="AJ117" s="643">
        <f t="shared" ca="1" si="52"/>
        <v>154</v>
      </c>
      <c r="AK117" s="641">
        <f t="shared" ca="1" si="52"/>
        <v>120</v>
      </c>
      <c r="AL117" s="642">
        <f t="shared" ca="1" si="52"/>
        <v>158</v>
      </c>
      <c r="AM117" s="642">
        <f t="shared" ca="1" si="52"/>
        <v>120</v>
      </c>
      <c r="AN117" s="642">
        <f t="shared" ca="1" si="52"/>
        <v>90</v>
      </c>
      <c r="AO117" s="644">
        <f t="shared" ca="1" si="52"/>
        <v>120</v>
      </c>
      <c r="AP117" s="641">
        <f t="shared" ca="1" si="53"/>
        <v>65</v>
      </c>
      <c r="AQ117" s="642">
        <f t="shared" ca="1" si="53"/>
        <v>81</v>
      </c>
      <c r="AR117" s="642">
        <f t="shared" ca="1" si="53"/>
        <v>57</v>
      </c>
      <c r="AS117" s="642">
        <f t="shared" ca="1" si="53"/>
        <v>57</v>
      </c>
      <c r="AT117" s="643">
        <f t="shared" ca="1" si="53"/>
        <v>56</v>
      </c>
      <c r="AU117" s="641">
        <f t="shared" ca="1" si="53"/>
        <v>49</v>
      </c>
      <c r="AV117" s="642">
        <f t="shared" ca="1" si="53"/>
        <v>100</v>
      </c>
      <c r="AW117" s="642">
        <f t="shared" ca="1" si="53"/>
        <v>80</v>
      </c>
      <c r="AX117" s="642">
        <f t="shared" ca="1" si="53"/>
        <v>69</v>
      </c>
      <c r="AY117" s="644">
        <f t="shared" ca="1" si="53"/>
        <v>31</v>
      </c>
      <c r="AZ117" s="641">
        <f t="shared" ca="1" si="54"/>
        <v>69</v>
      </c>
      <c r="BA117" s="642">
        <f t="shared" ca="1" si="54"/>
        <v>204</v>
      </c>
      <c r="BB117" s="642">
        <f t="shared" ca="1" si="54"/>
        <v>99</v>
      </c>
      <c r="BC117" s="642">
        <f t="shared" ca="1" si="54"/>
        <v>123</v>
      </c>
      <c r="BD117" s="643">
        <f t="shared" ca="1" si="54"/>
        <v>13</v>
      </c>
      <c r="BE117" s="641">
        <f t="shared" ca="1" si="54"/>
        <v>69</v>
      </c>
      <c r="BF117" s="642">
        <f t="shared" ca="1" si="54"/>
        <v>13</v>
      </c>
      <c r="BG117" s="642">
        <f t="shared" ca="1" si="54"/>
        <v>18</v>
      </c>
      <c r="BH117" s="642">
        <f t="shared" ca="1" si="54"/>
        <v>25</v>
      </c>
      <c r="BI117" s="644">
        <f t="shared" ca="1" si="54"/>
        <v>13</v>
      </c>
      <c r="BJ117" s="641">
        <f t="shared" ca="1" si="55"/>
        <v>900</v>
      </c>
      <c r="BK117" s="642">
        <f t="shared" ca="1" si="55"/>
        <v>800</v>
      </c>
      <c r="BL117" s="642">
        <f t="shared" ca="1" si="55"/>
        <v>700</v>
      </c>
      <c r="BM117" s="642">
        <f t="shared" ca="1" si="55"/>
        <v>500</v>
      </c>
      <c r="BN117" s="643">
        <f t="shared" ca="1" si="55"/>
        <v>400</v>
      </c>
      <c r="BO117" s="641">
        <f t="shared" ca="1" si="55"/>
        <v>900</v>
      </c>
      <c r="BP117" s="642">
        <f t="shared" ca="1" si="55"/>
        <v>204</v>
      </c>
      <c r="BQ117" s="642">
        <f t="shared" ca="1" si="55"/>
        <v>99</v>
      </c>
      <c r="BR117" s="642">
        <f t="shared" ca="1" si="55"/>
        <v>123</v>
      </c>
      <c r="BS117" s="644">
        <f t="shared" ca="1" si="55"/>
        <v>400</v>
      </c>
    </row>
    <row r="118" spans="2:71" ht="15" customHeight="1" thickBot="1" x14ac:dyDescent="0.3">
      <c r="B118" s="1724"/>
      <c r="C118" s="278" t="str">
        <f>$C$27</f>
        <v>Interior modules</v>
      </c>
      <c r="D118" s="634">
        <f t="shared" ref="D118:M118" ca="1" si="57">AF118+(AP118-AF118)/(LOG(BJ118)-LOG(AZ118))*(LOG(D90)-LOG(AZ118))</f>
        <v>65</v>
      </c>
      <c r="E118" s="635">
        <f t="shared" ca="1" si="57"/>
        <v>114.55685475120052</v>
      </c>
      <c r="F118" s="635">
        <f t="shared" ca="1" si="57"/>
        <v>69.331033324428262</v>
      </c>
      <c r="G118" s="635">
        <f t="shared" ca="1" si="57"/>
        <v>66.918421812992136</v>
      </c>
      <c r="H118" s="636">
        <f t="shared" ca="1" si="57"/>
        <v>70.543044979880378</v>
      </c>
      <c r="I118" s="634">
        <f t="shared" ca="1" si="57"/>
        <v>88.342843824741649</v>
      </c>
      <c r="J118" s="635">
        <f t="shared" ca="1" si="57"/>
        <v>119.98813872840832</v>
      </c>
      <c r="K118" s="635">
        <f t="shared" ca="1" si="57"/>
        <v>48.461354494536458</v>
      </c>
      <c r="L118" s="635">
        <f t="shared" ca="1" si="57"/>
        <v>61.960073168470402</v>
      </c>
      <c r="M118" s="637">
        <f t="shared" ca="1" si="57"/>
        <v>68.276082170450451</v>
      </c>
      <c r="S118">
        <v>21</v>
      </c>
      <c r="T118" s="622"/>
      <c r="U118" s="278" t="str">
        <f>$C$27</f>
        <v>Interior modules</v>
      </c>
      <c r="V118" s="578" t="str">
        <f t="shared" si="46"/>
        <v>C149:C153</v>
      </c>
      <c r="W118" s="579" t="str">
        <f t="shared" si="46"/>
        <v>F149:F153</v>
      </c>
      <c r="X118" s="579" t="str">
        <f t="shared" si="46"/>
        <v>I149:I153</v>
      </c>
      <c r="Y118" s="579" t="str">
        <f t="shared" si="46"/>
        <v>L149:L153</v>
      </c>
      <c r="Z118" s="580" t="str">
        <f t="shared" si="46"/>
        <v>O149:O153</v>
      </c>
      <c r="AA118" s="578" t="str">
        <f t="shared" si="46"/>
        <v>C207:C211</v>
      </c>
      <c r="AB118" s="579" t="str">
        <f t="shared" si="46"/>
        <v>F207:F211</v>
      </c>
      <c r="AC118" s="579" t="str">
        <f t="shared" si="46"/>
        <v>I207:I211</v>
      </c>
      <c r="AD118" s="579" t="str">
        <f t="shared" si="46"/>
        <v>L207:L211</v>
      </c>
      <c r="AE118" s="581" t="str">
        <f t="shared" si="46"/>
        <v>O207:O211</v>
      </c>
      <c r="AF118" s="649">
        <f t="shared" ca="1" si="52"/>
        <v>65</v>
      </c>
      <c r="AG118" s="650">
        <f t="shared" ca="1" si="52"/>
        <v>143</v>
      </c>
      <c r="AH118" s="650">
        <f t="shared" ca="1" si="52"/>
        <v>75</v>
      </c>
      <c r="AI118" s="650">
        <f t="shared" ca="1" si="52"/>
        <v>78</v>
      </c>
      <c r="AJ118" s="651">
        <f t="shared" ca="1" si="52"/>
        <v>77</v>
      </c>
      <c r="AK118" s="649">
        <f t="shared" ca="1" si="52"/>
        <v>96</v>
      </c>
      <c r="AL118" s="650">
        <f t="shared" ca="1" si="52"/>
        <v>153</v>
      </c>
      <c r="AM118" s="650">
        <f t="shared" ca="1" si="52"/>
        <v>49</v>
      </c>
      <c r="AN118" s="650">
        <f t="shared" ca="1" si="52"/>
        <v>75</v>
      </c>
      <c r="AO118" s="652">
        <f t="shared" ca="1" si="52"/>
        <v>104</v>
      </c>
      <c r="AP118" s="649">
        <f t="shared" ca="1" si="53"/>
        <v>65</v>
      </c>
      <c r="AQ118" s="650">
        <f t="shared" ca="1" si="53"/>
        <v>81</v>
      </c>
      <c r="AR118" s="650">
        <f t="shared" ca="1" si="53"/>
        <v>69</v>
      </c>
      <c r="AS118" s="650">
        <f t="shared" ca="1" si="53"/>
        <v>57</v>
      </c>
      <c r="AT118" s="651">
        <f t="shared" ca="1" si="53"/>
        <v>56</v>
      </c>
      <c r="AU118" s="649">
        <f t="shared" ca="1" si="53"/>
        <v>49</v>
      </c>
      <c r="AV118" s="650">
        <f t="shared" ca="1" si="53"/>
        <v>102</v>
      </c>
      <c r="AW118" s="650">
        <f t="shared" ca="1" si="53"/>
        <v>43</v>
      </c>
      <c r="AX118" s="650">
        <f t="shared" ca="1" si="53"/>
        <v>52</v>
      </c>
      <c r="AY118" s="652">
        <f t="shared" ca="1" si="53"/>
        <v>55</v>
      </c>
      <c r="AZ118" s="649">
        <f t="shared" ca="1" si="54"/>
        <v>246</v>
      </c>
      <c r="BA118" s="650">
        <f t="shared" ca="1" si="54"/>
        <v>130</v>
      </c>
      <c r="BB118" s="650">
        <f t="shared" ca="1" si="54"/>
        <v>36</v>
      </c>
      <c r="BC118" s="650">
        <f t="shared" ca="1" si="54"/>
        <v>72</v>
      </c>
      <c r="BD118" s="651">
        <f t="shared" ca="1" si="54"/>
        <v>100</v>
      </c>
      <c r="BE118" s="649">
        <f t="shared" ca="1" si="54"/>
        <v>68</v>
      </c>
      <c r="BF118" s="650">
        <f t="shared" ca="1" si="54"/>
        <v>12</v>
      </c>
      <c r="BG118" s="650">
        <f t="shared" ca="1" si="54"/>
        <v>36</v>
      </c>
      <c r="BH118" s="650">
        <f t="shared" ca="1" si="54"/>
        <v>16</v>
      </c>
      <c r="BI118" s="652">
        <f t="shared" ca="1" si="54"/>
        <v>1</v>
      </c>
      <c r="BJ118" s="649">
        <f t="shared" ca="1" si="55"/>
        <v>10000</v>
      </c>
      <c r="BK118" s="650">
        <f t="shared" ca="1" si="55"/>
        <v>800</v>
      </c>
      <c r="BL118" s="650">
        <f t="shared" ca="1" si="55"/>
        <v>255</v>
      </c>
      <c r="BM118" s="650">
        <f t="shared" ca="1" si="55"/>
        <v>500</v>
      </c>
      <c r="BN118" s="651">
        <f t="shared" ca="1" si="55"/>
        <v>400</v>
      </c>
      <c r="BO118" s="649">
        <f t="shared" ca="1" si="55"/>
        <v>246</v>
      </c>
      <c r="BP118" s="650">
        <f t="shared" ca="1" si="55"/>
        <v>130</v>
      </c>
      <c r="BQ118" s="650">
        <f t="shared" ca="1" si="55"/>
        <v>255</v>
      </c>
      <c r="BR118" s="650">
        <f t="shared" ca="1" si="55"/>
        <v>72</v>
      </c>
      <c r="BS118" s="652">
        <f t="shared" ca="1" si="55"/>
        <v>100</v>
      </c>
    </row>
    <row r="119" spans="2:71" ht="15" customHeight="1" x14ac:dyDescent="0.25">
      <c r="B119" s="1722" t="str">
        <f>$B$30</f>
        <v>Inner rows, from 5th row from north</v>
      </c>
      <c r="C119" s="183" t="str">
        <f>$C$26</f>
        <v>1st-10th module</v>
      </c>
      <c r="D119" s="626">
        <f t="shared" ref="D119:M119" ca="1" si="58">AF119+(AP119-AF119)/(LOG(BJ119)-LOG(AZ119))*(LOG(D91)-LOG(AZ119))</f>
        <v>71.018797304809979</v>
      </c>
      <c r="E119" s="627">
        <f t="shared" ca="1" si="58"/>
        <v>98.763493234150417</v>
      </c>
      <c r="F119" s="627">
        <f t="shared" ca="1" si="58"/>
        <v>66.329800346799729</v>
      </c>
      <c r="G119" s="627">
        <f t="shared" ca="1" si="58"/>
        <v>68.288368663851571</v>
      </c>
      <c r="H119" s="627">
        <f t="shared" ca="1" si="58"/>
        <v>56</v>
      </c>
      <c r="I119" s="626">
        <f t="shared" ca="1" si="58"/>
        <v>119.38027496656974</v>
      </c>
      <c r="J119" s="627">
        <f t="shared" ca="1" si="58"/>
        <v>101.14899022578396</v>
      </c>
      <c r="K119" s="627">
        <f t="shared" ca="1" si="58"/>
        <v>79.915828507342241</v>
      </c>
      <c r="L119" s="627">
        <f t="shared" ca="1" si="58"/>
        <v>72.166198011393433</v>
      </c>
      <c r="M119" s="629">
        <f t="shared" ca="1" si="58"/>
        <v>31</v>
      </c>
      <c r="S119">
        <v>28</v>
      </c>
      <c r="T119" s="621" t="str">
        <f>$B$30</f>
        <v>Inner rows, from 5th row from north</v>
      </c>
      <c r="U119" s="183" t="str">
        <f>$C$26</f>
        <v>1st-10th module</v>
      </c>
      <c r="V119" s="189" t="str">
        <f t="shared" si="46"/>
        <v>C156:C160</v>
      </c>
      <c r="W119" s="190" t="str">
        <f t="shared" si="46"/>
        <v>F156:F160</v>
      </c>
      <c r="X119" s="190" t="str">
        <f t="shared" si="46"/>
        <v>I156:I160</v>
      </c>
      <c r="Y119" s="190" t="str">
        <f t="shared" si="46"/>
        <v>L156:L160</v>
      </c>
      <c r="Z119" s="190" t="str">
        <f t="shared" si="46"/>
        <v>O156:O160</v>
      </c>
      <c r="AA119" s="189" t="str">
        <f t="shared" si="46"/>
        <v>C214:C218</v>
      </c>
      <c r="AB119" s="190" t="str">
        <f t="shared" si="46"/>
        <v>F214:F218</v>
      </c>
      <c r="AC119" s="190" t="str">
        <f t="shared" si="46"/>
        <v>I214:I218</v>
      </c>
      <c r="AD119" s="190" t="str">
        <f t="shared" si="46"/>
        <v>L214:L218</v>
      </c>
      <c r="AE119" s="191" t="str">
        <f t="shared" si="46"/>
        <v>O214:O218</v>
      </c>
      <c r="AF119" s="641">
        <f t="shared" ca="1" si="52"/>
        <v>184</v>
      </c>
      <c r="AG119" s="642">
        <f t="shared" ca="1" si="52"/>
        <v>127</v>
      </c>
      <c r="AH119" s="642">
        <f t="shared" ca="1" si="52"/>
        <v>75</v>
      </c>
      <c r="AI119" s="642">
        <f t="shared" ca="1" si="52"/>
        <v>84</v>
      </c>
      <c r="AJ119" s="642">
        <f t="shared" ca="1" si="52"/>
        <v>56</v>
      </c>
      <c r="AK119" s="641">
        <f t="shared" ca="1" si="52"/>
        <v>136</v>
      </c>
      <c r="AL119" s="642">
        <f t="shared" ca="1" si="52"/>
        <v>136</v>
      </c>
      <c r="AM119" s="642">
        <f t="shared" ca="1" si="52"/>
        <v>114</v>
      </c>
      <c r="AN119" s="642">
        <f t="shared" ca="1" si="52"/>
        <v>104</v>
      </c>
      <c r="AO119" s="644">
        <f t="shared" ca="1" si="52"/>
        <v>31</v>
      </c>
      <c r="AP119" s="641">
        <f t="shared" ca="1" si="53"/>
        <v>65</v>
      </c>
      <c r="AQ119" s="642">
        <f t="shared" ca="1" si="53"/>
        <v>81</v>
      </c>
      <c r="AR119" s="642">
        <f t="shared" ca="1" si="53"/>
        <v>57</v>
      </c>
      <c r="AS119" s="642">
        <f t="shared" ca="1" si="53"/>
        <v>57</v>
      </c>
      <c r="AT119" s="642">
        <f t="shared" ca="1" si="53"/>
        <v>56</v>
      </c>
      <c r="AU119" s="641">
        <f t="shared" ca="1" si="53"/>
        <v>49</v>
      </c>
      <c r="AV119" s="642">
        <f t="shared" ca="1" si="53"/>
        <v>89</v>
      </c>
      <c r="AW119" s="642">
        <f t="shared" ca="1" si="53"/>
        <v>55</v>
      </c>
      <c r="AX119" s="642">
        <f t="shared" ca="1" si="53"/>
        <v>61</v>
      </c>
      <c r="AY119" s="644">
        <f t="shared" ca="1" si="53"/>
        <v>31</v>
      </c>
      <c r="AZ119" s="641">
        <f t="shared" ca="1" si="54"/>
        <v>55</v>
      </c>
      <c r="BA119" s="642">
        <f t="shared" ca="1" si="54"/>
        <v>99</v>
      </c>
      <c r="BB119" s="642">
        <f t="shared" ca="1" si="54"/>
        <v>81</v>
      </c>
      <c r="BC119" s="642">
        <f t="shared" ca="1" si="54"/>
        <v>56</v>
      </c>
      <c r="BD119" s="642">
        <f t="shared" ca="1" si="54"/>
        <v>35</v>
      </c>
      <c r="BE119" s="641">
        <f t="shared" ca="1" si="54"/>
        <v>55</v>
      </c>
      <c r="BF119" s="642">
        <f t="shared" ca="1" si="54"/>
        <v>11</v>
      </c>
      <c r="BG119" s="642">
        <f t="shared" ca="1" si="54"/>
        <v>18</v>
      </c>
      <c r="BH119" s="642">
        <f t="shared" ca="1" si="54"/>
        <v>12</v>
      </c>
      <c r="BI119" s="644">
        <f t="shared" ca="1" si="54"/>
        <v>35</v>
      </c>
      <c r="BJ119" s="641">
        <f t="shared" ca="1" si="55"/>
        <v>500</v>
      </c>
      <c r="BK119" s="642">
        <f t="shared" ca="1" si="55"/>
        <v>600</v>
      </c>
      <c r="BL119" s="642">
        <f t="shared" ca="1" si="55"/>
        <v>700</v>
      </c>
      <c r="BM119" s="642">
        <f t="shared" ca="1" si="55"/>
        <v>500</v>
      </c>
      <c r="BN119" s="642">
        <f t="shared" ca="1" si="55"/>
        <v>10000</v>
      </c>
      <c r="BO119" s="641">
        <f t="shared" ca="1" si="55"/>
        <v>500</v>
      </c>
      <c r="BP119" s="642">
        <f t="shared" ca="1" si="55"/>
        <v>99</v>
      </c>
      <c r="BQ119" s="642">
        <f t="shared" ca="1" si="55"/>
        <v>81</v>
      </c>
      <c r="BR119" s="642">
        <f t="shared" ca="1" si="55"/>
        <v>56</v>
      </c>
      <c r="BS119" s="644">
        <f t="shared" ca="1" si="55"/>
        <v>10000</v>
      </c>
    </row>
    <row r="120" spans="2:71" ht="15" customHeight="1" thickBot="1" x14ac:dyDescent="0.3">
      <c r="B120" s="1724"/>
      <c r="C120" s="278" t="str">
        <f>$C$27</f>
        <v>Interior modules</v>
      </c>
      <c r="D120" s="638">
        <f t="shared" ref="D120:M120" ca="1" si="59">AF120+(AP120-AF120)/(LOG(BJ120)-LOG(AZ120))*(LOG(D92)-LOG(AZ120))</f>
        <v>65</v>
      </c>
      <c r="E120" s="639">
        <f t="shared" ca="1" si="59"/>
        <v>103.59245917786026</v>
      </c>
      <c r="F120" s="639">
        <f t="shared" ca="1" si="59"/>
        <v>57</v>
      </c>
      <c r="G120" s="639">
        <f t="shared" ca="1" si="59"/>
        <v>58.672350913163193</v>
      </c>
      <c r="H120" s="639">
        <f t="shared" ca="1" si="59"/>
        <v>56</v>
      </c>
      <c r="I120" s="638">
        <f t="shared" ca="1" si="59"/>
        <v>54.077212342148762</v>
      </c>
      <c r="J120" s="639">
        <f t="shared" ca="1" si="59"/>
        <v>100.74988326947812</v>
      </c>
      <c r="K120" s="639">
        <f t="shared" ca="1" si="59"/>
        <v>46.717951476639179</v>
      </c>
      <c r="L120" s="639">
        <f t="shared" ca="1" si="59"/>
        <v>41.67422242337399</v>
      </c>
      <c r="M120" s="640">
        <f t="shared" ca="1" si="59"/>
        <v>31</v>
      </c>
      <c r="S120">
        <v>35</v>
      </c>
      <c r="T120" s="622"/>
      <c r="U120" s="277" t="str">
        <f>$C$27</f>
        <v>Interior modules</v>
      </c>
      <c r="V120" s="582" t="str">
        <f t="shared" si="46"/>
        <v>C163:C167</v>
      </c>
      <c r="W120" s="583" t="str">
        <f t="shared" si="46"/>
        <v>F163:F167</v>
      </c>
      <c r="X120" s="583" t="str">
        <f t="shared" si="46"/>
        <v>I163:I167</v>
      </c>
      <c r="Y120" s="583" t="str">
        <f t="shared" si="46"/>
        <v>L163:L167</v>
      </c>
      <c r="Z120" s="583" t="str">
        <f t="shared" si="46"/>
        <v>O163:O167</v>
      </c>
      <c r="AA120" s="582" t="str">
        <f t="shared" si="46"/>
        <v>C221:C225</v>
      </c>
      <c r="AB120" s="583" t="str">
        <f t="shared" si="46"/>
        <v>F221:F225</v>
      </c>
      <c r="AC120" s="583" t="str">
        <f t="shared" si="46"/>
        <v>I221:I225</v>
      </c>
      <c r="AD120" s="583" t="str">
        <f t="shared" si="46"/>
        <v>L221:L225</v>
      </c>
      <c r="AE120" s="585" t="str">
        <f t="shared" si="46"/>
        <v>O221:O225</v>
      </c>
      <c r="AF120" s="653">
        <f t="shared" ca="1" si="52"/>
        <v>65</v>
      </c>
      <c r="AG120" s="654">
        <f t="shared" ca="1" si="52"/>
        <v>129</v>
      </c>
      <c r="AH120" s="654">
        <f t="shared" ca="1" si="52"/>
        <v>57</v>
      </c>
      <c r="AI120" s="654">
        <f t="shared" ca="1" si="52"/>
        <v>61</v>
      </c>
      <c r="AJ120" s="654">
        <f t="shared" ca="1" si="52"/>
        <v>56</v>
      </c>
      <c r="AK120" s="653">
        <f t="shared" ca="1" si="52"/>
        <v>55</v>
      </c>
      <c r="AL120" s="654">
        <f t="shared" ca="1" si="52"/>
        <v>131</v>
      </c>
      <c r="AM120" s="654">
        <f t="shared" ca="1" si="52"/>
        <v>49</v>
      </c>
      <c r="AN120" s="654">
        <f t="shared" ca="1" si="52"/>
        <v>55</v>
      </c>
      <c r="AO120" s="655">
        <f t="shared" ca="1" si="52"/>
        <v>31</v>
      </c>
      <c r="AP120" s="653">
        <f t="shared" ca="1" si="53"/>
        <v>65</v>
      </c>
      <c r="AQ120" s="654">
        <f t="shared" ca="1" si="53"/>
        <v>81</v>
      </c>
      <c r="AR120" s="654">
        <f t="shared" ca="1" si="53"/>
        <v>57</v>
      </c>
      <c r="AS120" s="654">
        <f t="shared" ca="1" si="53"/>
        <v>57</v>
      </c>
      <c r="AT120" s="654">
        <f t="shared" ca="1" si="53"/>
        <v>56</v>
      </c>
      <c r="AU120" s="653">
        <f t="shared" ca="1" si="53"/>
        <v>49</v>
      </c>
      <c r="AV120" s="654">
        <f t="shared" ca="1" si="53"/>
        <v>89</v>
      </c>
      <c r="AW120" s="654">
        <f t="shared" ca="1" si="53"/>
        <v>31</v>
      </c>
      <c r="AX120" s="654">
        <f t="shared" ca="1" si="53"/>
        <v>37</v>
      </c>
      <c r="AY120" s="655">
        <f t="shared" ca="1" si="53"/>
        <v>31</v>
      </c>
      <c r="AZ120" s="653">
        <f t="shared" ca="1" si="54"/>
        <v>245</v>
      </c>
      <c r="BA120" s="654">
        <f t="shared" ca="1" si="54"/>
        <v>99</v>
      </c>
      <c r="BB120" s="654">
        <f t="shared" ca="1" si="54"/>
        <v>144</v>
      </c>
      <c r="BC120" s="654">
        <f t="shared" ca="1" si="54"/>
        <v>56</v>
      </c>
      <c r="BD120" s="654">
        <f t="shared" ca="1" si="54"/>
        <v>35</v>
      </c>
      <c r="BE120" s="653">
        <f t="shared" ca="1" si="54"/>
        <v>69</v>
      </c>
      <c r="BF120" s="654">
        <f t="shared" ca="1" si="54"/>
        <v>13</v>
      </c>
      <c r="BG120" s="654">
        <f t="shared" ca="1" si="54"/>
        <v>36</v>
      </c>
      <c r="BH120" s="654">
        <f t="shared" ca="1" si="54"/>
        <v>12</v>
      </c>
      <c r="BI120" s="655">
        <f t="shared" ca="1" si="54"/>
        <v>35</v>
      </c>
      <c r="BJ120" s="653">
        <f t="shared" ca="1" si="55"/>
        <v>10000</v>
      </c>
      <c r="BK120" s="654">
        <f t="shared" ca="1" si="55"/>
        <v>800</v>
      </c>
      <c r="BL120" s="654">
        <f t="shared" ca="1" si="55"/>
        <v>700</v>
      </c>
      <c r="BM120" s="654">
        <f t="shared" ca="1" si="55"/>
        <v>500</v>
      </c>
      <c r="BN120" s="654">
        <f t="shared" ca="1" si="55"/>
        <v>10000</v>
      </c>
      <c r="BO120" s="653">
        <f t="shared" ca="1" si="55"/>
        <v>245</v>
      </c>
      <c r="BP120" s="654">
        <f t="shared" ca="1" si="55"/>
        <v>99</v>
      </c>
      <c r="BQ120" s="654">
        <f t="shared" ca="1" si="55"/>
        <v>144</v>
      </c>
      <c r="BR120" s="654">
        <f t="shared" ca="1" si="55"/>
        <v>56</v>
      </c>
      <c r="BS120" s="655">
        <f t="shared" ca="1" si="55"/>
        <v>10000</v>
      </c>
    </row>
    <row r="121" spans="2:71" ht="15" customHeight="1" x14ac:dyDescent="0.25">
      <c r="B121" s="1722" t="str">
        <f>$B$32</f>
        <v>South row</v>
      </c>
      <c r="C121" s="183" t="str">
        <f>$C$26</f>
        <v>1st-10th module</v>
      </c>
      <c r="D121" s="626">
        <f t="shared" ref="D121:M121" ca="1" si="60">AF121+(AP121-AF121)/(LOG(BJ121)-LOG(AZ121))*(LOG(D93)-LOG(AZ121))</f>
        <v>81.951723126240253</v>
      </c>
      <c r="E121" s="627">
        <f t="shared" ca="1" si="60"/>
        <v>96.607386316044924</v>
      </c>
      <c r="F121" s="627">
        <f t="shared" ca="1" si="60"/>
        <v>76.964198605727148</v>
      </c>
      <c r="G121" s="627">
        <f t="shared" ca="1" si="60"/>
        <v>64.525579109234386</v>
      </c>
      <c r="H121" s="628">
        <f t="shared" ca="1" si="60"/>
        <v>56</v>
      </c>
      <c r="I121" s="626">
        <f t="shared" ca="1" si="60"/>
        <v>91.880784510152992</v>
      </c>
      <c r="J121" s="627">
        <f t="shared" ca="1" si="60"/>
        <v>95.639242487817228</v>
      </c>
      <c r="K121" s="627">
        <f t="shared" ca="1" si="60"/>
        <v>80.861052999819108</v>
      </c>
      <c r="L121" s="627">
        <f t="shared" ca="1" si="60"/>
        <v>57.025939644462433</v>
      </c>
      <c r="M121" s="629">
        <f t="shared" ca="1" si="60"/>
        <v>33.487839069262769</v>
      </c>
      <c r="S121">
        <v>42</v>
      </c>
      <c r="T121" s="621" t="str">
        <f>$B$32</f>
        <v>South row</v>
      </c>
      <c r="U121" s="183" t="str">
        <f>$C$26</f>
        <v>1st-10th module</v>
      </c>
      <c r="V121" s="189" t="str">
        <f t="shared" si="46"/>
        <v>C170:C174</v>
      </c>
      <c r="W121" s="190" t="str">
        <f t="shared" si="46"/>
        <v>F170:F174</v>
      </c>
      <c r="X121" s="190" t="str">
        <f t="shared" si="46"/>
        <v>I170:I174</v>
      </c>
      <c r="Y121" s="190" t="str">
        <f t="shared" si="46"/>
        <v>L170:L174</v>
      </c>
      <c r="Z121" s="573" t="str">
        <f t="shared" si="46"/>
        <v>O170:O174</v>
      </c>
      <c r="AA121" s="189" t="str">
        <f t="shared" si="46"/>
        <v>C228:C232</v>
      </c>
      <c r="AB121" s="190" t="str">
        <f t="shared" si="46"/>
        <v>F228:F232</v>
      </c>
      <c r="AC121" s="190" t="str">
        <f t="shared" si="46"/>
        <v>I228:I232</v>
      </c>
      <c r="AD121" s="190" t="str">
        <f t="shared" si="46"/>
        <v>L228:L232</v>
      </c>
      <c r="AE121" s="191" t="str">
        <f t="shared" si="46"/>
        <v>O228:O232</v>
      </c>
      <c r="AF121" s="641">
        <f t="shared" ca="1" si="52"/>
        <v>130</v>
      </c>
      <c r="AG121" s="642">
        <f t="shared" ca="1" si="52"/>
        <v>136</v>
      </c>
      <c r="AH121" s="642">
        <f t="shared" ca="1" si="52"/>
        <v>110</v>
      </c>
      <c r="AI121" s="642">
        <f t="shared" ca="1" si="52"/>
        <v>75</v>
      </c>
      <c r="AJ121" s="643">
        <f t="shared" ca="1" si="52"/>
        <v>56</v>
      </c>
      <c r="AK121" s="641">
        <f t="shared" ca="1" si="52"/>
        <v>202</v>
      </c>
      <c r="AL121" s="642">
        <f t="shared" ca="1" si="52"/>
        <v>108</v>
      </c>
      <c r="AM121" s="642">
        <f t="shared" ca="1" si="52"/>
        <v>84</v>
      </c>
      <c r="AN121" s="642">
        <f t="shared" ca="1" si="52"/>
        <v>66</v>
      </c>
      <c r="AO121" s="644">
        <f t="shared" ca="1" si="52"/>
        <v>75</v>
      </c>
      <c r="AP121" s="641">
        <f t="shared" ca="1" si="53"/>
        <v>65</v>
      </c>
      <c r="AQ121" s="642">
        <f t="shared" ca="1" si="53"/>
        <v>81</v>
      </c>
      <c r="AR121" s="642">
        <f t="shared" ca="1" si="53"/>
        <v>57</v>
      </c>
      <c r="AS121" s="642">
        <f t="shared" ca="1" si="53"/>
        <v>57</v>
      </c>
      <c r="AT121" s="643">
        <f t="shared" ca="1" si="53"/>
        <v>56</v>
      </c>
      <c r="AU121" s="641">
        <f t="shared" ca="1" si="53"/>
        <v>90</v>
      </c>
      <c r="AV121" s="642">
        <f t="shared" ca="1" si="53"/>
        <v>55</v>
      </c>
      <c r="AW121" s="642">
        <f t="shared" ca="1" si="53"/>
        <v>31</v>
      </c>
      <c r="AX121" s="642">
        <f t="shared" ca="1" si="53"/>
        <v>49</v>
      </c>
      <c r="AY121" s="644">
        <f t="shared" ca="1" si="53"/>
        <v>31</v>
      </c>
      <c r="AZ121" s="641">
        <f t="shared" ca="1" si="54"/>
        <v>86</v>
      </c>
      <c r="BA121" s="642">
        <f t="shared" ca="1" si="54"/>
        <v>25</v>
      </c>
      <c r="BB121" s="642">
        <f t="shared" ca="1" si="54"/>
        <v>36</v>
      </c>
      <c r="BC121" s="642">
        <f t="shared" ca="1" si="54"/>
        <v>56</v>
      </c>
      <c r="BD121" s="643">
        <f t="shared" ca="1" si="54"/>
        <v>40</v>
      </c>
      <c r="BE121" s="641">
        <f t="shared" ca="1" si="54"/>
        <v>19</v>
      </c>
      <c r="BF121" s="642">
        <f t="shared" ca="1" si="54"/>
        <v>25</v>
      </c>
      <c r="BG121" s="642">
        <f t="shared" ca="1" si="54"/>
        <v>36</v>
      </c>
      <c r="BH121" s="642">
        <f t="shared" ca="1" si="54"/>
        <v>24</v>
      </c>
      <c r="BI121" s="644">
        <f t="shared" ca="1" si="54"/>
        <v>13</v>
      </c>
      <c r="BJ121" s="641">
        <f t="shared" ca="1" si="55"/>
        <v>800</v>
      </c>
      <c r="BK121" s="642">
        <f t="shared" ca="1" si="55"/>
        <v>800</v>
      </c>
      <c r="BL121" s="642">
        <f t="shared" ca="1" si="55"/>
        <v>700</v>
      </c>
      <c r="BM121" s="642">
        <f t="shared" ca="1" si="55"/>
        <v>500</v>
      </c>
      <c r="BN121" s="643">
        <f t="shared" ca="1" si="55"/>
        <v>10000</v>
      </c>
      <c r="BO121" s="641">
        <f t="shared" ca="1" si="55"/>
        <v>86</v>
      </c>
      <c r="BP121" s="642">
        <f t="shared" ca="1" si="55"/>
        <v>800</v>
      </c>
      <c r="BQ121" s="642">
        <f t="shared" ca="1" si="55"/>
        <v>700</v>
      </c>
      <c r="BR121" s="642">
        <f t="shared" ca="1" si="55"/>
        <v>56</v>
      </c>
      <c r="BS121" s="644">
        <f t="shared" ca="1" si="55"/>
        <v>40</v>
      </c>
    </row>
    <row r="122" spans="2:71" ht="15" customHeight="1" thickBot="1" x14ac:dyDescent="0.3">
      <c r="B122" s="1724"/>
      <c r="C122" s="278" t="str">
        <f>$C$27</f>
        <v>Interior modules</v>
      </c>
      <c r="D122" s="634">
        <f t="shared" ref="D122:M122" ca="1" si="61">AF122+(AP122-AF122)/(LOG(BJ122)-LOG(AZ122))*(LOG(D94)-LOG(AZ122))</f>
        <v>65</v>
      </c>
      <c r="E122" s="635">
        <f t="shared" ca="1" si="61"/>
        <v>98.739502673489056</v>
      </c>
      <c r="F122" s="635">
        <f t="shared" ca="1" si="61"/>
        <v>57</v>
      </c>
      <c r="G122" s="635">
        <f t="shared" ca="1" si="61"/>
        <v>57</v>
      </c>
      <c r="H122" s="636">
        <f t="shared" ca="1" si="61"/>
        <v>56</v>
      </c>
      <c r="I122" s="634">
        <f t="shared" ca="1" si="61"/>
        <v>60.163947802813922</v>
      </c>
      <c r="J122" s="635">
        <f t="shared" ca="1" si="61"/>
        <v>86.46527344042893</v>
      </c>
      <c r="K122" s="635">
        <f t="shared" ca="1" si="61"/>
        <v>48.901000292839072</v>
      </c>
      <c r="L122" s="635">
        <f t="shared" ca="1" si="61"/>
        <v>35.67422242337399</v>
      </c>
      <c r="M122" s="637">
        <f t="shared" ca="1" si="61"/>
        <v>31</v>
      </c>
      <c r="S122">
        <v>49</v>
      </c>
      <c r="T122" s="622"/>
      <c r="U122" s="277" t="str">
        <f>$C$27</f>
        <v>Interior modules</v>
      </c>
      <c r="V122" s="578" t="str">
        <f t="shared" si="46"/>
        <v>C177:C181</v>
      </c>
      <c r="W122" s="579" t="str">
        <f t="shared" si="46"/>
        <v>F177:F181</v>
      </c>
      <c r="X122" s="579" t="str">
        <f t="shared" si="46"/>
        <v>I177:I181</v>
      </c>
      <c r="Y122" s="579" t="str">
        <f t="shared" si="46"/>
        <v>L177:L181</v>
      </c>
      <c r="Z122" s="580" t="str">
        <f t="shared" si="46"/>
        <v>O177:O181</v>
      </c>
      <c r="AA122" s="578" t="str">
        <f t="shared" si="46"/>
        <v>C235:C239</v>
      </c>
      <c r="AB122" s="579" t="str">
        <f t="shared" si="46"/>
        <v>F235:F239</v>
      </c>
      <c r="AC122" s="579" t="str">
        <f t="shared" si="46"/>
        <v>I235:I239</v>
      </c>
      <c r="AD122" s="579" t="str">
        <f t="shared" si="46"/>
        <v>L235:L239</v>
      </c>
      <c r="AE122" s="581" t="str">
        <f t="shared" si="46"/>
        <v>O235:O239</v>
      </c>
      <c r="AF122" s="649">
        <f t="shared" ca="1" si="52"/>
        <v>65</v>
      </c>
      <c r="AG122" s="650">
        <f t="shared" ca="1" si="52"/>
        <v>115</v>
      </c>
      <c r="AH122" s="650">
        <f t="shared" ca="1" si="52"/>
        <v>57</v>
      </c>
      <c r="AI122" s="650">
        <f t="shared" ca="1" si="52"/>
        <v>57</v>
      </c>
      <c r="AJ122" s="651">
        <f t="shared" ca="1" si="52"/>
        <v>56</v>
      </c>
      <c r="AK122" s="649">
        <f t="shared" ca="1" si="52"/>
        <v>84</v>
      </c>
      <c r="AL122" s="650">
        <f t="shared" ca="1" si="52"/>
        <v>114</v>
      </c>
      <c r="AM122" s="650">
        <f t="shared" ca="1" si="52"/>
        <v>72</v>
      </c>
      <c r="AN122" s="650">
        <f t="shared" ca="1" si="52"/>
        <v>49</v>
      </c>
      <c r="AO122" s="652">
        <f t="shared" ca="1" si="52"/>
        <v>31</v>
      </c>
      <c r="AP122" s="649">
        <f t="shared" ca="1" si="53"/>
        <v>65</v>
      </c>
      <c r="AQ122" s="650">
        <f t="shared" ca="1" si="53"/>
        <v>81</v>
      </c>
      <c r="AR122" s="650">
        <f t="shared" ca="1" si="53"/>
        <v>57</v>
      </c>
      <c r="AS122" s="650">
        <f t="shared" ca="1" si="53"/>
        <v>57</v>
      </c>
      <c r="AT122" s="651">
        <f t="shared" ca="1" si="53"/>
        <v>56</v>
      </c>
      <c r="AU122" s="649">
        <f t="shared" ca="1" si="53"/>
        <v>49</v>
      </c>
      <c r="AV122" s="650">
        <f t="shared" ca="1" si="53"/>
        <v>74</v>
      </c>
      <c r="AW122" s="650">
        <f t="shared" ca="1" si="53"/>
        <v>31</v>
      </c>
      <c r="AX122" s="650">
        <f t="shared" ca="1" si="53"/>
        <v>31</v>
      </c>
      <c r="AY122" s="652">
        <f t="shared" ca="1" si="53"/>
        <v>31</v>
      </c>
      <c r="AZ122" s="649">
        <f t="shared" ca="1" si="54"/>
        <v>120</v>
      </c>
      <c r="BA122" s="650">
        <f t="shared" ca="1" si="54"/>
        <v>99</v>
      </c>
      <c r="BB122" s="650">
        <f t="shared" ca="1" si="54"/>
        <v>144</v>
      </c>
      <c r="BC122" s="650">
        <f t="shared" ca="1" si="54"/>
        <v>56</v>
      </c>
      <c r="BD122" s="651">
        <f t="shared" ca="1" si="54"/>
        <v>25</v>
      </c>
      <c r="BE122" s="649">
        <f t="shared" ca="1" si="54"/>
        <v>39</v>
      </c>
      <c r="BF122" s="650">
        <f t="shared" ca="1" si="54"/>
        <v>16</v>
      </c>
      <c r="BG122" s="650">
        <f t="shared" ca="1" si="54"/>
        <v>9</v>
      </c>
      <c r="BH122" s="650">
        <f t="shared" ca="1" si="54"/>
        <v>12</v>
      </c>
      <c r="BI122" s="652">
        <f t="shared" ca="1" si="54"/>
        <v>25</v>
      </c>
      <c r="BJ122" s="649">
        <f t="shared" ca="1" si="55"/>
        <v>10000</v>
      </c>
      <c r="BK122" s="650">
        <f t="shared" ca="1" si="55"/>
        <v>1000</v>
      </c>
      <c r="BL122" s="650">
        <f t="shared" ca="1" si="55"/>
        <v>700</v>
      </c>
      <c r="BM122" s="650">
        <f t="shared" ca="1" si="55"/>
        <v>500</v>
      </c>
      <c r="BN122" s="651">
        <f t="shared" ca="1" si="55"/>
        <v>10000</v>
      </c>
      <c r="BO122" s="649">
        <f t="shared" ca="1" si="55"/>
        <v>120</v>
      </c>
      <c r="BP122" s="650">
        <f t="shared" ca="1" si="55"/>
        <v>99</v>
      </c>
      <c r="BQ122" s="650">
        <f t="shared" ca="1" si="55"/>
        <v>144</v>
      </c>
      <c r="BR122" s="650">
        <f t="shared" ca="1" si="55"/>
        <v>56</v>
      </c>
      <c r="BS122" s="652">
        <f t="shared" ca="1" si="55"/>
        <v>10000</v>
      </c>
    </row>
    <row r="123" spans="2:71" ht="15" customHeight="1" x14ac:dyDescent="0.25">
      <c r="M123" s="121"/>
      <c r="P123"/>
    </row>
    <row r="124" spans="2:71" ht="15" customHeight="1" thickBot="1" x14ac:dyDescent="0.3">
      <c r="M124" s="121"/>
      <c r="P124"/>
    </row>
    <row r="125" spans="2:71" ht="15" customHeight="1" thickBot="1" x14ac:dyDescent="0.3">
      <c r="B125" s="534" t="str">
        <f>F23</f>
        <v>Sliding</v>
      </c>
      <c r="C125" s="1715" t="str">
        <f>$D$24</f>
        <v>Roof position 1</v>
      </c>
      <c r="D125" s="1728"/>
      <c r="E125" s="1729"/>
      <c r="F125" s="1715" t="str">
        <f>$E$24</f>
        <v>Roof position 2</v>
      </c>
      <c r="G125" s="1728"/>
      <c r="H125" s="1729"/>
      <c r="I125" s="1715" t="str">
        <f>$F$24</f>
        <v>Roof position 3</v>
      </c>
      <c r="J125" s="1728"/>
      <c r="K125" s="1729"/>
      <c r="L125" s="1715" t="str">
        <f>$G$24</f>
        <v>Roof position 4</v>
      </c>
      <c r="M125" s="1728"/>
      <c r="N125" s="1729"/>
      <c r="O125" s="1715" t="str">
        <f>$H$24</f>
        <v>Roof position 5</v>
      </c>
      <c r="P125" s="1728"/>
      <c r="Q125" s="1729"/>
    </row>
    <row r="126" spans="2:71" ht="15" customHeight="1" x14ac:dyDescent="0.25">
      <c r="B126" s="429"/>
      <c r="C126" s="1719" t="str">
        <f>CONCATENATE(B26," - ",C26)</f>
        <v>North row - 1st-10th module</v>
      </c>
      <c r="D126" s="1720"/>
      <c r="E126" s="1721"/>
      <c r="F126" s="1719" t="str">
        <f>$C$126</f>
        <v>North row - 1st-10th module</v>
      </c>
      <c r="G126" s="1720"/>
      <c r="H126" s="1721"/>
      <c r="I126" s="1719" t="str">
        <f>$C$126</f>
        <v>North row - 1st-10th module</v>
      </c>
      <c r="J126" s="1720"/>
      <c r="K126" s="1721"/>
      <c r="L126" s="1719" t="str">
        <f>$C$126</f>
        <v>North row - 1st-10th module</v>
      </c>
      <c r="M126" s="1720"/>
      <c r="N126" s="1721"/>
      <c r="O126" s="1719" t="str">
        <f>$C$126</f>
        <v>North row - 1st-10th module</v>
      </c>
      <c r="P126" s="1720"/>
      <c r="Q126" s="1721"/>
    </row>
    <row r="127" spans="2:71" ht="15" customHeight="1" thickBot="1" x14ac:dyDescent="0.3">
      <c r="B127" s="430"/>
      <c r="C127" s="431" t="s">
        <v>36</v>
      </c>
      <c r="D127" s="527" t="s">
        <v>65</v>
      </c>
      <c r="E127" s="432" t="s">
        <v>70</v>
      </c>
      <c r="F127" s="431" t="str">
        <f>$C$127</f>
        <v>An i</v>
      </c>
      <c r="G127" s="527" t="str">
        <f>$D$127</f>
        <v>cpMS i</v>
      </c>
      <c r="H127" s="432" t="str">
        <f>$E$127</f>
        <v>mS i</v>
      </c>
      <c r="I127" s="431" t="str">
        <f>$C$127</f>
        <v>An i</v>
      </c>
      <c r="J127" s="527" t="str">
        <f>$D$127</f>
        <v>cpMS i</v>
      </c>
      <c r="K127" s="432" t="str">
        <f>$E$127</f>
        <v>mS i</v>
      </c>
      <c r="L127" s="431" t="str">
        <f>$C$127</f>
        <v>An i</v>
      </c>
      <c r="M127" s="527" t="str">
        <f>$D$127</f>
        <v>cpMS i</v>
      </c>
      <c r="N127" s="432" t="str">
        <f>$E$127</f>
        <v>mS i</v>
      </c>
      <c r="O127" s="431" t="str">
        <f>$C$127</f>
        <v>An i</v>
      </c>
      <c r="P127" s="527" t="str">
        <f>$D$127</f>
        <v>cpMS i</v>
      </c>
      <c r="Q127" s="432" t="str">
        <f>$E$127</f>
        <v>mS i</v>
      </c>
    </row>
    <row r="128" spans="2:71" ht="15" customHeight="1" x14ac:dyDescent="0.25">
      <c r="B128" s="433" t="s">
        <v>37</v>
      </c>
      <c r="C128" s="442">
        <v>1</v>
      </c>
      <c r="D128" s="528">
        <v>-1.1499999999999999</v>
      </c>
      <c r="E128" s="535">
        <v>686</v>
      </c>
      <c r="F128" s="442">
        <v>1</v>
      </c>
      <c r="G128" s="528">
        <v>-1.1200000000000001</v>
      </c>
      <c r="H128" s="535">
        <v>764</v>
      </c>
      <c r="I128" s="442">
        <v>1</v>
      </c>
      <c r="J128" s="528">
        <v>-0.46</v>
      </c>
      <c r="K128" s="535">
        <v>312</v>
      </c>
      <c r="L128" s="442">
        <v>1</v>
      </c>
      <c r="M128" s="528">
        <v>-0.59</v>
      </c>
      <c r="N128" s="535">
        <v>395</v>
      </c>
      <c r="O128" s="442">
        <v>1</v>
      </c>
      <c r="P128" s="528">
        <v>-0.57999999999999996</v>
      </c>
      <c r="Q128" s="535">
        <v>384</v>
      </c>
    </row>
    <row r="129" spans="2:17" ht="15" customHeight="1" x14ac:dyDescent="0.25">
      <c r="B129" s="434" t="s">
        <v>38</v>
      </c>
      <c r="C129" s="443">
        <v>25</v>
      </c>
      <c r="D129" s="529">
        <v>-0.46</v>
      </c>
      <c r="E129" s="536">
        <v>269</v>
      </c>
      <c r="F129" s="443">
        <v>98</v>
      </c>
      <c r="G129" s="529">
        <v>-0.35</v>
      </c>
      <c r="H129" s="536">
        <v>205</v>
      </c>
      <c r="I129" s="443">
        <v>9</v>
      </c>
      <c r="J129" s="529">
        <v>-0.4</v>
      </c>
      <c r="K129" s="536">
        <v>255</v>
      </c>
      <c r="L129" s="443">
        <v>25</v>
      </c>
      <c r="M129" s="529">
        <v>-0.27</v>
      </c>
      <c r="N129" s="536">
        <v>156</v>
      </c>
      <c r="O129" s="443">
        <v>24</v>
      </c>
      <c r="P129" s="529">
        <v>-0.27</v>
      </c>
      <c r="Q129" s="536">
        <v>150</v>
      </c>
    </row>
    <row r="130" spans="2:17" ht="15" customHeight="1" x14ac:dyDescent="0.25">
      <c r="B130" s="434" t="s">
        <v>39</v>
      </c>
      <c r="C130" s="443">
        <v>70</v>
      </c>
      <c r="D130" s="529">
        <v>-0.26</v>
      </c>
      <c r="E130" s="536">
        <v>135</v>
      </c>
      <c r="F130" s="443">
        <v>121</v>
      </c>
      <c r="G130" s="529">
        <v>-0.3</v>
      </c>
      <c r="H130" s="536">
        <v>170</v>
      </c>
      <c r="I130" s="443">
        <v>55</v>
      </c>
      <c r="J130" s="529">
        <v>-0.24</v>
      </c>
      <c r="K130" s="536">
        <v>133</v>
      </c>
      <c r="L130" s="443">
        <v>123</v>
      </c>
      <c r="M130" s="529">
        <v>-0.19</v>
      </c>
      <c r="N130" s="536">
        <v>92</v>
      </c>
      <c r="O130" s="443">
        <v>55</v>
      </c>
      <c r="P130" s="529">
        <v>-0.21</v>
      </c>
      <c r="Q130" s="536">
        <v>108</v>
      </c>
    </row>
    <row r="131" spans="2:17" ht="15" customHeight="1" x14ac:dyDescent="0.25">
      <c r="B131" s="434" t="s">
        <v>40</v>
      </c>
      <c r="C131" s="443">
        <v>700</v>
      </c>
      <c r="D131" s="529">
        <v>-0.15</v>
      </c>
      <c r="E131" s="536">
        <v>65</v>
      </c>
      <c r="F131" s="443">
        <v>700</v>
      </c>
      <c r="G131" s="529">
        <v>-0.17</v>
      </c>
      <c r="H131" s="536">
        <v>81</v>
      </c>
      <c r="I131" s="443">
        <v>500</v>
      </c>
      <c r="J131" s="529">
        <v>-0.13</v>
      </c>
      <c r="K131" s="536">
        <v>57</v>
      </c>
      <c r="L131" s="443">
        <v>500</v>
      </c>
      <c r="M131" s="529">
        <v>-0.14000000000000001</v>
      </c>
      <c r="N131" s="536">
        <v>57</v>
      </c>
      <c r="O131" s="443">
        <v>400</v>
      </c>
      <c r="P131" s="529">
        <v>-0.14000000000000001</v>
      </c>
      <c r="Q131" s="536">
        <v>56</v>
      </c>
    </row>
    <row r="132" spans="2:17" ht="15" customHeight="1" thickBot="1" x14ac:dyDescent="0.3">
      <c r="B132" s="435" t="s">
        <v>64</v>
      </c>
      <c r="C132" s="444">
        <v>10000</v>
      </c>
      <c r="D132" s="530">
        <v>-0.15</v>
      </c>
      <c r="E132" s="537">
        <v>65</v>
      </c>
      <c r="F132" s="444">
        <v>10000</v>
      </c>
      <c r="G132" s="530">
        <v>-0.17</v>
      </c>
      <c r="H132" s="537">
        <v>81</v>
      </c>
      <c r="I132" s="444">
        <v>10000</v>
      </c>
      <c r="J132" s="530">
        <v>-0.13</v>
      </c>
      <c r="K132" s="537">
        <v>57</v>
      </c>
      <c r="L132" s="444">
        <v>10000</v>
      </c>
      <c r="M132" s="530">
        <v>-0.14000000000000001</v>
      </c>
      <c r="N132" s="537">
        <v>57</v>
      </c>
      <c r="O132" s="444">
        <v>10000</v>
      </c>
      <c r="P132" s="530">
        <v>-0.14000000000000001</v>
      </c>
      <c r="Q132" s="537">
        <v>56</v>
      </c>
    </row>
    <row r="133" spans="2:17" ht="15" customHeight="1" x14ac:dyDescent="0.25">
      <c r="B133" s="429"/>
      <c r="C133" s="1719" t="str">
        <f>CONCATENATE(B26," - ",C27)</f>
        <v>North row - Interior modules</v>
      </c>
      <c r="D133" s="1720"/>
      <c r="E133" s="1721"/>
      <c r="F133" s="1719" t="str">
        <f>$C$133</f>
        <v>North row - Interior modules</v>
      </c>
      <c r="G133" s="1720"/>
      <c r="H133" s="1721"/>
      <c r="I133" s="1719" t="str">
        <f>$C$133</f>
        <v>North row - Interior modules</v>
      </c>
      <c r="J133" s="1720"/>
      <c r="K133" s="1721"/>
      <c r="L133" s="1719" t="str">
        <f>$C$133</f>
        <v>North row - Interior modules</v>
      </c>
      <c r="M133" s="1720"/>
      <c r="N133" s="1721"/>
      <c r="O133" s="1719" t="str">
        <f>$C$133</f>
        <v>North row - Interior modules</v>
      </c>
      <c r="P133" s="1720"/>
      <c r="Q133" s="1721"/>
    </row>
    <row r="134" spans="2:17" ht="15" customHeight="1" thickBot="1" x14ac:dyDescent="0.3">
      <c r="B134" s="430"/>
      <c r="C134" s="431" t="str">
        <f>$C$127</f>
        <v>An i</v>
      </c>
      <c r="D134" s="527" t="str">
        <f>$D$127</f>
        <v>cpMS i</v>
      </c>
      <c r="E134" s="432" t="str">
        <f>$E$127</f>
        <v>mS i</v>
      </c>
      <c r="F134" s="431" t="str">
        <f>$C$127</f>
        <v>An i</v>
      </c>
      <c r="G134" s="527" t="str">
        <f>$D$127</f>
        <v>cpMS i</v>
      </c>
      <c r="H134" s="432" t="str">
        <f>$E$127</f>
        <v>mS i</v>
      </c>
      <c r="I134" s="431" t="str">
        <f>$C$127</f>
        <v>An i</v>
      </c>
      <c r="J134" s="527" t="str">
        <f>$D$127</f>
        <v>cpMS i</v>
      </c>
      <c r="K134" s="432" t="str">
        <f>$E$127</f>
        <v>mS i</v>
      </c>
      <c r="L134" s="431" t="str">
        <f>$C$127</f>
        <v>An i</v>
      </c>
      <c r="M134" s="527" t="str">
        <f>$D$127</f>
        <v>cpMS i</v>
      </c>
      <c r="N134" s="432" t="str">
        <f>$E$127</f>
        <v>mS i</v>
      </c>
      <c r="O134" s="431" t="str">
        <f>$C$127</f>
        <v>An i</v>
      </c>
      <c r="P134" s="527" t="str">
        <f>$D$127</f>
        <v>cpMS i</v>
      </c>
      <c r="Q134" s="432" t="str">
        <f>$E$127</f>
        <v>mS i</v>
      </c>
    </row>
    <row r="135" spans="2:17" ht="15" customHeight="1" x14ac:dyDescent="0.25">
      <c r="B135" s="433" t="str">
        <f>$B$128</f>
        <v>i = a</v>
      </c>
      <c r="C135" s="442">
        <v>1</v>
      </c>
      <c r="D135" s="528">
        <v>-0.67</v>
      </c>
      <c r="E135" s="535">
        <v>366</v>
      </c>
      <c r="F135" s="442">
        <v>1</v>
      </c>
      <c r="G135" s="528">
        <v>-1.1299999999999999</v>
      </c>
      <c r="H135" s="535">
        <v>770</v>
      </c>
      <c r="I135" s="442">
        <v>1</v>
      </c>
      <c r="J135" s="528">
        <v>-0.36</v>
      </c>
      <c r="K135" s="535">
        <v>235</v>
      </c>
      <c r="L135" s="442">
        <v>1</v>
      </c>
      <c r="M135" s="528">
        <v>-0.56000000000000005</v>
      </c>
      <c r="N135" s="535">
        <v>370</v>
      </c>
      <c r="O135" s="442">
        <v>1</v>
      </c>
      <c r="P135" s="528">
        <v>-0.56999999999999995</v>
      </c>
      <c r="Q135" s="535">
        <v>377</v>
      </c>
    </row>
    <row r="136" spans="2:17" ht="15" customHeight="1" x14ac:dyDescent="0.25">
      <c r="B136" s="434" t="str">
        <f>$B$129</f>
        <v>i = b</v>
      </c>
      <c r="C136" s="443">
        <v>13</v>
      </c>
      <c r="D136" s="529">
        <v>-0.42</v>
      </c>
      <c r="E136" s="536">
        <v>232</v>
      </c>
      <c r="F136" s="443">
        <v>98</v>
      </c>
      <c r="G136" s="529">
        <v>-0.32</v>
      </c>
      <c r="H136" s="536">
        <v>188</v>
      </c>
      <c r="I136" s="443">
        <v>9</v>
      </c>
      <c r="J136" s="529">
        <v>-0.31</v>
      </c>
      <c r="K136" s="536">
        <v>181</v>
      </c>
      <c r="L136" s="443">
        <v>32</v>
      </c>
      <c r="M136" s="529">
        <v>-0.24</v>
      </c>
      <c r="N136" s="536">
        <v>138</v>
      </c>
      <c r="O136" s="443">
        <v>24</v>
      </c>
      <c r="P136" s="529">
        <v>-0.27</v>
      </c>
      <c r="Q136" s="536">
        <v>152</v>
      </c>
    </row>
    <row r="137" spans="2:17" ht="15" customHeight="1" x14ac:dyDescent="0.25">
      <c r="B137" s="434" t="str">
        <f>$B$130</f>
        <v>i = c</v>
      </c>
      <c r="C137" s="443">
        <v>56</v>
      </c>
      <c r="D137" s="529">
        <v>-0.24</v>
      </c>
      <c r="E137" s="536">
        <v>124</v>
      </c>
      <c r="F137" s="443">
        <v>121</v>
      </c>
      <c r="G137" s="529">
        <v>-0.28999999999999998</v>
      </c>
      <c r="H137" s="536">
        <v>166</v>
      </c>
      <c r="I137" s="443">
        <v>81</v>
      </c>
      <c r="J137" s="529">
        <v>-0.18</v>
      </c>
      <c r="K137" s="536">
        <v>91</v>
      </c>
      <c r="L137" s="443">
        <v>72</v>
      </c>
      <c r="M137" s="529">
        <v>-0.19</v>
      </c>
      <c r="N137" s="536">
        <v>98</v>
      </c>
      <c r="O137" s="443">
        <v>55</v>
      </c>
      <c r="P137" s="529">
        <v>-0.22</v>
      </c>
      <c r="Q137" s="536">
        <v>115</v>
      </c>
    </row>
    <row r="138" spans="2:17" ht="15" customHeight="1" x14ac:dyDescent="0.25">
      <c r="B138" s="434" t="str">
        <f>$B$131</f>
        <v>i = d</v>
      </c>
      <c r="C138" s="443">
        <v>164</v>
      </c>
      <c r="D138" s="529">
        <v>-0.15</v>
      </c>
      <c r="E138" s="536">
        <v>65</v>
      </c>
      <c r="F138" s="443">
        <v>500</v>
      </c>
      <c r="G138" s="529">
        <v>-0.17</v>
      </c>
      <c r="H138" s="536">
        <v>81</v>
      </c>
      <c r="I138" s="443">
        <v>700</v>
      </c>
      <c r="J138" s="529">
        <v>-0.13</v>
      </c>
      <c r="K138" s="536">
        <v>57</v>
      </c>
      <c r="L138" s="443">
        <v>500</v>
      </c>
      <c r="M138" s="529">
        <v>-0.14000000000000001</v>
      </c>
      <c r="N138" s="536">
        <v>57</v>
      </c>
      <c r="O138" s="443">
        <v>400</v>
      </c>
      <c r="P138" s="529">
        <v>-0.14000000000000001</v>
      </c>
      <c r="Q138" s="536">
        <v>56</v>
      </c>
    </row>
    <row r="139" spans="2:17" ht="15" customHeight="1" thickBot="1" x14ac:dyDescent="0.3">
      <c r="B139" s="435" t="str">
        <f>$B$132</f>
        <v>i = e</v>
      </c>
      <c r="C139" s="444">
        <v>10000</v>
      </c>
      <c r="D139" s="530">
        <v>-0.15</v>
      </c>
      <c r="E139" s="537">
        <v>65</v>
      </c>
      <c r="F139" s="444">
        <v>10000</v>
      </c>
      <c r="G139" s="530">
        <v>-0.17</v>
      </c>
      <c r="H139" s="537">
        <v>81</v>
      </c>
      <c r="I139" s="444">
        <v>10000</v>
      </c>
      <c r="J139" s="530">
        <v>-0.13</v>
      </c>
      <c r="K139" s="537">
        <v>57</v>
      </c>
      <c r="L139" s="444">
        <v>10000</v>
      </c>
      <c r="M139" s="530">
        <v>-0.14000000000000001</v>
      </c>
      <c r="N139" s="537">
        <v>57</v>
      </c>
      <c r="O139" s="444">
        <v>10000</v>
      </c>
      <c r="P139" s="530">
        <v>-0.14000000000000001</v>
      </c>
      <c r="Q139" s="537">
        <v>56</v>
      </c>
    </row>
    <row r="140" spans="2:17" ht="30" customHeight="1" x14ac:dyDescent="0.25">
      <c r="B140" s="429"/>
      <c r="C140" s="1725" t="str">
        <f>CONCATENATE(B28," -",CHAR(10),C28)</f>
        <v>Inner rows, 2nd to 4th row from north -
1st-10th module</v>
      </c>
      <c r="D140" s="1726"/>
      <c r="E140" s="1727"/>
      <c r="F140" s="1725" t="str">
        <f>$C$140</f>
        <v>Inner rows, 2nd to 4th row from north -
1st-10th module</v>
      </c>
      <c r="G140" s="1726"/>
      <c r="H140" s="1727"/>
      <c r="I140" s="1725" t="str">
        <f>$C$140</f>
        <v>Inner rows, 2nd to 4th row from north -
1st-10th module</v>
      </c>
      <c r="J140" s="1726"/>
      <c r="K140" s="1727"/>
      <c r="L140" s="1725" t="str">
        <f>$C$140</f>
        <v>Inner rows, 2nd to 4th row from north -
1st-10th module</v>
      </c>
      <c r="M140" s="1726"/>
      <c r="N140" s="1727"/>
      <c r="O140" s="1725" t="str">
        <f>$C$140</f>
        <v>Inner rows, 2nd to 4th row from north -
1st-10th module</v>
      </c>
      <c r="P140" s="1726"/>
      <c r="Q140" s="1727"/>
    </row>
    <row r="141" spans="2:17" ht="15" customHeight="1" thickBot="1" x14ac:dyDescent="0.3">
      <c r="B141" s="430"/>
      <c r="C141" s="431" t="str">
        <f>$C$127</f>
        <v>An i</v>
      </c>
      <c r="D141" s="527" t="str">
        <f>$D$127</f>
        <v>cpMS i</v>
      </c>
      <c r="E141" s="432" t="str">
        <f>$E$127</f>
        <v>mS i</v>
      </c>
      <c r="F141" s="431" t="str">
        <f>$C$127</f>
        <v>An i</v>
      </c>
      <c r="G141" s="527" t="str">
        <f>$D$127</f>
        <v>cpMS i</v>
      </c>
      <c r="H141" s="432" t="str">
        <f>$E$127</f>
        <v>mS i</v>
      </c>
      <c r="I141" s="431" t="str">
        <f>$C$127</f>
        <v>An i</v>
      </c>
      <c r="J141" s="527" t="str">
        <f>$D$127</f>
        <v>cpMS i</v>
      </c>
      <c r="K141" s="432" t="str">
        <f>$E$127</f>
        <v>mS i</v>
      </c>
      <c r="L141" s="431" t="str">
        <f>$C$127</f>
        <v>An i</v>
      </c>
      <c r="M141" s="527" t="str">
        <f>$D$127</f>
        <v>cpMS i</v>
      </c>
      <c r="N141" s="432" t="str">
        <f>$E$127</f>
        <v>mS i</v>
      </c>
      <c r="O141" s="431" t="str">
        <f>$C$127</f>
        <v>An i</v>
      </c>
      <c r="P141" s="527" t="str">
        <f>$D$127</f>
        <v>cpMS i</v>
      </c>
      <c r="Q141" s="432" t="str">
        <f>$E$127</f>
        <v>mS i</v>
      </c>
    </row>
    <row r="142" spans="2:17" ht="15" customHeight="1" x14ac:dyDescent="0.25">
      <c r="B142" s="433" t="str">
        <f>$B$128</f>
        <v>i = a</v>
      </c>
      <c r="C142" s="442">
        <v>1</v>
      </c>
      <c r="D142" s="528">
        <v>-0.94</v>
      </c>
      <c r="E142" s="535">
        <v>676</v>
      </c>
      <c r="F142" s="442">
        <v>1</v>
      </c>
      <c r="G142" s="528">
        <v>-0.54</v>
      </c>
      <c r="H142" s="535">
        <v>332</v>
      </c>
      <c r="I142" s="442">
        <v>1</v>
      </c>
      <c r="J142" s="528">
        <v>-0.5</v>
      </c>
      <c r="K142" s="535">
        <v>303</v>
      </c>
      <c r="L142" s="442">
        <v>1</v>
      </c>
      <c r="M142" s="528">
        <v>-0.46</v>
      </c>
      <c r="N142" s="535">
        <v>280</v>
      </c>
      <c r="O142" s="442">
        <v>1</v>
      </c>
      <c r="P142" s="528">
        <v>-0.31</v>
      </c>
      <c r="Q142" s="535">
        <v>174</v>
      </c>
    </row>
    <row r="143" spans="2:17" ht="15" customHeight="1" x14ac:dyDescent="0.25">
      <c r="B143" s="434" t="str">
        <f>$B$129</f>
        <v>i = b</v>
      </c>
      <c r="C143" s="443">
        <v>13</v>
      </c>
      <c r="D143" s="529">
        <v>-0.56000000000000005</v>
      </c>
      <c r="E143" s="536">
        <v>372</v>
      </c>
      <c r="F143" s="443">
        <v>13</v>
      </c>
      <c r="G143" s="529">
        <v>-0.36</v>
      </c>
      <c r="H143" s="536">
        <v>210</v>
      </c>
      <c r="I143" s="443">
        <v>18</v>
      </c>
      <c r="J143" s="529">
        <v>-0.28000000000000003</v>
      </c>
      <c r="K143" s="536">
        <v>155</v>
      </c>
      <c r="L143" s="443">
        <v>25</v>
      </c>
      <c r="M143" s="529">
        <v>-0.23</v>
      </c>
      <c r="N143" s="536">
        <v>119</v>
      </c>
      <c r="O143" s="443">
        <v>13</v>
      </c>
      <c r="P143" s="529">
        <v>-0.28000000000000003</v>
      </c>
      <c r="Q143" s="536">
        <v>154</v>
      </c>
    </row>
    <row r="144" spans="2:17" ht="15" customHeight="1" x14ac:dyDescent="0.25">
      <c r="B144" s="434" t="str">
        <f>$B$130</f>
        <v>i = c</v>
      </c>
      <c r="C144" s="443">
        <v>69</v>
      </c>
      <c r="D144" s="529">
        <v>-0.28000000000000003</v>
      </c>
      <c r="E144" s="536">
        <v>168</v>
      </c>
      <c r="F144" s="443">
        <v>204</v>
      </c>
      <c r="G144" s="529">
        <v>-0.25</v>
      </c>
      <c r="H144" s="536">
        <v>136</v>
      </c>
      <c r="I144" s="443">
        <v>99</v>
      </c>
      <c r="J144" s="529">
        <v>-0.2</v>
      </c>
      <c r="K144" s="536">
        <v>104</v>
      </c>
      <c r="L144" s="443">
        <v>123</v>
      </c>
      <c r="M144" s="529">
        <v>-0.2</v>
      </c>
      <c r="N144" s="536">
        <v>98</v>
      </c>
      <c r="O144" s="443">
        <v>13</v>
      </c>
      <c r="P144" s="529">
        <v>-0.28000000000000003</v>
      </c>
      <c r="Q144" s="536">
        <v>154</v>
      </c>
    </row>
    <row r="145" spans="2:17" ht="15" customHeight="1" x14ac:dyDescent="0.25">
      <c r="B145" s="434" t="str">
        <f>$B$131</f>
        <v>i = d</v>
      </c>
      <c r="C145" s="443">
        <v>900</v>
      </c>
      <c r="D145" s="529">
        <v>-0.15</v>
      </c>
      <c r="E145" s="536">
        <v>65</v>
      </c>
      <c r="F145" s="443">
        <v>800</v>
      </c>
      <c r="G145" s="529">
        <v>-0.17</v>
      </c>
      <c r="H145" s="536">
        <v>81</v>
      </c>
      <c r="I145" s="443">
        <v>700</v>
      </c>
      <c r="J145" s="529">
        <v>-0.13</v>
      </c>
      <c r="K145" s="536">
        <v>57</v>
      </c>
      <c r="L145" s="443">
        <v>500</v>
      </c>
      <c r="M145" s="529">
        <v>-0.14000000000000001</v>
      </c>
      <c r="N145" s="536">
        <v>57</v>
      </c>
      <c r="O145" s="443">
        <v>400</v>
      </c>
      <c r="P145" s="529">
        <v>-0.14000000000000001</v>
      </c>
      <c r="Q145" s="536">
        <v>56</v>
      </c>
    </row>
    <row r="146" spans="2:17" ht="15" customHeight="1" thickBot="1" x14ac:dyDescent="0.3">
      <c r="B146" s="435" t="str">
        <f>$B$132</f>
        <v>i = e</v>
      </c>
      <c r="C146" s="444">
        <v>10000</v>
      </c>
      <c r="D146" s="530">
        <v>-0.15</v>
      </c>
      <c r="E146" s="537">
        <v>65</v>
      </c>
      <c r="F146" s="444">
        <v>10000</v>
      </c>
      <c r="G146" s="530">
        <v>-0.17</v>
      </c>
      <c r="H146" s="537">
        <v>81</v>
      </c>
      <c r="I146" s="444">
        <v>10000</v>
      </c>
      <c r="J146" s="530">
        <v>-0.13</v>
      </c>
      <c r="K146" s="537">
        <v>57</v>
      </c>
      <c r="L146" s="444">
        <v>10000</v>
      </c>
      <c r="M146" s="530">
        <v>-0.14000000000000001</v>
      </c>
      <c r="N146" s="537">
        <v>57</v>
      </c>
      <c r="O146" s="444">
        <v>10000</v>
      </c>
      <c r="P146" s="530">
        <v>-0.14000000000000001</v>
      </c>
      <c r="Q146" s="537">
        <v>56</v>
      </c>
    </row>
    <row r="147" spans="2:17" ht="30" customHeight="1" x14ac:dyDescent="0.25">
      <c r="B147" s="429"/>
      <c r="C147" s="1725" t="str">
        <f>CONCATENATE(B28," -",CHAR(10),C29)</f>
        <v>Inner rows, 2nd to 4th row from north -
Interior modules</v>
      </c>
      <c r="D147" s="1726"/>
      <c r="E147" s="1727"/>
      <c r="F147" s="1725" t="str">
        <f>$C$147</f>
        <v>Inner rows, 2nd to 4th row from north -
Interior modules</v>
      </c>
      <c r="G147" s="1726"/>
      <c r="H147" s="1727"/>
      <c r="I147" s="1725" t="str">
        <f>$C$147</f>
        <v>Inner rows, 2nd to 4th row from north -
Interior modules</v>
      </c>
      <c r="J147" s="1726"/>
      <c r="K147" s="1727"/>
      <c r="L147" s="1725" t="str">
        <f>$C$147</f>
        <v>Inner rows, 2nd to 4th row from north -
Interior modules</v>
      </c>
      <c r="M147" s="1726"/>
      <c r="N147" s="1727"/>
      <c r="O147" s="1725" t="str">
        <f>$C$147</f>
        <v>Inner rows, 2nd to 4th row from north -
Interior modules</v>
      </c>
      <c r="P147" s="1726"/>
      <c r="Q147" s="1727"/>
    </row>
    <row r="148" spans="2:17" ht="15" customHeight="1" thickBot="1" x14ac:dyDescent="0.3">
      <c r="B148" s="430"/>
      <c r="C148" s="431" t="str">
        <f>$C$127</f>
        <v>An i</v>
      </c>
      <c r="D148" s="527" t="str">
        <f>$D$127</f>
        <v>cpMS i</v>
      </c>
      <c r="E148" s="432" t="str">
        <f>$E$127</f>
        <v>mS i</v>
      </c>
      <c r="F148" s="431" t="str">
        <f>$C$127</f>
        <v>An i</v>
      </c>
      <c r="G148" s="527" t="str">
        <f>$D$127</f>
        <v>cpMS i</v>
      </c>
      <c r="H148" s="432" t="str">
        <f>$E$127</f>
        <v>mS i</v>
      </c>
      <c r="I148" s="431" t="str">
        <f>$C$127</f>
        <v>An i</v>
      </c>
      <c r="J148" s="527" t="str">
        <f>$D$127</f>
        <v>cpMS i</v>
      </c>
      <c r="K148" s="432" t="str">
        <f>$E$127</f>
        <v>mS i</v>
      </c>
      <c r="L148" s="431" t="str">
        <f>$C$127</f>
        <v>An i</v>
      </c>
      <c r="M148" s="527" t="str">
        <f>$D$127</f>
        <v>cpMS i</v>
      </c>
      <c r="N148" s="432" t="str">
        <f>$E$127</f>
        <v>mS i</v>
      </c>
      <c r="O148" s="431" t="str">
        <f>$C$127</f>
        <v>An i</v>
      </c>
      <c r="P148" s="527" t="str">
        <f>$D$127</f>
        <v>cpMS i</v>
      </c>
      <c r="Q148" s="432" t="str">
        <f>$E$127</f>
        <v>mS i</v>
      </c>
    </row>
    <row r="149" spans="2:17" ht="15" customHeight="1" x14ac:dyDescent="0.25">
      <c r="B149" s="433" t="str">
        <f>$B$128</f>
        <v>i = a</v>
      </c>
      <c r="C149" s="442">
        <v>1</v>
      </c>
      <c r="D149" s="528">
        <v>-1</v>
      </c>
      <c r="E149" s="535">
        <v>590</v>
      </c>
      <c r="F149" s="442">
        <v>1</v>
      </c>
      <c r="G149" s="528">
        <v>-0.53</v>
      </c>
      <c r="H149" s="535">
        <v>325</v>
      </c>
      <c r="I149" s="442">
        <v>1</v>
      </c>
      <c r="J149" s="528">
        <v>-0.56000000000000005</v>
      </c>
      <c r="K149" s="535">
        <v>330</v>
      </c>
      <c r="L149" s="442">
        <v>1</v>
      </c>
      <c r="M149" s="528">
        <v>-0.31</v>
      </c>
      <c r="N149" s="535">
        <v>178</v>
      </c>
      <c r="O149" s="442">
        <v>1</v>
      </c>
      <c r="P149" s="528">
        <v>-0.24</v>
      </c>
      <c r="Q149" s="535">
        <v>118</v>
      </c>
    </row>
    <row r="150" spans="2:17" ht="15" customHeight="1" x14ac:dyDescent="0.25">
      <c r="B150" s="434" t="str">
        <f>$B$129</f>
        <v>i = b</v>
      </c>
      <c r="C150" s="443">
        <v>17</v>
      </c>
      <c r="D150" s="529">
        <v>-0.42</v>
      </c>
      <c r="E150" s="536">
        <v>226</v>
      </c>
      <c r="F150" s="443">
        <v>12</v>
      </c>
      <c r="G150" s="529">
        <v>-0.33</v>
      </c>
      <c r="H150" s="536">
        <v>190</v>
      </c>
      <c r="I150" s="443">
        <v>36</v>
      </c>
      <c r="J150" s="529">
        <v>-0.16</v>
      </c>
      <c r="K150" s="536">
        <v>75</v>
      </c>
      <c r="L150" s="443">
        <v>16</v>
      </c>
      <c r="M150" s="529">
        <v>-0.2</v>
      </c>
      <c r="N150" s="536">
        <v>100</v>
      </c>
      <c r="O150" s="443">
        <v>100</v>
      </c>
      <c r="P150" s="529">
        <v>-0.17</v>
      </c>
      <c r="Q150" s="536">
        <v>77</v>
      </c>
    </row>
    <row r="151" spans="2:17" ht="15" customHeight="1" x14ac:dyDescent="0.25">
      <c r="B151" s="434" t="str">
        <f>$B$130</f>
        <v>i = c</v>
      </c>
      <c r="C151" s="443">
        <v>68</v>
      </c>
      <c r="D151" s="529">
        <v>-0.22</v>
      </c>
      <c r="E151" s="536">
        <v>112</v>
      </c>
      <c r="F151" s="443">
        <v>130</v>
      </c>
      <c r="G151" s="529">
        <v>-0.26</v>
      </c>
      <c r="H151" s="536">
        <v>143</v>
      </c>
      <c r="I151" s="443">
        <v>255</v>
      </c>
      <c r="J151" s="529">
        <v>-0.15</v>
      </c>
      <c r="K151" s="536">
        <v>69</v>
      </c>
      <c r="L151" s="443">
        <v>72</v>
      </c>
      <c r="M151" s="529">
        <v>-0.17</v>
      </c>
      <c r="N151" s="536">
        <v>78</v>
      </c>
      <c r="O151" s="443">
        <v>100</v>
      </c>
      <c r="P151" s="529">
        <v>-0.17</v>
      </c>
      <c r="Q151" s="536">
        <v>77</v>
      </c>
    </row>
    <row r="152" spans="2:17" ht="15" customHeight="1" x14ac:dyDescent="0.25">
      <c r="B152" s="434" t="str">
        <f>$B$131</f>
        <v>i = d</v>
      </c>
      <c r="C152" s="443">
        <v>246</v>
      </c>
      <c r="D152" s="529">
        <v>-0.15</v>
      </c>
      <c r="E152" s="536">
        <v>65</v>
      </c>
      <c r="F152" s="443">
        <v>800</v>
      </c>
      <c r="G152" s="529">
        <v>-0.17</v>
      </c>
      <c r="H152" s="536">
        <v>81</v>
      </c>
      <c r="I152" s="443">
        <v>700</v>
      </c>
      <c r="J152" s="529">
        <v>-0.13</v>
      </c>
      <c r="K152" s="536">
        <v>57</v>
      </c>
      <c r="L152" s="443">
        <v>500</v>
      </c>
      <c r="M152" s="529">
        <v>-0.14000000000000001</v>
      </c>
      <c r="N152" s="536">
        <v>57</v>
      </c>
      <c r="O152" s="443">
        <v>400</v>
      </c>
      <c r="P152" s="529">
        <v>-0.14000000000000001</v>
      </c>
      <c r="Q152" s="536">
        <v>56</v>
      </c>
    </row>
    <row r="153" spans="2:17" ht="15" customHeight="1" thickBot="1" x14ac:dyDescent="0.3">
      <c r="B153" s="435" t="str">
        <f>$B$132</f>
        <v>i = e</v>
      </c>
      <c r="C153" s="444">
        <v>10000</v>
      </c>
      <c r="D153" s="530">
        <v>-0.15</v>
      </c>
      <c r="E153" s="537">
        <v>65</v>
      </c>
      <c r="F153" s="444">
        <v>10000</v>
      </c>
      <c r="G153" s="530">
        <v>-0.17</v>
      </c>
      <c r="H153" s="537">
        <v>81</v>
      </c>
      <c r="I153" s="444">
        <v>10000</v>
      </c>
      <c r="J153" s="530">
        <v>-0.13</v>
      </c>
      <c r="K153" s="537">
        <v>57</v>
      </c>
      <c r="L153" s="444">
        <v>10000</v>
      </c>
      <c r="M153" s="530">
        <v>-0.14000000000000001</v>
      </c>
      <c r="N153" s="537">
        <v>57</v>
      </c>
      <c r="O153" s="444">
        <v>10000</v>
      </c>
      <c r="P153" s="530">
        <v>-0.14000000000000001</v>
      </c>
      <c r="Q153" s="537">
        <v>56</v>
      </c>
    </row>
    <row r="154" spans="2:17" ht="30" customHeight="1" x14ac:dyDescent="0.25">
      <c r="B154" s="429"/>
      <c r="C154" s="1725" t="str">
        <f>CONCATENATE(B30," -",CHAR(10),C30)</f>
        <v>Inner rows, from 5th row from north -
1st-10th module</v>
      </c>
      <c r="D154" s="1726"/>
      <c r="E154" s="1727"/>
      <c r="F154" s="1725" t="str">
        <f>$C$154</f>
        <v>Inner rows, from 5th row from north -
1st-10th module</v>
      </c>
      <c r="G154" s="1726"/>
      <c r="H154" s="1727"/>
      <c r="I154" s="1725" t="str">
        <f>$C$154</f>
        <v>Inner rows, from 5th row from north -
1st-10th module</v>
      </c>
      <c r="J154" s="1726"/>
      <c r="K154" s="1727"/>
      <c r="L154" s="1725" t="str">
        <f>$C$154</f>
        <v>Inner rows, from 5th row from north -
1st-10th module</v>
      </c>
      <c r="M154" s="1726"/>
      <c r="N154" s="1727"/>
      <c r="O154" s="1725" t="str">
        <f>$C$154</f>
        <v>Inner rows, from 5th row from north -
1st-10th module</v>
      </c>
      <c r="P154" s="1726"/>
      <c r="Q154" s="1727"/>
    </row>
    <row r="155" spans="2:17" ht="15" customHeight="1" thickBot="1" x14ac:dyDescent="0.3">
      <c r="B155" s="430"/>
      <c r="C155" s="431" t="str">
        <f>$C$127</f>
        <v>An i</v>
      </c>
      <c r="D155" s="527" t="str">
        <f>$D$127</f>
        <v>cpMS i</v>
      </c>
      <c r="E155" s="432" t="str">
        <f>$E$127</f>
        <v>mS i</v>
      </c>
      <c r="F155" s="431" t="str">
        <f>$C$127</f>
        <v>An i</v>
      </c>
      <c r="G155" s="527" t="str">
        <f>$D$127</f>
        <v>cpMS i</v>
      </c>
      <c r="H155" s="432" t="str">
        <f>$E$127</f>
        <v>mS i</v>
      </c>
      <c r="I155" s="431" t="str">
        <f>$C$127</f>
        <v>An i</v>
      </c>
      <c r="J155" s="527" t="str">
        <f>$D$127</f>
        <v>cpMS i</v>
      </c>
      <c r="K155" s="432" t="str">
        <f>$E$127</f>
        <v>mS i</v>
      </c>
      <c r="L155" s="431" t="str">
        <f>$C$127</f>
        <v>An i</v>
      </c>
      <c r="M155" s="527" t="str">
        <f>$D$127</f>
        <v>cpMS i</v>
      </c>
      <c r="N155" s="432" t="str">
        <f>$E$127</f>
        <v>mS i</v>
      </c>
      <c r="O155" s="431" t="str">
        <f>$C$127</f>
        <v>An i</v>
      </c>
      <c r="P155" s="527" t="str">
        <f>$D$127</f>
        <v>cpMS i</v>
      </c>
      <c r="Q155" s="432" t="str">
        <f>$E$127</f>
        <v>mS i</v>
      </c>
    </row>
    <row r="156" spans="2:17" ht="15" customHeight="1" x14ac:dyDescent="0.25">
      <c r="B156" s="433" t="str">
        <f>$B$128</f>
        <v>i = a</v>
      </c>
      <c r="C156" s="442">
        <v>1</v>
      </c>
      <c r="D156" s="528">
        <v>-0.79</v>
      </c>
      <c r="E156" s="535">
        <v>510</v>
      </c>
      <c r="F156" s="442">
        <v>1</v>
      </c>
      <c r="G156" s="528">
        <v>-0.31</v>
      </c>
      <c r="H156" s="535">
        <v>174</v>
      </c>
      <c r="I156" s="442">
        <v>1</v>
      </c>
      <c r="J156" s="528">
        <v>-0.3</v>
      </c>
      <c r="K156" s="535">
        <v>170</v>
      </c>
      <c r="L156" s="442">
        <v>1</v>
      </c>
      <c r="M156" s="528">
        <v>-0.32</v>
      </c>
      <c r="N156" s="535">
        <v>182</v>
      </c>
      <c r="O156" s="442">
        <v>1</v>
      </c>
      <c r="P156" s="528">
        <v>-0.33</v>
      </c>
      <c r="Q156" s="535">
        <v>173</v>
      </c>
    </row>
    <row r="157" spans="2:17" ht="15" customHeight="1" x14ac:dyDescent="0.25">
      <c r="B157" s="434" t="str">
        <f>$B$129</f>
        <v>i = b</v>
      </c>
      <c r="C157" s="443">
        <v>13</v>
      </c>
      <c r="D157" s="529">
        <v>-0.61</v>
      </c>
      <c r="E157" s="536">
        <v>384</v>
      </c>
      <c r="F157" s="443">
        <v>11</v>
      </c>
      <c r="G157" s="529">
        <v>-0.31</v>
      </c>
      <c r="H157" s="536">
        <v>174</v>
      </c>
      <c r="I157" s="443">
        <v>18</v>
      </c>
      <c r="J157" s="529">
        <v>-0.27</v>
      </c>
      <c r="K157" s="536">
        <v>150</v>
      </c>
      <c r="L157" s="443">
        <v>12</v>
      </c>
      <c r="M157" s="529">
        <v>-0.26</v>
      </c>
      <c r="N157" s="536">
        <v>139</v>
      </c>
      <c r="O157" s="443">
        <v>15</v>
      </c>
      <c r="P157" s="529">
        <v>-0.26</v>
      </c>
      <c r="Q157" s="536">
        <v>130</v>
      </c>
    </row>
    <row r="158" spans="2:17" ht="15" customHeight="1" x14ac:dyDescent="0.25">
      <c r="B158" s="434" t="str">
        <f>$B$130</f>
        <v>i = c</v>
      </c>
      <c r="C158" s="443">
        <v>55</v>
      </c>
      <c r="D158" s="529">
        <v>-0.32</v>
      </c>
      <c r="E158" s="536">
        <v>184</v>
      </c>
      <c r="F158" s="443">
        <v>99</v>
      </c>
      <c r="G158" s="529">
        <v>-0.24</v>
      </c>
      <c r="H158" s="536">
        <v>127</v>
      </c>
      <c r="I158" s="443">
        <v>81</v>
      </c>
      <c r="J158" s="529">
        <v>-0.16</v>
      </c>
      <c r="K158" s="536">
        <v>75</v>
      </c>
      <c r="L158" s="443">
        <v>56</v>
      </c>
      <c r="M158" s="529">
        <v>-0.18</v>
      </c>
      <c r="N158" s="536">
        <v>84</v>
      </c>
      <c r="O158" s="443">
        <v>15</v>
      </c>
      <c r="P158" s="529">
        <v>-0.26</v>
      </c>
      <c r="Q158" s="536">
        <v>130</v>
      </c>
    </row>
    <row r="159" spans="2:17" ht="15" customHeight="1" x14ac:dyDescent="0.25">
      <c r="B159" s="434" t="str">
        <f>$B$131</f>
        <v>i = d</v>
      </c>
      <c r="C159" s="443">
        <v>500</v>
      </c>
      <c r="D159" s="529">
        <v>-0.15</v>
      </c>
      <c r="E159" s="536">
        <v>65</v>
      </c>
      <c r="F159" s="443">
        <v>600</v>
      </c>
      <c r="G159" s="529">
        <v>-0.17</v>
      </c>
      <c r="H159" s="536">
        <v>81</v>
      </c>
      <c r="I159" s="443">
        <v>700</v>
      </c>
      <c r="J159" s="529">
        <v>-0.13</v>
      </c>
      <c r="K159" s="536">
        <v>57</v>
      </c>
      <c r="L159" s="443">
        <v>500</v>
      </c>
      <c r="M159" s="529">
        <v>-0.14000000000000001</v>
      </c>
      <c r="N159" s="536">
        <v>57</v>
      </c>
      <c r="O159" s="443">
        <v>35</v>
      </c>
      <c r="P159" s="529">
        <v>-0.14000000000000001</v>
      </c>
      <c r="Q159" s="536">
        <v>56</v>
      </c>
    </row>
    <row r="160" spans="2:17" ht="15" customHeight="1" thickBot="1" x14ac:dyDescent="0.3">
      <c r="B160" s="435" t="str">
        <f>$B$132</f>
        <v>i = e</v>
      </c>
      <c r="C160" s="444">
        <v>10000</v>
      </c>
      <c r="D160" s="530">
        <v>-0.15</v>
      </c>
      <c r="E160" s="537">
        <v>65</v>
      </c>
      <c r="F160" s="444">
        <v>10000</v>
      </c>
      <c r="G160" s="530">
        <v>-0.17</v>
      </c>
      <c r="H160" s="537">
        <v>81</v>
      </c>
      <c r="I160" s="444">
        <v>10000</v>
      </c>
      <c r="J160" s="530">
        <v>-0.13</v>
      </c>
      <c r="K160" s="537">
        <v>57</v>
      </c>
      <c r="L160" s="444">
        <v>10000</v>
      </c>
      <c r="M160" s="530">
        <v>-0.14000000000000001</v>
      </c>
      <c r="N160" s="537">
        <v>57</v>
      </c>
      <c r="O160" s="444">
        <v>10000</v>
      </c>
      <c r="P160" s="530">
        <v>-0.14000000000000001</v>
      </c>
      <c r="Q160" s="537">
        <v>56</v>
      </c>
    </row>
    <row r="161" spans="2:17" ht="30" customHeight="1" x14ac:dyDescent="0.25">
      <c r="B161" s="429"/>
      <c r="C161" s="1725" t="str">
        <f>CONCATENATE(B30," -",CHAR(10),C31)</f>
        <v>Inner rows, from 5th row from north -
Interior modules</v>
      </c>
      <c r="D161" s="1726"/>
      <c r="E161" s="1727"/>
      <c r="F161" s="1725" t="str">
        <f>$C$161</f>
        <v>Inner rows, from 5th row from north -
Interior modules</v>
      </c>
      <c r="G161" s="1726"/>
      <c r="H161" s="1727"/>
      <c r="I161" s="1725" t="str">
        <f>$C$161</f>
        <v>Inner rows, from 5th row from north -
Interior modules</v>
      </c>
      <c r="J161" s="1726"/>
      <c r="K161" s="1727"/>
      <c r="L161" s="1725" t="str">
        <f>$C$161</f>
        <v>Inner rows, from 5th row from north -
Interior modules</v>
      </c>
      <c r="M161" s="1726"/>
      <c r="N161" s="1727"/>
      <c r="O161" s="1725" t="str">
        <f>$C$161</f>
        <v>Inner rows, from 5th row from north -
Interior modules</v>
      </c>
      <c r="P161" s="1726"/>
      <c r="Q161" s="1727"/>
    </row>
    <row r="162" spans="2:17" ht="15" customHeight="1" thickBot="1" x14ac:dyDescent="0.3">
      <c r="B162" s="430"/>
      <c r="C162" s="431" t="str">
        <f>$C$127</f>
        <v>An i</v>
      </c>
      <c r="D162" s="527" t="str">
        <f>$D$127</f>
        <v>cpMS i</v>
      </c>
      <c r="E162" s="432" t="str">
        <f>$E$127</f>
        <v>mS i</v>
      </c>
      <c r="F162" s="431" t="str">
        <f>$C$127</f>
        <v>An i</v>
      </c>
      <c r="G162" s="527" t="str">
        <f>$D$127</f>
        <v>cpMS i</v>
      </c>
      <c r="H162" s="432" t="str">
        <f>$E$127</f>
        <v>mS i</v>
      </c>
      <c r="I162" s="431" t="str">
        <f>$C$127</f>
        <v>An i</v>
      </c>
      <c r="J162" s="527" t="str">
        <f>$D$127</f>
        <v>cpMS i</v>
      </c>
      <c r="K162" s="432" t="str">
        <f>$E$127</f>
        <v>mS i</v>
      </c>
      <c r="L162" s="431" t="str">
        <f>$C$127</f>
        <v>An i</v>
      </c>
      <c r="M162" s="527" t="str">
        <f>$D$127</f>
        <v>cpMS i</v>
      </c>
      <c r="N162" s="432" t="str">
        <f>$E$127</f>
        <v>mS i</v>
      </c>
      <c r="O162" s="431" t="str">
        <f>$C$127</f>
        <v>An i</v>
      </c>
      <c r="P162" s="527" t="str">
        <f>$D$127</f>
        <v>cpMS i</v>
      </c>
      <c r="Q162" s="432" t="str">
        <f>$E$127</f>
        <v>mS i</v>
      </c>
    </row>
    <row r="163" spans="2:17" ht="15" customHeight="1" x14ac:dyDescent="0.25">
      <c r="B163" s="433" t="str">
        <f>$B$128</f>
        <v>i = a</v>
      </c>
      <c r="C163" s="442">
        <v>1</v>
      </c>
      <c r="D163" s="528">
        <v>-0.65</v>
      </c>
      <c r="E163" s="535">
        <v>352</v>
      </c>
      <c r="F163" s="442">
        <v>1</v>
      </c>
      <c r="G163" s="528">
        <v>-0.3</v>
      </c>
      <c r="H163" s="535">
        <v>168</v>
      </c>
      <c r="I163" s="442">
        <v>1</v>
      </c>
      <c r="J163" s="528">
        <v>-0.28999999999999998</v>
      </c>
      <c r="K163" s="535">
        <v>163</v>
      </c>
      <c r="L163" s="442">
        <v>1</v>
      </c>
      <c r="M163" s="528">
        <v>-0.23</v>
      </c>
      <c r="N163" s="535">
        <v>124</v>
      </c>
      <c r="O163" s="442">
        <v>1</v>
      </c>
      <c r="P163" s="528">
        <v>-0.18</v>
      </c>
      <c r="Q163" s="535">
        <v>86</v>
      </c>
    </row>
    <row r="164" spans="2:17" ht="15" customHeight="1" x14ac:dyDescent="0.25">
      <c r="B164" s="434" t="str">
        <f>$B$129</f>
        <v>i = b</v>
      </c>
      <c r="C164" s="443">
        <v>19</v>
      </c>
      <c r="D164" s="529">
        <v>-0.26</v>
      </c>
      <c r="E164" s="536">
        <v>145</v>
      </c>
      <c r="F164" s="443">
        <v>13</v>
      </c>
      <c r="G164" s="529">
        <v>-0.3</v>
      </c>
      <c r="H164" s="536">
        <v>168</v>
      </c>
      <c r="I164" s="443">
        <v>36</v>
      </c>
      <c r="J164" s="529">
        <v>-0.16</v>
      </c>
      <c r="K164" s="536">
        <v>75</v>
      </c>
      <c r="L164" s="443">
        <v>12</v>
      </c>
      <c r="M164" s="529">
        <v>-0.17</v>
      </c>
      <c r="N164" s="536">
        <v>82</v>
      </c>
      <c r="O164" s="443">
        <v>12</v>
      </c>
      <c r="P164" s="529">
        <v>-0.18</v>
      </c>
      <c r="Q164" s="536">
        <v>86</v>
      </c>
    </row>
    <row r="165" spans="2:17" ht="15" customHeight="1" x14ac:dyDescent="0.25">
      <c r="B165" s="434" t="str">
        <f>$B$130</f>
        <v>i = c</v>
      </c>
      <c r="C165" s="443">
        <v>69</v>
      </c>
      <c r="D165" s="529">
        <v>-0.17</v>
      </c>
      <c r="E165" s="536">
        <v>79</v>
      </c>
      <c r="F165" s="443">
        <v>99</v>
      </c>
      <c r="G165" s="529">
        <v>-0.24</v>
      </c>
      <c r="H165" s="536">
        <v>129</v>
      </c>
      <c r="I165" s="443">
        <v>144</v>
      </c>
      <c r="J165" s="529">
        <v>-0.13</v>
      </c>
      <c r="K165" s="536">
        <v>57</v>
      </c>
      <c r="L165" s="443">
        <v>56</v>
      </c>
      <c r="M165" s="529">
        <v>-0.14000000000000001</v>
      </c>
      <c r="N165" s="536">
        <v>61</v>
      </c>
      <c r="O165" s="443">
        <v>16</v>
      </c>
      <c r="P165" s="529">
        <v>-0.17</v>
      </c>
      <c r="Q165" s="536">
        <v>79</v>
      </c>
    </row>
    <row r="166" spans="2:17" ht="15" customHeight="1" x14ac:dyDescent="0.25">
      <c r="B166" s="434" t="str">
        <f>$B$131</f>
        <v>i = d</v>
      </c>
      <c r="C166" s="443">
        <v>245</v>
      </c>
      <c r="D166" s="529">
        <v>-0.15</v>
      </c>
      <c r="E166" s="536">
        <v>65</v>
      </c>
      <c r="F166" s="443">
        <v>800</v>
      </c>
      <c r="G166" s="529">
        <v>-0.17</v>
      </c>
      <c r="H166" s="536">
        <v>81</v>
      </c>
      <c r="I166" s="443">
        <v>700</v>
      </c>
      <c r="J166" s="529">
        <v>-0.13</v>
      </c>
      <c r="K166" s="536">
        <v>57</v>
      </c>
      <c r="L166" s="443">
        <v>500</v>
      </c>
      <c r="M166" s="529">
        <v>-0.14000000000000001</v>
      </c>
      <c r="N166" s="536">
        <v>57</v>
      </c>
      <c r="O166" s="443">
        <v>35</v>
      </c>
      <c r="P166" s="529">
        <v>-0.14000000000000001</v>
      </c>
      <c r="Q166" s="536">
        <v>56</v>
      </c>
    </row>
    <row r="167" spans="2:17" ht="15" customHeight="1" thickBot="1" x14ac:dyDescent="0.3">
      <c r="B167" s="435" t="str">
        <f>$B$132</f>
        <v>i = e</v>
      </c>
      <c r="C167" s="444">
        <v>10000</v>
      </c>
      <c r="D167" s="530">
        <v>-0.15</v>
      </c>
      <c r="E167" s="537">
        <v>65</v>
      </c>
      <c r="F167" s="444">
        <v>10000</v>
      </c>
      <c r="G167" s="530">
        <v>-0.17</v>
      </c>
      <c r="H167" s="537">
        <v>81</v>
      </c>
      <c r="I167" s="444">
        <v>10000</v>
      </c>
      <c r="J167" s="530">
        <v>-0.13</v>
      </c>
      <c r="K167" s="537">
        <v>57</v>
      </c>
      <c r="L167" s="444">
        <v>10000</v>
      </c>
      <c r="M167" s="530">
        <v>-0.14000000000000001</v>
      </c>
      <c r="N167" s="537">
        <v>57</v>
      </c>
      <c r="O167" s="444">
        <v>10000</v>
      </c>
      <c r="P167" s="530">
        <v>-0.14000000000000001</v>
      </c>
      <c r="Q167" s="537">
        <v>56</v>
      </c>
    </row>
    <row r="168" spans="2:17" ht="15" customHeight="1" x14ac:dyDescent="0.25">
      <c r="B168" s="429"/>
      <c r="C168" s="1719" t="str">
        <f>CONCATENATE(B32," - ",C32)</f>
        <v>South row - 1st-10th module</v>
      </c>
      <c r="D168" s="1720"/>
      <c r="E168" s="1721"/>
      <c r="F168" s="1719" t="str">
        <f>$C$168</f>
        <v>South row - 1st-10th module</v>
      </c>
      <c r="G168" s="1720"/>
      <c r="H168" s="1721"/>
      <c r="I168" s="1719" t="str">
        <f>$C$168</f>
        <v>South row - 1st-10th module</v>
      </c>
      <c r="J168" s="1720"/>
      <c r="K168" s="1721"/>
      <c r="L168" s="1719" t="str">
        <f>$C$168</f>
        <v>South row - 1st-10th module</v>
      </c>
      <c r="M168" s="1720"/>
      <c r="N168" s="1721"/>
      <c r="O168" s="1719" t="str">
        <f>$C$168</f>
        <v>South row - 1st-10th module</v>
      </c>
      <c r="P168" s="1720"/>
      <c r="Q168" s="1721"/>
    </row>
    <row r="169" spans="2:17" ht="15" customHeight="1" thickBot="1" x14ac:dyDescent="0.3">
      <c r="B169" s="430"/>
      <c r="C169" s="431" t="str">
        <f>$C$127</f>
        <v>An i</v>
      </c>
      <c r="D169" s="527" t="str">
        <f>$D$127</f>
        <v>cpMS i</v>
      </c>
      <c r="E169" s="432" t="str">
        <f>$E$127</f>
        <v>mS i</v>
      </c>
      <c r="F169" s="431" t="str">
        <f>$C$127</f>
        <v>An i</v>
      </c>
      <c r="G169" s="527" t="str">
        <f>$D$127</f>
        <v>cpMS i</v>
      </c>
      <c r="H169" s="432" t="str">
        <f>$E$127</f>
        <v>mS i</v>
      </c>
      <c r="I169" s="431" t="str">
        <f>$C$127</f>
        <v>An i</v>
      </c>
      <c r="J169" s="527" t="str">
        <f>$D$127</f>
        <v>cpMS i</v>
      </c>
      <c r="K169" s="432" t="str">
        <f>$E$127</f>
        <v>mS i</v>
      </c>
      <c r="L169" s="431" t="str">
        <f>$C$127</f>
        <v>An i</v>
      </c>
      <c r="M169" s="527" t="str">
        <f>$D$127</f>
        <v>cpMS i</v>
      </c>
      <c r="N169" s="432" t="str">
        <f>$E$127</f>
        <v>mS i</v>
      </c>
      <c r="O169" s="431" t="str">
        <f>$C$127</f>
        <v>An i</v>
      </c>
      <c r="P169" s="527" t="str">
        <f>$D$127</f>
        <v>cpMS i</v>
      </c>
      <c r="Q169" s="432" t="str">
        <f>$E$127</f>
        <v>mS i</v>
      </c>
    </row>
    <row r="170" spans="2:17" ht="15" customHeight="1" x14ac:dyDescent="0.25">
      <c r="B170" s="433" t="str">
        <f>$B$128</f>
        <v>i = a</v>
      </c>
      <c r="C170" s="442">
        <v>1</v>
      </c>
      <c r="D170" s="528">
        <v>-1.01</v>
      </c>
      <c r="E170" s="535">
        <v>675</v>
      </c>
      <c r="F170" s="442">
        <v>1</v>
      </c>
      <c r="G170" s="528">
        <v>-0.41</v>
      </c>
      <c r="H170" s="535">
        <v>250</v>
      </c>
      <c r="I170" s="442">
        <v>1</v>
      </c>
      <c r="J170" s="528">
        <v>-0.49</v>
      </c>
      <c r="K170" s="535">
        <v>274</v>
      </c>
      <c r="L170" s="442">
        <v>1</v>
      </c>
      <c r="M170" s="528">
        <v>-0.38</v>
      </c>
      <c r="N170" s="535">
        <v>256</v>
      </c>
      <c r="O170" s="442">
        <v>1</v>
      </c>
      <c r="P170" s="528">
        <v>-0.62</v>
      </c>
      <c r="Q170" s="535">
        <v>430</v>
      </c>
    </row>
    <row r="171" spans="2:17" ht="15" customHeight="1" x14ac:dyDescent="0.25">
      <c r="B171" s="434" t="str">
        <f>$B$129</f>
        <v>i = b</v>
      </c>
      <c r="C171" s="443">
        <v>19</v>
      </c>
      <c r="D171" s="529">
        <v>-0.41</v>
      </c>
      <c r="E171" s="536">
        <v>250</v>
      </c>
      <c r="F171" s="443">
        <v>12</v>
      </c>
      <c r="G171" s="529">
        <v>-0.27</v>
      </c>
      <c r="H171" s="536">
        <v>153</v>
      </c>
      <c r="I171" s="443">
        <v>18</v>
      </c>
      <c r="J171" s="529">
        <v>-0.27</v>
      </c>
      <c r="K171" s="536">
        <v>150</v>
      </c>
      <c r="L171" s="443">
        <v>24</v>
      </c>
      <c r="M171" s="529">
        <v>-0.19</v>
      </c>
      <c r="N171" s="536">
        <v>96</v>
      </c>
      <c r="O171" s="443">
        <v>13</v>
      </c>
      <c r="P171" s="529">
        <v>-0.19</v>
      </c>
      <c r="Q171" s="536">
        <v>93</v>
      </c>
    </row>
    <row r="172" spans="2:17" ht="15" customHeight="1" x14ac:dyDescent="0.25">
      <c r="B172" s="434" t="str">
        <f>$B$130</f>
        <v>i = c</v>
      </c>
      <c r="C172" s="443">
        <v>86</v>
      </c>
      <c r="D172" s="529">
        <v>-0.24</v>
      </c>
      <c r="E172" s="536">
        <v>130</v>
      </c>
      <c r="F172" s="443">
        <v>25</v>
      </c>
      <c r="G172" s="529">
        <v>-0.25</v>
      </c>
      <c r="H172" s="536">
        <v>136</v>
      </c>
      <c r="I172" s="443">
        <v>36</v>
      </c>
      <c r="J172" s="529">
        <v>-0.21</v>
      </c>
      <c r="K172" s="536">
        <v>110</v>
      </c>
      <c r="L172" s="443">
        <v>56</v>
      </c>
      <c r="M172" s="529">
        <v>-0.16</v>
      </c>
      <c r="N172" s="536">
        <v>75</v>
      </c>
      <c r="O172" s="443">
        <v>13</v>
      </c>
      <c r="P172" s="529">
        <v>-0.19</v>
      </c>
      <c r="Q172" s="536">
        <v>93</v>
      </c>
    </row>
    <row r="173" spans="2:17" ht="15" customHeight="1" x14ac:dyDescent="0.25">
      <c r="B173" s="434" t="str">
        <f>$B$131</f>
        <v>i = d</v>
      </c>
      <c r="C173" s="443">
        <v>800</v>
      </c>
      <c r="D173" s="529">
        <v>-0.15</v>
      </c>
      <c r="E173" s="536">
        <v>65</v>
      </c>
      <c r="F173" s="443">
        <v>800</v>
      </c>
      <c r="G173" s="529">
        <v>-0.17</v>
      </c>
      <c r="H173" s="536">
        <v>81</v>
      </c>
      <c r="I173" s="443">
        <v>700</v>
      </c>
      <c r="J173" s="529">
        <v>-0.13</v>
      </c>
      <c r="K173" s="536">
        <v>57</v>
      </c>
      <c r="L173" s="443">
        <v>500</v>
      </c>
      <c r="M173" s="529">
        <v>-0.14000000000000001</v>
      </c>
      <c r="N173" s="536">
        <v>57</v>
      </c>
      <c r="O173" s="443">
        <v>40</v>
      </c>
      <c r="P173" s="529">
        <v>-0.14000000000000001</v>
      </c>
      <c r="Q173" s="536">
        <v>56</v>
      </c>
    </row>
    <row r="174" spans="2:17" ht="15" customHeight="1" thickBot="1" x14ac:dyDescent="0.3">
      <c r="B174" s="435" t="str">
        <f>$B$132</f>
        <v>i = e</v>
      </c>
      <c r="C174" s="444">
        <v>10000</v>
      </c>
      <c r="D174" s="530">
        <v>-0.15</v>
      </c>
      <c r="E174" s="537">
        <v>65</v>
      </c>
      <c r="F174" s="444">
        <v>10000</v>
      </c>
      <c r="G174" s="530">
        <v>-0.17</v>
      </c>
      <c r="H174" s="537">
        <v>81</v>
      </c>
      <c r="I174" s="444">
        <v>10000</v>
      </c>
      <c r="J174" s="530">
        <v>-0.13</v>
      </c>
      <c r="K174" s="537">
        <v>57</v>
      </c>
      <c r="L174" s="444">
        <v>10000</v>
      </c>
      <c r="M174" s="530">
        <v>-0.14000000000000001</v>
      </c>
      <c r="N174" s="537">
        <v>57</v>
      </c>
      <c r="O174" s="444">
        <v>10000</v>
      </c>
      <c r="P174" s="530">
        <v>-0.14000000000000001</v>
      </c>
      <c r="Q174" s="537">
        <v>56</v>
      </c>
    </row>
    <row r="175" spans="2:17" ht="15" customHeight="1" x14ac:dyDescent="0.25">
      <c r="B175" s="429"/>
      <c r="C175" s="1719" t="str">
        <f>CONCATENATE(B32," - ",C33)</f>
        <v>South row - Interior modules</v>
      </c>
      <c r="D175" s="1720"/>
      <c r="E175" s="1721"/>
      <c r="F175" s="1719" t="str">
        <f>$C$175</f>
        <v>South row - Interior modules</v>
      </c>
      <c r="G175" s="1720"/>
      <c r="H175" s="1721"/>
      <c r="I175" s="1719" t="str">
        <f>$C$175</f>
        <v>South row - Interior modules</v>
      </c>
      <c r="J175" s="1720"/>
      <c r="K175" s="1721"/>
      <c r="L175" s="1719" t="str">
        <f>$C$175</f>
        <v>South row - Interior modules</v>
      </c>
      <c r="M175" s="1720"/>
      <c r="N175" s="1721"/>
      <c r="O175" s="1719" t="str">
        <f>$C$175</f>
        <v>South row - Interior modules</v>
      </c>
      <c r="P175" s="1720"/>
      <c r="Q175" s="1721"/>
    </row>
    <row r="176" spans="2:17" ht="15" customHeight="1" thickBot="1" x14ac:dyDescent="0.3">
      <c r="B176" s="430"/>
      <c r="C176" s="431" t="str">
        <f>$C$127</f>
        <v>An i</v>
      </c>
      <c r="D176" s="527" t="str">
        <f>$D$127</f>
        <v>cpMS i</v>
      </c>
      <c r="E176" s="432" t="str">
        <f>$E$127</f>
        <v>mS i</v>
      </c>
      <c r="F176" s="431" t="str">
        <f>$C$127</f>
        <v>An i</v>
      </c>
      <c r="G176" s="527" t="str">
        <f>$D$127</f>
        <v>cpMS i</v>
      </c>
      <c r="H176" s="432" t="str">
        <f>$E$127</f>
        <v>mS i</v>
      </c>
      <c r="I176" s="431" t="str">
        <f>$C$127</f>
        <v>An i</v>
      </c>
      <c r="J176" s="527" t="str">
        <f>$D$127</f>
        <v>cpMS i</v>
      </c>
      <c r="K176" s="432" t="str">
        <f>$E$127</f>
        <v>mS i</v>
      </c>
      <c r="L176" s="431" t="str">
        <f>$C$127</f>
        <v>An i</v>
      </c>
      <c r="M176" s="527" t="str">
        <f>$D$127</f>
        <v>cpMS i</v>
      </c>
      <c r="N176" s="432" t="str">
        <f>$E$127</f>
        <v>mS i</v>
      </c>
      <c r="O176" s="431" t="str">
        <f>$C$127</f>
        <v>An i</v>
      </c>
      <c r="P176" s="527" t="str">
        <f>$D$127</f>
        <v>cpMS i</v>
      </c>
      <c r="Q176" s="432" t="str">
        <f>$E$127</f>
        <v>mS i</v>
      </c>
    </row>
    <row r="177" spans="2:17" ht="15" customHeight="1" x14ac:dyDescent="0.25">
      <c r="B177" s="433" t="str">
        <f>$B$128</f>
        <v>i = a</v>
      </c>
      <c r="C177" s="442">
        <v>1</v>
      </c>
      <c r="D177" s="528">
        <v>-0.83</v>
      </c>
      <c r="E177" s="535">
        <v>515</v>
      </c>
      <c r="F177" s="442">
        <v>1</v>
      </c>
      <c r="G177" s="528">
        <v>-0.42</v>
      </c>
      <c r="H177" s="535">
        <v>245</v>
      </c>
      <c r="I177" s="442">
        <v>1</v>
      </c>
      <c r="J177" s="528">
        <v>-0.71</v>
      </c>
      <c r="K177" s="535">
        <v>410</v>
      </c>
      <c r="L177" s="442">
        <v>1</v>
      </c>
      <c r="M177" s="528">
        <v>-0.34</v>
      </c>
      <c r="N177" s="535">
        <v>196</v>
      </c>
      <c r="O177" s="442">
        <v>1</v>
      </c>
      <c r="P177" s="528">
        <v>-0.5</v>
      </c>
      <c r="Q177" s="535">
        <v>298</v>
      </c>
    </row>
    <row r="178" spans="2:17" ht="15" customHeight="1" x14ac:dyDescent="0.25">
      <c r="B178" s="434" t="str">
        <f>$B$129</f>
        <v>i = b</v>
      </c>
      <c r="C178" s="443">
        <v>39</v>
      </c>
      <c r="D178" s="529">
        <v>-0.23</v>
      </c>
      <c r="E178" s="536">
        <v>120</v>
      </c>
      <c r="F178" s="443">
        <v>16</v>
      </c>
      <c r="G178" s="529">
        <v>-0.26</v>
      </c>
      <c r="H178" s="536">
        <v>139</v>
      </c>
      <c r="I178" s="443">
        <v>9</v>
      </c>
      <c r="J178" s="529">
        <v>-0.19</v>
      </c>
      <c r="K178" s="536">
        <v>98</v>
      </c>
      <c r="L178" s="443">
        <v>12</v>
      </c>
      <c r="M178" s="529">
        <v>-0.15</v>
      </c>
      <c r="N178" s="536">
        <v>69</v>
      </c>
      <c r="O178" s="443">
        <v>12</v>
      </c>
      <c r="P178" s="529">
        <v>-0.19</v>
      </c>
      <c r="Q178" s="536">
        <v>88</v>
      </c>
    </row>
    <row r="179" spans="2:17" ht="15" customHeight="1" x14ac:dyDescent="0.25">
      <c r="B179" s="434" t="str">
        <f>$B$130</f>
        <v>i = c</v>
      </c>
      <c r="C179" s="443">
        <v>39</v>
      </c>
      <c r="D179" s="529">
        <v>-0.23</v>
      </c>
      <c r="E179" s="536">
        <v>120</v>
      </c>
      <c r="F179" s="443">
        <v>99</v>
      </c>
      <c r="G179" s="529">
        <v>-0.22</v>
      </c>
      <c r="H179" s="536">
        <v>115</v>
      </c>
      <c r="I179" s="443">
        <v>144</v>
      </c>
      <c r="J179" s="529">
        <v>-0.13</v>
      </c>
      <c r="K179" s="536">
        <v>57</v>
      </c>
      <c r="L179" s="443">
        <v>56</v>
      </c>
      <c r="M179" s="529">
        <v>-0.13</v>
      </c>
      <c r="N179" s="536">
        <v>57</v>
      </c>
      <c r="O179" s="443">
        <v>12</v>
      </c>
      <c r="P179" s="529">
        <v>-0.19</v>
      </c>
      <c r="Q179" s="536">
        <v>88</v>
      </c>
    </row>
    <row r="180" spans="2:17" ht="15" customHeight="1" x14ac:dyDescent="0.25">
      <c r="B180" s="434" t="str">
        <f>$B$131</f>
        <v>i = d</v>
      </c>
      <c r="C180" s="443">
        <v>120</v>
      </c>
      <c r="D180" s="529">
        <v>-0.15</v>
      </c>
      <c r="E180" s="536">
        <v>65</v>
      </c>
      <c r="F180" s="443">
        <v>1000</v>
      </c>
      <c r="G180" s="529">
        <v>-0.17</v>
      </c>
      <c r="H180" s="536">
        <v>81</v>
      </c>
      <c r="I180" s="443">
        <v>700</v>
      </c>
      <c r="J180" s="529">
        <v>-0.13</v>
      </c>
      <c r="K180" s="536">
        <v>57</v>
      </c>
      <c r="L180" s="443">
        <v>500</v>
      </c>
      <c r="M180" s="529">
        <v>-0.13</v>
      </c>
      <c r="N180" s="536">
        <v>57</v>
      </c>
      <c r="O180" s="443">
        <v>25</v>
      </c>
      <c r="P180" s="529">
        <v>-0.14000000000000001</v>
      </c>
      <c r="Q180" s="536">
        <v>56</v>
      </c>
    </row>
    <row r="181" spans="2:17" ht="15" customHeight="1" thickBot="1" x14ac:dyDescent="0.3">
      <c r="B181" s="435" t="str">
        <f>$B$132</f>
        <v>i = e</v>
      </c>
      <c r="C181" s="444">
        <v>10000</v>
      </c>
      <c r="D181" s="530">
        <v>-0.15</v>
      </c>
      <c r="E181" s="537">
        <v>65</v>
      </c>
      <c r="F181" s="444">
        <v>10000</v>
      </c>
      <c r="G181" s="530">
        <v>-0.17</v>
      </c>
      <c r="H181" s="537">
        <v>81</v>
      </c>
      <c r="I181" s="444">
        <v>10000</v>
      </c>
      <c r="J181" s="530">
        <v>-0.13</v>
      </c>
      <c r="K181" s="537">
        <v>57</v>
      </c>
      <c r="L181" s="444">
        <v>10000</v>
      </c>
      <c r="M181" s="530">
        <v>-0.13</v>
      </c>
      <c r="N181" s="537">
        <v>57</v>
      </c>
      <c r="O181" s="444">
        <v>10000</v>
      </c>
      <c r="P181" s="530">
        <v>-0.14000000000000001</v>
      </c>
      <c r="Q181" s="537">
        <v>56</v>
      </c>
    </row>
    <row r="182" spans="2:17" ht="15" customHeight="1" thickBot="1" x14ac:dyDescent="0.3"/>
    <row r="183" spans="2:17" ht="15" customHeight="1" thickBot="1" x14ac:dyDescent="0.3">
      <c r="B183" s="534" t="str">
        <f>K23</f>
        <v>Uplift</v>
      </c>
      <c r="C183" s="1715" t="str">
        <f>$D$24</f>
        <v>Roof position 1</v>
      </c>
      <c r="D183" s="1728"/>
      <c r="E183" s="1729"/>
      <c r="F183" s="1715" t="str">
        <f>$E$24</f>
        <v>Roof position 2</v>
      </c>
      <c r="G183" s="1728"/>
      <c r="H183" s="1729"/>
      <c r="I183" s="1715" t="str">
        <f>$F$24</f>
        <v>Roof position 3</v>
      </c>
      <c r="J183" s="1728"/>
      <c r="K183" s="1729"/>
      <c r="L183" s="1715" t="str">
        <f>$G$24</f>
        <v>Roof position 4</v>
      </c>
      <c r="M183" s="1728"/>
      <c r="N183" s="1729"/>
      <c r="O183" s="1715" t="str">
        <f>$H$24</f>
        <v>Roof position 5</v>
      </c>
      <c r="P183" s="1728"/>
      <c r="Q183" s="1729"/>
    </row>
    <row r="184" spans="2:17" ht="15" customHeight="1" x14ac:dyDescent="0.25">
      <c r="B184" s="429"/>
      <c r="C184" s="1719" t="str">
        <f>$C$126</f>
        <v>North row - 1st-10th module</v>
      </c>
      <c r="D184" s="1720"/>
      <c r="E184" s="1721"/>
      <c r="F184" s="1719" t="str">
        <f>$C$126</f>
        <v>North row - 1st-10th module</v>
      </c>
      <c r="G184" s="1720"/>
      <c r="H184" s="1721"/>
      <c r="I184" s="1719" t="str">
        <f>$C$126</f>
        <v>North row - 1st-10th module</v>
      </c>
      <c r="J184" s="1720"/>
      <c r="K184" s="1721"/>
      <c r="L184" s="1719" t="str">
        <f>$C$126</f>
        <v>North row - 1st-10th module</v>
      </c>
      <c r="M184" s="1720"/>
      <c r="N184" s="1721"/>
      <c r="O184" s="1719" t="str">
        <f>$C$126</f>
        <v>North row - 1st-10th module</v>
      </c>
      <c r="P184" s="1720"/>
      <c r="Q184" s="1721"/>
    </row>
    <row r="185" spans="2:17" ht="15" customHeight="1" thickBot="1" x14ac:dyDescent="0.3">
      <c r="B185" s="430"/>
      <c r="C185" s="431" t="s">
        <v>36</v>
      </c>
      <c r="D185" s="527" t="s">
        <v>73</v>
      </c>
      <c r="E185" s="432" t="s">
        <v>74</v>
      </c>
      <c r="F185" s="431" t="str">
        <f>$C$127</f>
        <v>An i</v>
      </c>
      <c r="G185" s="527" t="str">
        <f>$D$185</f>
        <v>cpML i</v>
      </c>
      <c r="H185" s="432" t="str">
        <f>$E$185</f>
        <v>mL i</v>
      </c>
      <c r="I185" s="431" t="str">
        <f>$C$127</f>
        <v>An i</v>
      </c>
      <c r="J185" s="527" t="str">
        <f>$D$185</f>
        <v>cpML i</v>
      </c>
      <c r="K185" s="432" t="str">
        <f>$E$185</f>
        <v>mL i</v>
      </c>
      <c r="L185" s="431" t="str">
        <f>$C$127</f>
        <v>An i</v>
      </c>
      <c r="M185" s="527" t="str">
        <f>$D$185</f>
        <v>cpML i</v>
      </c>
      <c r="N185" s="432" t="str">
        <f>$E$185</f>
        <v>mL i</v>
      </c>
      <c r="O185" s="431" t="str">
        <f>$C$127</f>
        <v>An i</v>
      </c>
      <c r="P185" s="527" t="str">
        <f>$D$185</f>
        <v>cpML i</v>
      </c>
      <c r="Q185" s="432" t="str">
        <f>$E$185</f>
        <v>mL i</v>
      </c>
    </row>
    <row r="186" spans="2:17" ht="15" customHeight="1" x14ac:dyDescent="0.25">
      <c r="B186" s="433" t="str">
        <f>$B$128</f>
        <v>i = a</v>
      </c>
      <c r="C186" s="442">
        <v>1</v>
      </c>
      <c r="D186" s="528">
        <v>-1.22</v>
      </c>
      <c r="E186" s="535">
        <v>692</v>
      </c>
      <c r="F186" s="442">
        <v>1</v>
      </c>
      <c r="G186" s="528">
        <v>-1.1200000000000001</v>
      </c>
      <c r="H186" s="535">
        <v>614</v>
      </c>
      <c r="I186" s="442">
        <v>1</v>
      </c>
      <c r="J186" s="528">
        <v>-0.49</v>
      </c>
      <c r="K186" s="535">
        <v>250</v>
      </c>
      <c r="L186" s="442">
        <v>1</v>
      </c>
      <c r="M186" s="528">
        <v>-0.59</v>
      </c>
      <c r="N186" s="535">
        <v>307</v>
      </c>
      <c r="O186" s="442">
        <v>1</v>
      </c>
      <c r="P186" s="528">
        <v>-0.57999999999999996</v>
      </c>
      <c r="Q186" s="535">
        <v>295</v>
      </c>
    </row>
    <row r="187" spans="2:17" ht="15" customHeight="1" x14ac:dyDescent="0.25">
      <c r="B187" s="434" t="str">
        <f>$B$129</f>
        <v>i = b</v>
      </c>
      <c r="C187" s="443">
        <v>25</v>
      </c>
      <c r="D187" s="529">
        <v>-0.46</v>
      </c>
      <c r="E187" s="536">
        <v>243</v>
      </c>
      <c r="F187" s="443">
        <v>98</v>
      </c>
      <c r="G187" s="529">
        <v>-0.34</v>
      </c>
      <c r="H187" s="536">
        <v>155</v>
      </c>
      <c r="I187" s="443">
        <v>9</v>
      </c>
      <c r="J187" s="529">
        <v>-0.39</v>
      </c>
      <c r="K187" s="536">
        <v>183</v>
      </c>
      <c r="L187" s="443">
        <v>25</v>
      </c>
      <c r="M187" s="529">
        <v>-0.27</v>
      </c>
      <c r="N187" s="536">
        <v>120</v>
      </c>
      <c r="O187" s="443">
        <v>24</v>
      </c>
      <c r="P187" s="529">
        <v>-0.27</v>
      </c>
      <c r="Q187" s="536">
        <v>113</v>
      </c>
    </row>
    <row r="188" spans="2:17" ht="15" customHeight="1" x14ac:dyDescent="0.25">
      <c r="B188" s="434" t="str">
        <f>$B$130</f>
        <v>i = c</v>
      </c>
      <c r="C188" s="443">
        <v>70</v>
      </c>
      <c r="D188" s="529">
        <v>-0.26</v>
      </c>
      <c r="E188" s="536">
        <v>120</v>
      </c>
      <c r="F188" s="443">
        <v>121</v>
      </c>
      <c r="G188" s="529">
        <v>-0.3</v>
      </c>
      <c r="H188" s="536">
        <v>130</v>
      </c>
      <c r="I188" s="443">
        <v>55</v>
      </c>
      <c r="J188" s="529">
        <v>-0.27</v>
      </c>
      <c r="K188" s="536">
        <v>110</v>
      </c>
      <c r="L188" s="443">
        <v>123</v>
      </c>
      <c r="M188" s="529">
        <v>-0.19</v>
      </c>
      <c r="N188" s="536">
        <v>67</v>
      </c>
      <c r="O188" s="443">
        <v>55</v>
      </c>
      <c r="P188" s="529">
        <v>-0.21</v>
      </c>
      <c r="Q188" s="536">
        <v>78</v>
      </c>
    </row>
    <row r="189" spans="2:17" ht="15" customHeight="1" x14ac:dyDescent="0.25">
      <c r="B189" s="434" t="str">
        <f>$B$131</f>
        <v>i = d</v>
      </c>
      <c r="C189" s="443">
        <v>700</v>
      </c>
      <c r="D189" s="529">
        <v>-0.15</v>
      </c>
      <c r="E189" s="536">
        <v>49</v>
      </c>
      <c r="F189" s="443">
        <v>700</v>
      </c>
      <c r="G189" s="529">
        <v>-0.17</v>
      </c>
      <c r="H189" s="536">
        <v>55</v>
      </c>
      <c r="I189" s="443">
        <v>500</v>
      </c>
      <c r="J189" s="529">
        <v>-0.12</v>
      </c>
      <c r="K189" s="536">
        <v>31</v>
      </c>
      <c r="L189" s="443">
        <v>500</v>
      </c>
      <c r="M189" s="529">
        <v>-0.13</v>
      </c>
      <c r="N189" s="536">
        <v>31</v>
      </c>
      <c r="O189" s="443">
        <v>400</v>
      </c>
      <c r="P189" s="529">
        <v>-0.12</v>
      </c>
      <c r="Q189" s="536">
        <v>31</v>
      </c>
    </row>
    <row r="190" spans="2:17" ht="15" customHeight="1" thickBot="1" x14ac:dyDescent="0.3">
      <c r="B190" s="435" t="str">
        <f>$B$132</f>
        <v>i = e</v>
      </c>
      <c r="C190" s="444">
        <v>10000</v>
      </c>
      <c r="D190" s="530">
        <v>-0.15</v>
      </c>
      <c r="E190" s="537">
        <v>49</v>
      </c>
      <c r="F190" s="444">
        <v>10000</v>
      </c>
      <c r="G190" s="530">
        <v>-0.17</v>
      </c>
      <c r="H190" s="537">
        <v>55</v>
      </c>
      <c r="I190" s="444">
        <v>10000</v>
      </c>
      <c r="J190" s="530">
        <v>-0.12</v>
      </c>
      <c r="K190" s="537">
        <v>31</v>
      </c>
      <c r="L190" s="444">
        <v>10000</v>
      </c>
      <c r="M190" s="530">
        <v>-0.13</v>
      </c>
      <c r="N190" s="537">
        <v>31</v>
      </c>
      <c r="O190" s="444">
        <v>10000</v>
      </c>
      <c r="P190" s="530">
        <v>-0.12</v>
      </c>
      <c r="Q190" s="537">
        <v>31</v>
      </c>
    </row>
    <row r="191" spans="2:17" ht="15" customHeight="1" x14ac:dyDescent="0.25">
      <c r="B191" s="429"/>
      <c r="C191" s="1719" t="str">
        <f>$C$133</f>
        <v>North row - Interior modules</v>
      </c>
      <c r="D191" s="1720"/>
      <c r="E191" s="1721"/>
      <c r="F191" s="1719" t="str">
        <f>$C$133</f>
        <v>North row - Interior modules</v>
      </c>
      <c r="G191" s="1720"/>
      <c r="H191" s="1721"/>
      <c r="I191" s="1719" t="str">
        <f>$C$133</f>
        <v>North row - Interior modules</v>
      </c>
      <c r="J191" s="1720"/>
      <c r="K191" s="1721"/>
      <c r="L191" s="1719" t="str">
        <f>$C$133</f>
        <v>North row - Interior modules</v>
      </c>
      <c r="M191" s="1720"/>
      <c r="N191" s="1721"/>
      <c r="O191" s="1719" t="str">
        <f>$C$133</f>
        <v>North row - Interior modules</v>
      </c>
      <c r="P191" s="1720"/>
      <c r="Q191" s="1721"/>
    </row>
    <row r="192" spans="2:17" ht="15" customHeight="1" thickBot="1" x14ac:dyDescent="0.3">
      <c r="B192" s="430"/>
      <c r="C192" s="431" t="str">
        <f>$C$127</f>
        <v>An i</v>
      </c>
      <c r="D192" s="527" t="str">
        <f>$D$185</f>
        <v>cpML i</v>
      </c>
      <c r="E192" s="432" t="str">
        <f>$E$185</f>
        <v>mL i</v>
      </c>
      <c r="F192" s="431" t="str">
        <f>$C$127</f>
        <v>An i</v>
      </c>
      <c r="G192" s="527" t="str">
        <f>$D$185</f>
        <v>cpML i</v>
      </c>
      <c r="H192" s="432" t="str">
        <f>$E$185</f>
        <v>mL i</v>
      </c>
      <c r="I192" s="431" t="str">
        <f>$C$127</f>
        <v>An i</v>
      </c>
      <c r="J192" s="527" t="str">
        <f>$D$185</f>
        <v>cpML i</v>
      </c>
      <c r="K192" s="432" t="str">
        <f>$E$185</f>
        <v>mL i</v>
      </c>
      <c r="L192" s="431" t="str">
        <f>$C$127</f>
        <v>An i</v>
      </c>
      <c r="M192" s="527" t="str">
        <f>$D$185</f>
        <v>cpML i</v>
      </c>
      <c r="N192" s="432" t="str">
        <f>$E$185</f>
        <v>mL i</v>
      </c>
      <c r="O192" s="431" t="str">
        <f>$C$127</f>
        <v>An i</v>
      </c>
      <c r="P192" s="527" t="str">
        <f>$D$185</f>
        <v>cpML i</v>
      </c>
      <c r="Q192" s="432" t="str">
        <f>$E$185</f>
        <v>mL i</v>
      </c>
    </row>
    <row r="193" spans="2:17" ht="15" customHeight="1" x14ac:dyDescent="0.25">
      <c r="B193" s="433" t="str">
        <f>$B$128</f>
        <v>i = a</v>
      </c>
      <c r="C193" s="442">
        <v>1</v>
      </c>
      <c r="D193" s="528">
        <v>-0.67</v>
      </c>
      <c r="E193" s="535">
        <v>354</v>
      </c>
      <c r="F193" s="442">
        <v>1</v>
      </c>
      <c r="G193" s="528">
        <v>-1.1299999999999999</v>
      </c>
      <c r="H193" s="535">
        <v>616</v>
      </c>
      <c r="I193" s="442">
        <v>1</v>
      </c>
      <c r="J193" s="528">
        <v>-0.4</v>
      </c>
      <c r="K193" s="535">
        <v>194</v>
      </c>
      <c r="L193" s="442">
        <v>1</v>
      </c>
      <c r="M193" s="528">
        <v>-0.55000000000000004</v>
      </c>
      <c r="N193" s="535">
        <v>278</v>
      </c>
      <c r="O193" s="442">
        <v>1</v>
      </c>
      <c r="P193" s="528">
        <v>-0.56999999999999995</v>
      </c>
      <c r="Q193" s="535">
        <v>288</v>
      </c>
    </row>
    <row r="194" spans="2:17" ht="15" customHeight="1" x14ac:dyDescent="0.25">
      <c r="B194" s="434" t="str">
        <f>$B$129</f>
        <v>i = b</v>
      </c>
      <c r="C194" s="443">
        <v>13</v>
      </c>
      <c r="D194" s="529">
        <v>-0.42</v>
      </c>
      <c r="E194" s="536">
        <v>215</v>
      </c>
      <c r="F194" s="443">
        <v>98</v>
      </c>
      <c r="G194" s="529">
        <v>-0.31</v>
      </c>
      <c r="H194" s="536">
        <v>140</v>
      </c>
      <c r="I194" s="443">
        <v>9</v>
      </c>
      <c r="J194" s="529">
        <v>-0.3</v>
      </c>
      <c r="K194" s="536">
        <v>130</v>
      </c>
      <c r="L194" s="443">
        <v>32</v>
      </c>
      <c r="M194" s="529">
        <v>-0.25</v>
      </c>
      <c r="N194" s="536">
        <v>102</v>
      </c>
      <c r="O194" s="443">
        <v>24</v>
      </c>
      <c r="P194" s="529">
        <v>-0.27</v>
      </c>
      <c r="Q194" s="536">
        <v>114</v>
      </c>
    </row>
    <row r="195" spans="2:17" ht="15" customHeight="1" x14ac:dyDescent="0.25">
      <c r="B195" s="434" t="str">
        <f>$B$130</f>
        <v>i = c</v>
      </c>
      <c r="C195" s="443">
        <v>56</v>
      </c>
      <c r="D195" s="529">
        <v>-0.24</v>
      </c>
      <c r="E195" s="536">
        <v>107</v>
      </c>
      <c r="F195" s="443">
        <v>121</v>
      </c>
      <c r="G195" s="529">
        <v>-0.28999999999999998</v>
      </c>
      <c r="H195" s="536">
        <v>126</v>
      </c>
      <c r="I195" s="443">
        <v>81</v>
      </c>
      <c r="J195" s="529">
        <v>-0.18</v>
      </c>
      <c r="K195" s="536">
        <v>62</v>
      </c>
      <c r="L195" s="443">
        <v>72</v>
      </c>
      <c r="M195" s="529">
        <v>-0.19</v>
      </c>
      <c r="N195" s="536">
        <v>72</v>
      </c>
      <c r="O195" s="443">
        <v>55</v>
      </c>
      <c r="P195" s="529">
        <v>-0.21</v>
      </c>
      <c r="Q195" s="536">
        <v>78</v>
      </c>
    </row>
    <row r="196" spans="2:17" ht="15" customHeight="1" x14ac:dyDescent="0.25">
      <c r="B196" s="434" t="str">
        <f>$B$131</f>
        <v>i = d</v>
      </c>
      <c r="C196" s="443">
        <v>164</v>
      </c>
      <c r="D196" s="529">
        <v>-0.15</v>
      </c>
      <c r="E196" s="536">
        <v>49</v>
      </c>
      <c r="F196" s="443">
        <v>500</v>
      </c>
      <c r="G196" s="529">
        <v>-0.17</v>
      </c>
      <c r="H196" s="536">
        <v>55</v>
      </c>
      <c r="I196" s="443">
        <v>700</v>
      </c>
      <c r="J196" s="529">
        <v>-0.12</v>
      </c>
      <c r="K196" s="536">
        <v>31</v>
      </c>
      <c r="L196" s="443">
        <v>500</v>
      </c>
      <c r="M196" s="529">
        <v>-0.13</v>
      </c>
      <c r="N196" s="536">
        <v>31</v>
      </c>
      <c r="O196" s="443">
        <v>400</v>
      </c>
      <c r="P196" s="529">
        <v>-0.12</v>
      </c>
      <c r="Q196" s="536">
        <v>31</v>
      </c>
    </row>
    <row r="197" spans="2:17" ht="15" customHeight="1" thickBot="1" x14ac:dyDescent="0.3">
      <c r="B197" s="435" t="str">
        <f>$B$132</f>
        <v>i = e</v>
      </c>
      <c r="C197" s="444">
        <v>10000</v>
      </c>
      <c r="D197" s="530">
        <v>-0.15</v>
      </c>
      <c r="E197" s="537">
        <v>49</v>
      </c>
      <c r="F197" s="444">
        <v>10000</v>
      </c>
      <c r="G197" s="530">
        <v>-0.17</v>
      </c>
      <c r="H197" s="537">
        <v>55</v>
      </c>
      <c r="I197" s="444">
        <v>10000</v>
      </c>
      <c r="J197" s="530">
        <v>-0.12</v>
      </c>
      <c r="K197" s="537">
        <v>31</v>
      </c>
      <c r="L197" s="444">
        <v>10000</v>
      </c>
      <c r="M197" s="530">
        <v>-0.13</v>
      </c>
      <c r="N197" s="537">
        <v>31</v>
      </c>
      <c r="O197" s="444">
        <v>10000</v>
      </c>
      <c r="P197" s="530">
        <v>-0.12</v>
      </c>
      <c r="Q197" s="537">
        <v>31</v>
      </c>
    </row>
    <row r="198" spans="2:17" ht="30" customHeight="1" x14ac:dyDescent="0.25">
      <c r="B198" s="429"/>
      <c r="C198" s="1725" t="str">
        <f>$C$140</f>
        <v>Inner rows, 2nd to 4th row from north -
1st-10th module</v>
      </c>
      <c r="D198" s="1726"/>
      <c r="E198" s="1727"/>
      <c r="F198" s="1725" t="str">
        <f>$C$140</f>
        <v>Inner rows, 2nd to 4th row from north -
1st-10th module</v>
      </c>
      <c r="G198" s="1726"/>
      <c r="H198" s="1727"/>
      <c r="I198" s="1725" t="str">
        <f>$C$140</f>
        <v>Inner rows, 2nd to 4th row from north -
1st-10th module</v>
      </c>
      <c r="J198" s="1726"/>
      <c r="K198" s="1727"/>
      <c r="L198" s="1725" t="str">
        <f>$C$140</f>
        <v>Inner rows, 2nd to 4th row from north -
1st-10th module</v>
      </c>
      <c r="M198" s="1726"/>
      <c r="N198" s="1727"/>
      <c r="O198" s="1725" t="str">
        <f>$C$140</f>
        <v>Inner rows, 2nd to 4th row from north -
1st-10th module</v>
      </c>
      <c r="P198" s="1726"/>
      <c r="Q198" s="1727"/>
    </row>
    <row r="199" spans="2:17" ht="15" customHeight="1" thickBot="1" x14ac:dyDescent="0.3">
      <c r="B199" s="430"/>
      <c r="C199" s="431" t="str">
        <f>$C$127</f>
        <v>An i</v>
      </c>
      <c r="D199" s="527" t="str">
        <f>$D$185</f>
        <v>cpML i</v>
      </c>
      <c r="E199" s="432" t="str">
        <f>$E$185</f>
        <v>mL i</v>
      </c>
      <c r="F199" s="431" t="str">
        <f>$C$127</f>
        <v>An i</v>
      </c>
      <c r="G199" s="527" t="str">
        <f>$D$185</f>
        <v>cpML i</v>
      </c>
      <c r="H199" s="432" t="str">
        <f>$E$185</f>
        <v>mL i</v>
      </c>
      <c r="I199" s="431" t="str">
        <f>$C$127</f>
        <v>An i</v>
      </c>
      <c r="J199" s="527" t="str">
        <f>$D$185</f>
        <v>cpML i</v>
      </c>
      <c r="K199" s="432" t="str">
        <f>$E$185</f>
        <v>mL i</v>
      </c>
      <c r="L199" s="431" t="str">
        <f>$C$127</f>
        <v>An i</v>
      </c>
      <c r="M199" s="527" t="str">
        <f>$D$185</f>
        <v>cpML i</v>
      </c>
      <c r="N199" s="432" t="str">
        <f>$E$185</f>
        <v>mL i</v>
      </c>
      <c r="O199" s="431" t="str">
        <f>$C$127</f>
        <v>An i</v>
      </c>
      <c r="P199" s="527" t="str">
        <f>$D$185</f>
        <v>cpML i</v>
      </c>
      <c r="Q199" s="432" t="str">
        <f>$E$185</f>
        <v>mL i</v>
      </c>
    </row>
    <row r="200" spans="2:17" ht="15" customHeight="1" x14ac:dyDescent="0.25">
      <c r="B200" s="433" t="str">
        <f>$B$128</f>
        <v>i = a</v>
      </c>
      <c r="C200" s="442">
        <v>1</v>
      </c>
      <c r="D200" s="528">
        <v>-0.94</v>
      </c>
      <c r="E200" s="535">
        <v>510</v>
      </c>
      <c r="F200" s="442">
        <v>1</v>
      </c>
      <c r="G200" s="528">
        <v>-0.56999999999999995</v>
      </c>
      <c r="H200" s="535">
        <v>296</v>
      </c>
      <c r="I200" s="442">
        <v>1</v>
      </c>
      <c r="J200" s="528">
        <v>-0.53</v>
      </c>
      <c r="K200" s="535">
        <v>285</v>
      </c>
      <c r="L200" s="442">
        <v>1</v>
      </c>
      <c r="M200" s="528">
        <v>-0.46</v>
      </c>
      <c r="N200" s="535">
        <v>232</v>
      </c>
      <c r="O200" s="442">
        <v>1</v>
      </c>
      <c r="P200" s="528">
        <v>-0.34</v>
      </c>
      <c r="Q200" s="535">
        <v>160</v>
      </c>
    </row>
    <row r="201" spans="2:17" ht="15" customHeight="1" x14ac:dyDescent="0.25">
      <c r="B201" s="434" t="str">
        <f>$B$129</f>
        <v>i = b</v>
      </c>
      <c r="C201" s="443">
        <v>13</v>
      </c>
      <c r="D201" s="529">
        <v>-0.56000000000000005</v>
      </c>
      <c r="E201" s="536">
        <v>284</v>
      </c>
      <c r="F201" s="443">
        <v>13</v>
      </c>
      <c r="G201" s="529">
        <v>-0.35</v>
      </c>
      <c r="H201" s="536">
        <v>158</v>
      </c>
      <c r="I201" s="443">
        <v>18</v>
      </c>
      <c r="J201" s="529">
        <v>-0.27</v>
      </c>
      <c r="K201" s="536">
        <v>120</v>
      </c>
      <c r="L201" s="443">
        <v>25</v>
      </c>
      <c r="M201" s="529">
        <v>-0.23</v>
      </c>
      <c r="N201" s="536">
        <v>90</v>
      </c>
      <c r="O201" s="443">
        <v>13</v>
      </c>
      <c r="P201" s="529">
        <v>-0.27</v>
      </c>
      <c r="Q201" s="536">
        <v>120</v>
      </c>
    </row>
    <row r="202" spans="2:17" ht="15" customHeight="1" x14ac:dyDescent="0.25">
      <c r="B202" s="434" t="str">
        <f>$B$130</f>
        <v>i = c</v>
      </c>
      <c r="C202" s="443">
        <v>69</v>
      </c>
      <c r="D202" s="529">
        <v>-0.28000000000000003</v>
      </c>
      <c r="E202" s="536">
        <v>120</v>
      </c>
      <c r="F202" s="443">
        <v>204</v>
      </c>
      <c r="G202" s="529">
        <v>-0.24</v>
      </c>
      <c r="H202" s="536">
        <v>100</v>
      </c>
      <c r="I202" s="443">
        <v>99</v>
      </c>
      <c r="J202" s="529">
        <v>-0.2</v>
      </c>
      <c r="K202" s="536">
        <v>80</v>
      </c>
      <c r="L202" s="443">
        <v>123</v>
      </c>
      <c r="M202" s="529">
        <v>-0.19</v>
      </c>
      <c r="N202" s="536">
        <v>69</v>
      </c>
      <c r="O202" s="443">
        <v>13</v>
      </c>
      <c r="P202" s="529">
        <v>-0.27</v>
      </c>
      <c r="Q202" s="536">
        <v>120</v>
      </c>
    </row>
    <row r="203" spans="2:17" ht="15" customHeight="1" x14ac:dyDescent="0.25">
      <c r="B203" s="434" t="str">
        <f>$B$131</f>
        <v>i = d</v>
      </c>
      <c r="C203" s="443">
        <v>900</v>
      </c>
      <c r="D203" s="529">
        <v>-0.15</v>
      </c>
      <c r="E203" s="536">
        <v>49</v>
      </c>
      <c r="F203" s="443">
        <v>800</v>
      </c>
      <c r="G203" s="529">
        <v>-0.17</v>
      </c>
      <c r="H203" s="536">
        <v>55</v>
      </c>
      <c r="I203" s="443">
        <v>700</v>
      </c>
      <c r="J203" s="529">
        <v>-0.12</v>
      </c>
      <c r="K203" s="536">
        <v>31</v>
      </c>
      <c r="L203" s="443">
        <v>500</v>
      </c>
      <c r="M203" s="529">
        <v>-0.13</v>
      </c>
      <c r="N203" s="536">
        <v>31</v>
      </c>
      <c r="O203" s="443">
        <v>400</v>
      </c>
      <c r="P203" s="529">
        <v>-0.12</v>
      </c>
      <c r="Q203" s="536">
        <v>31</v>
      </c>
    </row>
    <row r="204" spans="2:17" ht="15" customHeight="1" thickBot="1" x14ac:dyDescent="0.3">
      <c r="B204" s="435" t="str">
        <f>$B$132</f>
        <v>i = e</v>
      </c>
      <c r="C204" s="444">
        <v>10000</v>
      </c>
      <c r="D204" s="530">
        <v>-0.15</v>
      </c>
      <c r="E204" s="537">
        <v>49</v>
      </c>
      <c r="F204" s="444">
        <v>10000</v>
      </c>
      <c r="G204" s="530">
        <v>-0.17</v>
      </c>
      <c r="H204" s="537">
        <v>55</v>
      </c>
      <c r="I204" s="444">
        <v>10000</v>
      </c>
      <c r="J204" s="530">
        <v>-0.12</v>
      </c>
      <c r="K204" s="537">
        <v>31</v>
      </c>
      <c r="L204" s="444">
        <v>10000</v>
      </c>
      <c r="M204" s="530">
        <v>-0.13</v>
      </c>
      <c r="N204" s="537">
        <v>31</v>
      </c>
      <c r="O204" s="444">
        <v>10000</v>
      </c>
      <c r="P204" s="530">
        <v>-0.12</v>
      </c>
      <c r="Q204" s="537">
        <v>31</v>
      </c>
    </row>
    <row r="205" spans="2:17" ht="30" customHeight="1" x14ac:dyDescent="0.25">
      <c r="B205" s="429"/>
      <c r="C205" s="1725" t="str">
        <f>$C$147</f>
        <v>Inner rows, 2nd to 4th row from north -
Interior modules</v>
      </c>
      <c r="D205" s="1726"/>
      <c r="E205" s="1727"/>
      <c r="F205" s="1725" t="str">
        <f>$C$147</f>
        <v>Inner rows, 2nd to 4th row from north -
Interior modules</v>
      </c>
      <c r="G205" s="1726"/>
      <c r="H205" s="1727"/>
      <c r="I205" s="1725" t="str">
        <f>$C$147</f>
        <v>Inner rows, 2nd to 4th row from north -
Interior modules</v>
      </c>
      <c r="J205" s="1726"/>
      <c r="K205" s="1727"/>
      <c r="L205" s="1725" t="str">
        <f>$C$147</f>
        <v>Inner rows, 2nd to 4th row from north -
Interior modules</v>
      </c>
      <c r="M205" s="1726"/>
      <c r="N205" s="1727"/>
      <c r="O205" s="1725" t="str">
        <f>$C$147</f>
        <v>Inner rows, 2nd to 4th row from north -
Interior modules</v>
      </c>
      <c r="P205" s="1726"/>
      <c r="Q205" s="1727"/>
    </row>
    <row r="206" spans="2:17" ht="15" customHeight="1" thickBot="1" x14ac:dyDescent="0.3">
      <c r="B206" s="430"/>
      <c r="C206" s="431" t="str">
        <f>$C$127</f>
        <v>An i</v>
      </c>
      <c r="D206" s="527" t="str">
        <f>$D$185</f>
        <v>cpML i</v>
      </c>
      <c r="E206" s="432" t="str">
        <f>$E$185</f>
        <v>mL i</v>
      </c>
      <c r="F206" s="431" t="str">
        <f>$C$127</f>
        <v>An i</v>
      </c>
      <c r="G206" s="527" t="str">
        <f>$D$185</f>
        <v>cpML i</v>
      </c>
      <c r="H206" s="432" t="str">
        <f>$E$185</f>
        <v>mL i</v>
      </c>
      <c r="I206" s="431" t="str">
        <f>$C$127</f>
        <v>An i</v>
      </c>
      <c r="J206" s="527" t="str">
        <f>$D$185</f>
        <v>cpML i</v>
      </c>
      <c r="K206" s="432" t="str">
        <f>$E$185</f>
        <v>mL i</v>
      </c>
      <c r="L206" s="431" t="str">
        <f>$C$127</f>
        <v>An i</v>
      </c>
      <c r="M206" s="527" t="str">
        <f>$D$185</f>
        <v>cpML i</v>
      </c>
      <c r="N206" s="432" t="str">
        <f>$E$185</f>
        <v>mL i</v>
      </c>
      <c r="O206" s="431" t="str">
        <f>$C$127</f>
        <v>An i</v>
      </c>
      <c r="P206" s="527" t="str">
        <f>$D$185</f>
        <v>cpML i</v>
      </c>
      <c r="Q206" s="432" t="str">
        <f>$E$185</f>
        <v>mL i</v>
      </c>
    </row>
    <row r="207" spans="2:17" ht="15" customHeight="1" x14ac:dyDescent="0.25">
      <c r="B207" s="433" t="str">
        <f>$B$128</f>
        <v>i = a</v>
      </c>
      <c r="C207" s="442">
        <v>1</v>
      </c>
      <c r="D207" s="528">
        <v>-0.99</v>
      </c>
      <c r="E207" s="535">
        <v>570</v>
      </c>
      <c r="F207" s="442">
        <v>1</v>
      </c>
      <c r="G207" s="528">
        <v>-0.56000000000000005</v>
      </c>
      <c r="H207" s="535">
        <v>300</v>
      </c>
      <c r="I207" s="442">
        <v>1</v>
      </c>
      <c r="J207" s="528">
        <v>-0.55000000000000004</v>
      </c>
      <c r="K207" s="535">
        <v>278</v>
      </c>
      <c r="L207" s="442">
        <v>1</v>
      </c>
      <c r="M207" s="528">
        <v>-0.31</v>
      </c>
      <c r="N207" s="535">
        <v>150</v>
      </c>
      <c r="O207" s="442">
        <v>1</v>
      </c>
      <c r="P207" s="528">
        <v>-0.25</v>
      </c>
      <c r="Q207" s="535">
        <v>104</v>
      </c>
    </row>
    <row r="208" spans="2:17" ht="15" customHeight="1" x14ac:dyDescent="0.25">
      <c r="B208" s="434" t="str">
        <f>$B$129</f>
        <v>i = b</v>
      </c>
      <c r="C208" s="443">
        <v>17</v>
      </c>
      <c r="D208" s="529">
        <v>-0.42</v>
      </c>
      <c r="E208" s="536">
        <v>210</v>
      </c>
      <c r="F208" s="443">
        <v>12</v>
      </c>
      <c r="G208" s="529">
        <v>-0.33</v>
      </c>
      <c r="H208" s="536">
        <v>153</v>
      </c>
      <c r="I208" s="443">
        <v>36</v>
      </c>
      <c r="J208" s="529">
        <v>-0.16</v>
      </c>
      <c r="K208" s="536">
        <v>49</v>
      </c>
      <c r="L208" s="443">
        <v>16</v>
      </c>
      <c r="M208" s="529">
        <v>-0.2</v>
      </c>
      <c r="N208" s="536">
        <v>75</v>
      </c>
      <c r="O208" s="443">
        <v>100</v>
      </c>
      <c r="P208" s="529">
        <v>-0.17</v>
      </c>
      <c r="Q208" s="536">
        <v>55</v>
      </c>
    </row>
    <row r="209" spans="2:17" ht="15" customHeight="1" x14ac:dyDescent="0.25">
      <c r="B209" s="434" t="str">
        <f>$B$130</f>
        <v>i = c</v>
      </c>
      <c r="C209" s="443">
        <v>68</v>
      </c>
      <c r="D209" s="529">
        <v>-0.22</v>
      </c>
      <c r="E209" s="536">
        <v>96</v>
      </c>
      <c r="F209" s="443">
        <v>130</v>
      </c>
      <c r="G209" s="529">
        <v>-0.25</v>
      </c>
      <c r="H209" s="536">
        <v>102</v>
      </c>
      <c r="I209" s="443">
        <v>255</v>
      </c>
      <c r="J209" s="529">
        <v>-0.15</v>
      </c>
      <c r="K209" s="536">
        <v>43</v>
      </c>
      <c r="L209" s="443">
        <v>72</v>
      </c>
      <c r="M209" s="529">
        <v>-0.16</v>
      </c>
      <c r="N209" s="536">
        <v>52</v>
      </c>
      <c r="O209" s="443">
        <v>100</v>
      </c>
      <c r="P209" s="529">
        <v>-0.17</v>
      </c>
      <c r="Q209" s="536">
        <v>55</v>
      </c>
    </row>
    <row r="210" spans="2:17" ht="15" customHeight="1" x14ac:dyDescent="0.25">
      <c r="B210" s="434" t="str">
        <f>$B$131</f>
        <v>i = d</v>
      </c>
      <c r="C210" s="443">
        <v>246</v>
      </c>
      <c r="D210" s="529">
        <v>-0.15</v>
      </c>
      <c r="E210" s="536">
        <v>49</v>
      </c>
      <c r="F210" s="443">
        <v>800</v>
      </c>
      <c r="G210" s="529">
        <v>-0.17</v>
      </c>
      <c r="H210" s="536">
        <v>55</v>
      </c>
      <c r="I210" s="443">
        <v>700</v>
      </c>
      <c r="J210" s="529">
        <v>-0.12</v>
      </c>
      <c r="K210" s="536">
        <v>31</v>
      </c>
      <c r="L210" s="443">
        <v>500</v>
      </c>
      <c r="M210" s="529">
        <v>-0.13</v>
      </c>
      <c r="N210" s="536">
        <v>31</v>
      </c>
      <c r="O210" s="443">
        <v>400</v>
      </c>
      <c r="P210" s="529">
        <v>-0.12</v>
      </c>
      <c r="Q210" s="536">
        <v>31</v>
      </c>
    </row>
    <row r="211" spans="2:17" ht="15" customHeight="1" thickBot="1" x14ac:dyDescent="0.3">
      <c r="B211" s="435" t="str">
        <f>$B$132</f>
        <v>i = e</v>
      </c>
      <c r="C211" s="444">
        <v>10000</v>
      </c>
      <c r="D211" s="530">
        <v>-0.15</v>
      </c>
      <c r="E211" s="537">
        <v>49</v>
      </c>
      <c r="F211" s="444">
        <v>10000</v>
      </c>
      <c r="G211" s="530">
        <v>-0.17</v>
      </c>
      <c r="H211" s="537">
        <v>55</v>
      </c>
      <c r="I211" s="444">
        <v>10000</v>
      </c>
      <c r="J211" s="530">
        <v>-0.12</v>
      </c>
      <c r="K211" s="537">
        <v>31</v>
      </c>
      <c r="L211" s="444">
        <v>10000</v>
      </c>
      <c r="M211" s="530">
        <v>-0.13</v>
      </c>
      <c r="N211" s="537">
        <v>31</v>
      </c>
      <c r="O211" s="444">
        <v>10000</v>
      </c>
      <c r="P211" s="530">
        <v>-0.12</v>
      </c>
      <c r="Q211" s="537">
        <v>31</v>
      </c>
    </row>
    <row r="212" spans="2:17" ht="30" customHeight="1" x14ac:dyDescent="0.25">
      <c r="B212" s="429"/>
      <c r="C212" s="1725" t="str">
        <f>$C$154</f>
        <v>Inner rows, from 5th row from north -
1st-10th module</v>
      </c>
      <c r="D212" s="1726"/>
      <c r="E212" s="1727"/>
      <c r="F212" s="1725" t="str">
        <f>$C$154</f>
        <v>Inner rows, from 5th row from north -
1st-10th module</v>
      </c>
      <c r="G212" s="1726"/>
      <c r="H212" s="1727"/>
      <c r="I212" s="1725" t="str">
        <f>$C$154</f>
        <v>Inner rows, from 5th row from north -
1st-10th module</v>
      </c>
      <c r="J212" s="1726"/>
      <c r="K212" s="1727"/>
      <c r="L212" s="1725" t="str">
        <f>$C$154</f>
        <v>Inner rows, from 5th row from north -
1st-10th module</v>
      </c>
      <c r="M212" s="1726"/>
      <c r="N212" s="1727"/>
      <c r="O212" s="1725" t="str">
        <f>$C$154</f>
        <v>Inner rows, from 5th row from north -
1st-10th module</v>
      </c>
      <c r="P212" s="1726"/>
      <c r="Q212" s="1727"/>
    </row>
    <row r="213" spans="2:17" ht="15" customHeight="1" thickBot="1" x14ac:dyDescent="0.3">
      <c r="B213" s="430"/>
      <c r="C213" s="431" t="str">
        <f>$C$127</f>
        <v>An i</v>
      </c>
      <c r="D213" s="527" t="str">
        <f>$D$185</f>
        <v>cpML i</v>
      </c>
      <c r="E213" s="432" t="str">
        <f>$E$185</f>
        <v>mL i</v>
      </c>
      <c r="F213" s="431" t="str">
        <f>$C$127</f>
        <v>An i</v>
      </c>
      <c r="G213" s="527" t="str">
        <f>$D$185</f>
        <v>cpML i</v>
      </c>
      <c r="H213" s="432" t="str">
        <f>$E$185</f>
        <v>mL i</v>
      </c>
      <c r="I213" s="431" t="str">
        <f>$C$127</f>
        <v>An i</v>
      </c>
      <c r="J213" s="527" t="str">
        <f>$D$185</f>
        <v>cpML i</v>
      </c>
      <c r="K213" s="432" t="str">
        <f>$E$185</f>
        <v>mL i</v>
      </c>
      <c r="L213" s="431" t="str">
        <f>$C$127</f>
        <v>An i</v>
      </c>
      <c r="M213" s="527" t="str">
        <f>$D$185</f>
        <v>cpML i</v>
      </c>
      <c r="N213" s="432" t="str">
        <f>$E$185</f>
        <v>mL i</v>
      </c>
      <c r="O213" s="431" t="str">
        <f>$C$127</f>
        <v>An i</v>
      </c>
      <c r="P213" s="527" t="str">
        <f>$D$185</f>
        <v>cpML i</v>
      </c>
      <c r="Q213" s="432" t="str">
        <f>$E$185</f>
        <v>mL i</v>
      </c>
    </row>
    <row r="214" spans="2:17" ht="15" customHeight="1" x14ac:dyDescent="0.25">
      <c r="B214" s="433" t="str">
        <f>$B$128</f>
        <v>i = a</v>
      </c>
      <c r="C214" s="442">
        <v>1</v>
      </c>
      <c r="D214" s="528">
        <v>-0.79</v>
      </c>
      <c r="E214" s="535">
        <v>420</v>
      </c>
      <c r="F214" s="442">
        <v>1</v>
      </c>
      <c r="G214" s="528">
        <v>-0.31</v>
      </c>
      <c r="H214" s="535">
        <v>136</v>
      </c>
      <c r="I214" s="442">
        <v>1</v>
      </c>
      <c r="J214" s="528">
        <v>-0.3</v>
      </c>
      <c r="K214" s="535">
        <v>129</v>
      </c>
      <c r="L214" s="442">
        <v>1</v>
      </c>
      <c r="M214" s="528">
        <v>-0.35</v>
      </c>
      <c r="N214" s="535">
        <v>172</v>
      </c>
      <c r="O214" s="442">
        <v>1</v>
      </c>
      <c r="P214" s="528">
        <v>-0.33</v>
      </c>
      <c r="Q214" s="535">
        <v>162</v>
      </c>
    </row>
    <row r="215" spans="2:17" ht="15" customHeight="1" x14ac:dyDescent="0.25">
      <c r="B215" s="434" t="str">
        <f>$B$129</f>
        <v>i = b</v>
      </c>
      <c r="C215" s="443">
        <v>13</v>
      </c>
      <c r="D215" s="529">
        <v>-0.6</v>
      </c>
      <c r="E215" s="536">
        <v>311</v>
      </c>
      <c r="F215" s="443">
        <v>11</v>
      </c>
      <c r="G215" s="529">
        <v>-0.31</v>
      </c>
      <c r="H215" s="536">
        <v>136</v>
      </c>
      <c r="I215" s="443">
        <v>18</v>
      </c>
      <c r="J215" s="529">
        <v>-0.27</v>
      </c>
      <c r="K215" s="536">
        <v>114</v>
      </c>
      <c r="L215" s="443">
        <v>12</v>
      </c>
      <c r="M215" s="529">
        <v>-0.25</v>
      </c>
      <c r="N215" s="536">
        <v>104</v>
      </c>
      <c r="O215" s="443">
        <v>15</v>
      </c>
      <c r="P215" s="529">
        <v>-0.26</v>
      </c>
      <c r="Q215" s="536">
        <v>115</v>
      </c>
    </row>
    <row r="216" spans="2:17" ht="15" customHeight="1" x14ac:dyDescent="0.25">
      <c r="B216" s="434" t="str">
        <f>$B$130</f>
        <v>i = c</v>
      </c>
      <c r="C216" s="443">
        <v>55</v>
      </c>
      <c r="D216" s="529">
        <v>-0.31</v>
      </c>
      <c r="E216" s="536">
        <v>136</v>
      </c>
      <c r="F216" s="443">
        <v>99</v>
      </c>
      <c r="G216" s="529">
        <v>-0.23</v>
      </c>
      <c r="H216" s="536">
        <v>89</v>
      </c>
      <c r="I216" s="443">
        <v>81</v>
      </c>
      <c r="J216" s="529">
        <v>-0.16</v>
      </c>
      <c r="K216" s="536">
        <v>55</v>
      </c>
      <c r="L216" s="443">
        <v>56</v>
      </c>
      <c r="M216" s="529">
        <v>-0.18</v>
      </c>
      <c r="N216" s="536">
        <v>61</v>
      </c>
      <c r="O216" s="443">
        <v>15</v>
      </c>
      <c r="P216" s="529">
        <v>-0.26</v>
      </c>
      <c r="Q216" s="536">
        <v>115</v>
      </c>
    </row>
    <row r="217" spans="2:17" ht="15" customHeight="1" x14ac:dyDescent="0.25">
      <c r="B217" s="434" t="str">
        <f>$B$131</f>
        <v>i = d</v>
      </c>
      <c r="C217" s="443">
        <v>500</v>
      </c>
      <c r="D217" s="529">
        <v>-0.15</v>
      </c>
      <c r="E217" s="536">
        <v>49</v>
      </c>
      <c r="F217" s="443">
        <v>600</v>
      </c>
      <c r="G217" s="529">
        <v>-0.17</v>
      </c>
      <c r="H217" s="536">
        <v>55</v>
      </c>
      <c r="I217" s="443">
        <v>700</v>
      </c>
      <c r="J217" s="529">
        <v>-0.12</v>
      </c>
      <c r="K217" s="536">
        <v>31</v>
      </c>
      <c r="L217" s="443">
        <v>500</v>
      </c>
      <c r="M217" s="529">
        <v>-0.13</v>
      </c>
      <c r="N217" s="536">
        <v>31</v>
      </c>
      <c r="O217" s="443">
        <v>35</v>
      </c>
      <c r="P217" s="529">
        <v>-0.12</v>
      </c>
      <c r="Q217" s="536">
        <v>31</v>
      </c>
    </row>
    <row r="218" spans="2:17" ht="15" customHeight="1" thickBot="1" x14ac:dyDescent="0.3">
      <c r="B218" s="435" t="str">
        <f>$B$132</f>
        <v>i = e</v>
      </c>
      <c r="C218" s="444">
        <v>10000</v>
      </c>
      <c r="D218" s="530">
        <v>-0.15</v>
      </c>
      <c r="E218" s="537">
        <v>49</v>
      </c>
      <c r="F218" s="444">
        <v>10000</v>
      </c>
      <c r="G218" s="530">
        <v>-0.17</v>
      </c>
      <c r="H218" s="537">
        <v>55</v>
      </c>
      <c r="I218" s="444">
        <v>10000</v>
      </c>
      <c r="J218" s="530">
        <v>-0.12</v>
      </c>
      <c r="K218" s="537">
        <v>31</v>
      </c>
      <c r="L218" s="444">
        <v>10000</v>
      </c>
      <c r="M218" s="530">
        <v>-0.13</v>
      </c>
      <c r="N218" s="537">
        <v>31</v>
      </c>
      <c r="O218" s="444">
        <v>10000</v>
      </c>
      <c r="P218" s="530">
        <v>-0.12</v>
      </c>
      <c r="Q218" s="537">
        <v>31</v>
      </c>
    </row>
    <row r="219" spans="2:17" ht="30" customHeight="1" x14ac:dyDescent="0.25">
      <c r="B219" s="429"/>
      <c r="C219" s="1725" t="str">
        <f>$C$161</f>
        <v>Inner rows, from 5th row from north -
Interior modules</v>
      </c>
      <c r="D219" s="1726"/>
      <c r="E219" s="1727"/>
      <c r="F219" s="1725" t="str">
        <f>$C$161</f>
        <v>Inner rows, from 5th row from north -
Interior modules</v>
      </c>
      <c r="G219" s="1726"/>
      <c r="H219" s="1727"/>
      <c r="I219" s="1725" t="str">
        <f>$C$161</f>
        <v>Inner rows, from 5th row from north -
Interior modules</v>
      </c>
      <c r="J219" s="1726"/>
      <c r="K219" s="1727"/>
      <c r="L219" s="1725" t="str">
        <f>$C$161</f>
        <v>Inner rows, from 5th row from north -
Interior modules</v>
      </c>
      <c r="M219" s="1726"/>
      <c r="N219" s="1727"/>
      <c r="O219" s="1725" t="str">
        <f>$C$161</f>
        <v>Inner rows, from 5th row from north -
Interior modules</v>
      </c>
      <c r="P219" s="1726"/>
      <c r="Q219" s="1727"/>
    </row>
    <row r="220" spans="2:17" ht="15" customHeight="1" thickBot="1" x14ac:dyDescent="0.3">
      <c r="B220" s="430"/>
      <c r="C220" s="431" t="str">
        <f>$C$127</f>
        <v>An i</v>
      </c>
      <c r="D220" s="527" t="str">
        <f>$D$185</f>
        <v>cpML i</v>
      </c>
      <c r="E220" s="432" t="str">
        <f>$E$185</f>
        <v>mL i</v>
      </c>
      <c r="F220" s="431" t="str">
        <f>$C$127</f>
        <v>An i</v>
      </c>
      <c r="G220" s="527" t="str">
        <f>$D$185</f>
        <v>cpML i</v>
      </c>
      <c r="H220" s="432" t="str">
        <f>$E$185</f>
        <v>mL i</v>
      </c>
      <c r="I220" s="431" t="str">
        <f>$C$127</f>
        <v>An i</v>
      </c>
      <c r="J220" s="527" t="str">
        <f>$D$185</f>
        <v>cpML i</v>
      </c>
      <c r="K220" s="432" t="str">
        <f>$E$185</f>
        <v>mL i</v>
      </c>
      <c r="L220" s="431" t="str">
        <f>$C$127</f>
        <v>An i</v>
      </c>
      <c r="M220" s="527" t="str">
        <f>$D$185</f>
        <v>cpML i</v>
      </c>
      <c r="N220" s="432" t="str">
        <f>$E$185</f>
        <v>mL i</v>
      </c>
      <c r="O220" s="431" t="str">
        <f>$C$127</f>
        <v>An i</v>
      </c>
      <c r="P220" s="527" t="str">
        <f>$D$185</f>
        <v>cpML i</v>
      </c>
      <c r="Q220" s="432" t="str">
        <f>$E$185</f>
        <v>mL i</v>
      </c>
    </row>
    <row r="221" spans="2:17" ht="15" customHeight="1" x14ac:dyDescent="0.25">
      <c r="B221" s="433" t="str">
        <f>$B$128</f>
        <v>i = a</v>
      </c>
      <c r="C221" s="442">
        <v>1</v>
      </c>
      <c r="D221" s="528">
        <v>-0.66</v>
      </c>
      <c r="E221" s="535">
        <v>380</v>
      </c>
      <c r="F221" s="442">
        <v>1</v>
      </c>
      <c r="G221" s="528">
        <v>-0.3</v>
      </c>
      <c r="H221" s="535">
        <v>131</v>
      </c>
      <c r="I221" s="442">
        <v>1</v>
      </c>
      <c r="J221" s="528">
        <v>-0.28999999999999998</v>
      </c>
      <c r="K221" s="535">
        <v>133</v>
      </c>
      <c r="L221" s="442">
        <v>1</v>
      </c>
      <c r="M221" s="528">
        <v>-0.22</v>
      </c>
      <c r="N221" s="535">
        <v>98</v>
      </c>
      <c r="O221" s="442">
        <v>1</v>
      </c>
      <c r="P221" s="528">
        <v>-0.18</v>
      </c>
      <c r="Q221" s="535">
        <v>67</v>
      </c>
    </row>
    <row r="222" spans="2:17" ht="15" customHeight="1" x14ac:dyDescent="0.25">
      <c r="B222" s="434" t="str">
        <f>$B$129</f>
        <v>i = b</v>
      </c>
      <c r="C222" s="443">
        <v>19</v>
      </c>
      <c r="D222" s="529">
        <v>-0.26</v>
      </c>
      <c r="E222" s="536">
        <v>113</v>
      </c>
      <c r="F222" s="443">
        <v>13</v>
      </c>
      <c r="G222" s="529">
        <v>-0.3</v>
      </c>
      <c r="H222" s="536">
        <v>131</v>
      </c>
      <c r="I222" s="443">
        <v>36</v>
      </c>
      <c r="J222" s="529">
        <v>-0.16</v>
      </c>
      <c r="K222" s="536">
        <v>49</v>
      </c>
      <c r="L222" s="443">
        <v>12</v>
      </c>
      <c r="M222" s="529">
        <v>-0.16</v>
      </c>
      <c r="N222" s="536">
        <v>55</v>
      </c>
      <c r="O222" s="443">
        <v>12</v>
      </c>
      <c r="P222" s="529">
        <v>-0.18</v>
      </c>
      <c r="Q222" s="536">
        <v>67</v>
      </c>
    </row>
    <row r="223" spans="2:17" ht="15" customHeight="1" x14ac:dyDescent="0.25">
      <c r="B223" s="434" t="str">
        <f>$B$130</f>
        <v>i = c</v>
      </c>
      <c r="C223" s="443">
        <v>69</v>
      </c>
      <c r="D223" s="529">
        <v>-0.17</v>
      </c>
      <c r="E223" s="536">
        <v>55</v>
      </c>
      <c r="F223" s="443">
        <v>99</v>
      </c>
      <c r="G223" s="529">
        <v>-0.23</v>
      </c>
      <c r="H223" s="536">
        <v>89</v>
      </c>
      <c r="I223" s="443">
        <v>144</v>
      </c>
      <c r="J223" s="529">
        <v>-0.13</v>
      </c>
      <c r="K223" s="536">
        <v>31</v>
      </c>
      <c r="L223" s="443">
        <v>56</v>
      </c>
      <c r="M223" s="529">
        <v>-0.14000000000000001</v>
      </c>
      <c r="N223" s="536">
        <v>37</v>
      </c>
      <c r="O223" s="443">
        <v>16</v>
      </c>
      <c r="P223" s="529">
        <v>-0.16</v>
      </c>
      <c r="Q223" s="536">
        <v>55</v>
      </c>
    </row>
    <row r="224" spans="2:17" ht="15" customHeight="1" x14ac:dyDescent="0.25">
      <c r="B224" s="434" t="str">
        <f>$B$131</f>
        <v>i = d</v>
      </c>
      <c r="C224" s="443">
        <v>245</v>
      </c>
      <c r="D224" s="529">
        <v>-0.15</v>
      </c>
      <c r="E224" s="536">
        <v>49</v>
      </c>
      <c r="F224" s="443">
        <v>800</v>
      </c>
      <c r="G224" s="529">
        <v>-0.17</v>
      </c>
      <c r="H224" s="536">
        <v>55</v>
      </c>
      <c r="I224" s="443">
        <v>700</v>
      </c>
      <c r="J224" s="529">
        <v>-0.12</v>
      </c>
      <c r="K224" s="536">
        <v>31</v>
      </c>
      <c r="L224" s="443">
        <v>500</v>
      </c>
      <c r="M224" s="529">
        <v>-0.13</v>
      </c>
      <c r="N224" s="536">
        <v>31</v>
      </c>
      <c r="O224" s="443">
        <v>35</v>
      </c>
      <c r="P224" s="529">
        <v>-0.12</v>
      </c>
      <c r="Q224" s="536">
        <v>31</v>
      </c>
    </row>
    <row r="225" spans="2:17" ht="15" customHeight="1" thickBot="1" x14ac:dyDescent="0.3">
      <c r="B225" s="435" t="str">
        <f>$B$132</f>
        <v>i = e</v>
      </c>
      <c r="C225" s="444">
        <v>10000</v>
      </c>
      <c r="D225" s="530">
        <v>-0.15</v>
      </c>
      <c r="E225" s="537">
        <v>49</v>
      </c>
      <c r="F225" s="444">
        <v>10000</v>
      </c>
      <c r="G225" s="530">
        <v>-0.17</v>
      </c>
      <c r="H225" s="537">
        <v>55</v>
      </c>
      <c r="I225" s="444">
        <v>10000</v>
      </c>
      <c r="J225" s="530">
        <v>-0.12</v>
      </c>
      <c r="K225" s="537">
        <v>31</v>
      </c>
      <c r="L225" s="444">
        <v>10000</v>
      </c>
      <c r="M225" s="530">
        <v>-0.13</v>
      </c>
      <c r="N225" s="537">
        <v>31</v>
      </c>
      <c r="O225" s="444">
        <v>10000</v>
      </c>
      <c r="P225" s="530">
        <v>-0.12</v>
      </c>
      <c r="Q225" s="537">
        <v>31</v>
      </c>
    </row>
    <row r="226" spans="2:17" ht="15" customHeight="1" x14ac:dyDescent="0.25">
      <c r="B226" s="429"/>
      <c r="C226" s="1719" t="str">
        <f>$C$168</f>
        <v>South row - 1st-10th module</v>
      </c>
      <c r="D226" s="1720"/>
      <c r="E226" s="1721"/>
      <c r="F226" s="1719" t="str">
        <f>$C$168</f>
        <v>South row - 1st-10th module</v>
      </c>
      <c r="G226" s="1720"/>
      <c r="H226" s="1721"/>
      <c r="I226" s="1719" t="str">
        <f>$C$168</f>
        <v>South row - 1st-10th module</v>
      </c>
      <c r="J226" s="1720"/>
      <c r="K226" s="1721"/>
      <c r="L226" s="1719" t="str">
        <f>$C$168</f>
        <v>South row - 1st-10th module</v>
      </c>
      <c r="M226" s="1720"/>
      <c r="N226" s="1721"/>
      <c r="O226" s="1719" t="str">
        <f>$C$168</f>
        <v>South row - 1st-10th module</v>
      </c>
      <c r="P226" s="1720"/>
      <c r="Q226" s="1721"/>
    </row>
    <row r="227" spans="2:17" ht="15" customHeight="1" thickBot="1" x14ac:dyDescent="0.3">
      <c r="B227" s="430"/>
      <c r="C227" s="431" t="str">
        <f>$C$127</f>
        <v>An i</v>
      </c>
      <c r="D227" s="527" t="str">
        <f>$D$185</f>
        <v>cpML i</v>
      </c>
      <c r="E227" s="432" t="str">
        <f>$E$185</f>
        <v>mL i</v>
      </c>
      <c r="F227" s="431" t="str">
        <f>$C$127</f>
        <v>An i</v>
      </c>
      <c r="G227" s="527" t="str">
        <f>$D$185</f>
        <v>cpML i</v>
      </c>
      <c r="H227" s="432" t="str">
        <f>$E$185</f>
        <v>mL i</v>
      </c>
      <c r="I227" s="431" t="str">
        <f>$C$127</f>
        <v>An i</v>
      </c>
      <c r="J227" s="527" t="str">
        <f>$D$185</f>
        <v>cpML i</v>
      </c>
      <c r="K227" s="432" t="str">
        <f>$E$185</f>
        <v>mL i</v>
      </c>
      <c r="L227" s="431" t="str">
        <f>$C$127</f>
        <v>An i</v>
      </c>
      <c r="M227" s="527" t="str">
        <f>$D$185</f>
        <v>cpML i</v>
      </c>
      <c r="N227" s="432" t="str">
        <f>$E$185</f>
        <v>mL i</v>
      </c>
      <c r="O227" s="431" t="str">
        <f>$C$127</f>
        <v>An i</v>
      </c>
      <c r="P227" s="527" t="str">
        <f>$D$185</f>
        <v>cpML i</v>
      </c>
      <c r="Q227" s="432" t="str">
        <f>$E$185</f>
        <v>mL i</v>
      </c>
    </row>
    <row r="228" spans="2:17" ht="15" customHeight="1" x14ac:dyDescent="0.25">
      <c r="B228" s="433" t="str">
        <f>$B$128</f>
        <v>i = a</v>
      </c>
      <c r="C228" s="442">
        <v>1</v>
      </c>
      <c r="D228" s="528">
        <v>-1.02</v>
      </c>
      <c r="E228" s="535">
        <v>575</v>
      </c>
      <c r="F228" s="442">
        <v>1</v>
      </c>
      <c r="G228" s="528">
        <v>-0.45</v>
      </c>
      <c r="H228" s="535">
        <v>236</v>
      </c>
      <c r="I228" s="442">
        <v>1</v>
      </c>
      <c r="J228" s="528">
        <v>-0.48</v>
      </c>
      <c r="K228" s="535">
        <v>254</v>
      </c>
      <c r="L228" s="442">
        <v>1</v>
      </c>
      <c r="M228" s="528">
        <v>-0.4</v>
      </c>
      <c r="N228" s="535">
        <v>194</v>
      </c>
      <c r="O228" s="442">
        <v>1</v>
      </c>
      <c r="P228" s="528">
        <v>-0.6</v>
      </c>
      <c r="Q228" s="535">
        <v>276</v>
      </c>
    </row>
    <row r="229" spans="2:17" ht="15" customHeight="1" x14ac:dyDescent="0.25">
      <c r="B229" s="434" t="str">
        <f>$B$129</f>
        <v>i = b</v>
      </c>
      <c r="C229" s="443">
        <v>19</v>
      </c>
      <c r="D229" s="529">
        <v>-0.41</v>
      </c>
      <c r="E229" s="536">
        <v>202</v>
      </c>
      <c r="F229" s="443">
        <v>12</v>
      </c>
      <c r="G229" s="529">
        <v>-0.27</v>
      </c>
      <c r="H229" s="536">
        <v>119</v>
      </c>
      <c r="I229" s="443">
        <v>18</v>
      </c>
      <c r="J229" s="529">
        <v>-0.27</v>
      </c>
      <c r="K229" s="536">
        <v>116</v>
      </c>
      <c r="L229" s="443">
        <v>24</v>
      </c>
      <c r="M229" s="529">
        <v>-0.19</v>
      </c>
      <c r="N229" s="536">
        <v>66</v>
      </c>
      <c r="O229" s="443">
        <v>13</v>
      </c>
      <c r="P229" s="529">
        <v>-0.2</v>
      </c>
      <c r="Q229" s="536">
        <v>75</v>
      </c>
    </row>
    <row r="230" spans="2:17" ht="15" customHeight="1" x14ac:dyDescent="0.25">
      <c r="B230" s="434" t="str">
        <f>$B$130</f>
        <v>i = c</v>
      </c>
      <c r="C230" s="443">
        <v>86</v>
      </c>
      <c r="D230" s="529">
        <v>-0.24</v>
      </c>
      <c r="E230" s="536">
        <v>90</v>
      </c>
      <c r="F230" s="443">
        <v>25</v>
      </c>
      <c r="G230" s="529">
        <v>-0.25</v>
      </c>
      <c r="H230" s="536">
        <v>108</v>
      </c>
      <c r="I230" s="443">
        <v>36</v>
      </c>
      <c r="J230" s="529">
        <v>-0.22</v>
      </c>
      <c r="K230" s="536">
        <v>84</v>
      </c>
      <c r="L230" s="443">
        <v>56</v>
      </c>
      <c r="M230" s="529">
        <v>-0.16</v>
      </c>
      <c r="N230" s="536">
        <v>49</v>
      </c>
      <c r="O230" s="443">
        <v>13</v>
      </c>
      <c r="P230" s="529">
        <v>-0.2</v>
      </c>
      <c r="Q230" s="536">
        <v>75</v>
      </c>
    </row>
    <row r="231" spans="2:17" ht="15" customHeight="1" x14ac:dyDescent="0.25">
      <c r="B231" s="434" t="str">
        <f>$B$131</f>
        <v>i = d</v>
      </c>
      <c r="C231" s="443">
        <v>800</v>
      </c>
      <c r="D231" s="529">
        <v>-0.15</v>
      </c>
      <c r="E231" s="536">
        <v>49</v>
      </c>
      <c r="F231" s="443">
        <v>800</v>
      </c>
      <c r="G231" s="529">
        <v>-0.17</v>
      </c>
      <c r="H231" s="536">
        <v>55</v>
      </c>
      <c r="I231" s="443">
        <v>700</v>
      </c>
      <c r="J231" s="529">
        <v>-0.12</v>
      </c>
      <c r="K231" s="536">
        <v>31</v>
      </c>
      <c r="L231" s="443">
        <v>500</v>
      </c>
      <c r="M231" s="529">
        <v>-0.13</v>
      </c>
      <c r="N231" s="536">
        <v>31</v>
      </c>
      <c r="O231" s="443">
        <v>40</v>
      </c>
      <c r="P231" s="529">
        <v>-0.12</v>
      </c>
      <c r="Q231" s="536">
        <v>31</v>
      </c>
    </row>
    <row r="232" spans="2:17" ht="15" customHeight="1" thickBot="1" x14ac:dyDescent="0.3">
      <c r="B232" s="435" t="str">
        <f>$B$132</f>
        <v>i = e</v>
      </c>
      <c r="C232" s="444">
        <v>10000</v>
      </c>
      <c r="D232" s="530">
        <v>-0.15</v>
      </c>
      <c r="E232" s="537">
        <v>49</v>
      </c>
      <c r="F232" s="444">
        <v>10000</v>
      </c>
      <c r="G232" s="530">
        <v>-0.17</v>
      </c>
      <c r="H232" s="537">
        <v>55</v>
      </c>
      <c r="I232" s="444">
        <v>10000</v>
      </c>
      <c r="J232" s="530">
        <v>-0.12</v>
      </c>
      <c r="K232" s="537">
        <v>31</v>
      </c>
      <c r="L232" s="444">
        <v>10000</v>
      </c>
      <c r="M232" s="530">
        <v>-0.13</v>
      </c>
      <c r="N232" s="537">
        <v>31</v>
      </c>
      <c r="O232" s="444">
        <v>10000</v>
      </c>
      <c r="P232" s="530">
        <v>-0.12</v>
      </c>
      <c r="Q232" s="537">
        <v>31</v>
      </c>
    </row>
    <row r="233" spans="2:17" ht="15" customHeight="1" x14ac:dyDescent="0.25">
      <c r="B233" s="429"/>
      <c r="C233" s="1719" t="str">
        <f>$C$175</f>
        <v>South row - Interior modules</v>
      </c>
      <c r="D233" s="1720"/>
      <c r="E233" s="1721"/>
      <c r="F233" s="1719" t="str">
        <f>$C$175</f>
        <v>South row - Interior modules</v>
      </c>
      <c r="G233" s="1720"/>
      <c r="H233" s="1721"/>
      <c r="I233" s="1719" t="str">
        <f>$C$175</f>
        <v>South row - Interior modules</v>
      </c>
      <c r="J233" s="1720"/>
      <c r="K233" s="1721"/>
      <c r="L233" s="1719" t="str">
        <f>$C$175</f>
        <v>South row - Interior modules</v>
      </c>
      <c r="M233" s="1720"/>
      <c r="N233" s="1721"/>
      <c r="O233" s="1719" t="str">
        <f>$C$175</f>
        <v>South row - Interior modules</v>
      </c>
      <c r="P233" s="1720"/>
      <c r="Q233" s="1721"/>
    </row>
    <row r="234" spans="2:17" ht="15" customHeight="1" thickBot="1" x14ac:dyDescent="0.3">
      <c r="B234" s="430"/>
      <c r="C234" s="431" t="str">
        <f>$C$127</f>
        <v>An i</v>
      </c>
      <c r="D234" s="527" t="str">
        <f>$D$185</f>
        <v>cpML i</v>
      </c>
      <c r="E234" s="432" t="str">
        <f>$E$185</f>
        <v>mL i</v>
      </c>
      <c r="F234" s="431" t="str">
        <f>$C$127</f>
        <v>An i</v>
      </c>
      <c r="G234" s="527" t="str">
        <f>$D$185</f>
        <v>cpML i</v>
      </c>
      <c r="H234" s="432" t="str">
        <f>$E$185</f>
        <v>mL i</v>
      </c>
      <c r="I234" s="431" t="str">
        <f>$C$127</f>
        <v>An i</v>
      </c>
      <c r="J234" s="527" t="str">
        <f>$D$185</f>
        <v>cpML i</v>
      </c>
      <c r="K234" s="432" t="str">
        <f>$E$185</f>
        <v>mL i</v>
      </c>
      <c r="L234" s="431" t="str">
        <f>$C$127</f>
        <v>An i</v>
      </c>
      <c r="M234" s="527" t="str">
        <f>$D$185</f>
        <v>cpML i</v>
      </c>
      <c r="N234" s="432" t="str">
        <f>$E$185</f>
        <v>mL i</v>
      </c>
      <c r="O234" s="431" t="str">
        <f>$C$127</f>
        <v>An i</v>
      </c>
      <c r="P234" s="527" t="str">
        <f>$D$185</f>
        <v>cpML i</v>
      </c>
      <c r="Q234" s="432" t="str">
        <f>$E$185</f>
        <v>mL i</v>
      </c>
    </row>
    <row r="235" spans="2:17" ht="15" customHeight="1" x14ac:dyDescent="0.25">
      <c r="B235" s="433" t="str">
        <f>$B$128</f>
        <v>i = a</v>
      </c>
      <c r="C235" s="442">
        <v>1</v>
      </c>
      <c r="D235" s="528">
        <v>-0.86</v>
      </c>
      <c r="E235" s="535">
        <v>475</v>
      </c>
      <c r="F235" s="442">
        <v>1</v>
      </c>
      <c r="G235" s="528">
        <v>-0.43</v>
      </c>
      <c r="H235" s="535">
        <v>230</v>
      </c>
      <c r="I235" s="442">
        <v>1</v>
      </c>
      <c r="J235" s="528">
        <v>-0.66</v>
      </c>
      <c r="K235" s="535">
        <v>380</v>
      </c>
      <c r="L235" s="442">
        <v>1</v>
      </c>
      <c r="M235" s="528">
        <v>-0.34</v>
      </c>
      <c r="N235" s="535">
        <v>154</v>
      </c>
      <c r="O235" s="442">
        <v>1</v>
      </c>
      <c r="P235" s="528">
        <v>-0.5</v>
      </c>
      <c r="Q235" s="535">
        <v>262</v>
      </c>
    </row>
    <row r="236" spans="2:17" ht="15" customHeight="1" x14ac:dyDescent="0.25">
      <c r="B236" s="434" t="str">
        <f>$B$129</f>
        <v>i = b</v>
      </c>
      <c r="C236" s="443">
        <v>39</v>
      </c>
      <c r="D236" s="529">
        <v>-0.22</v>
      </c>
      <c r="E236" s="536">
        <v>84</v>
      </c>
      <c r="F236" s="443">
        <v>16</v>
      </c>
      <c r="G236" s="529">
        <v>-0.26</v>
      </c>
      <c r="H236" s="536">
        <v>114</v>
      </c>
      <c r="I236" s="443">
        <v>9</v>
      </c>
      <c r="J236" s="529">
        <v>-0.2</v>
      </c>
      <c r="K236" s="536">
        <v>72</v>
      </c>
      <c r="L236" s="443">
        <v>12</v>
      </c>
      <c r="M236" s="529">
        <v>-0.16</v>
      </c>
      <c r="N236" s="536">
        <v>49</v>
      </c>
      <c r="O236" s="443">
        <v>12</v>
      </c>
      <c r="P236" s="529">
        <v>-0.19</v>
      </c>
      <c r="Q236" s="536">
        <v>67</v>
      </c>
    </row>
    <row r="237" spans="2:17" ht="15" customHeight="1" x14ac:dyDescent="0.25">
      <c r="B237" s="434" t="str">
        <f>$B$130</f>
        <v>i = c</v>
      </c>
      <c r="C237" s="443">
        <v>39</v>
      </c>
      <c r="D237" s="529">
        <v>-0.22</v>
      </c>
      <c r="E237" s="536">
        <v>84</v>
      </c>
      <c r="F237" s="443">
        <v>99</v>
      </c>
      <c r="G237" s="529">
        <v>-0.2</v>
      </c>
      <c r="H237" s="536">
        <v>74</v>
      </c>
      <c r="I237" s="443">
        <v>144</v>
      </c>
      <c r="J237" s="529">
        <v>-0.13</v>
      </c>
      <c r="K237" s="536">
        <v>31</v>
      </c>
      <c r="L237" s="443">
        <v>56</v>
      </c>
      <c r="M237" s="529">
        <v>-0.13</v>
      </c>
      <c r="N237" s="536">
        <v>31</v>
      </c>
      <c r="O237" s="443">
        <v>12</v>
      </c>
      <c r="P237" s="529">
        <v>-0.19</v>
      </c>
      <c r="Q237" s="536">
        <v>67</v>
      </c>
    </row>
    <row r="238" spans="2:17" ht="15" customHeight="1" x14ac:dyDescent="0.25">
      <c r="B238" s="434" t="str">
        <f>$B$131</f>
        <v>i = d</v>
      </c>
      <c r="C238" s="443">
        <v>120</v>
      </c>
      <c r="D238" s="529">
        <v>-0.15</v>
      </c>
      <c r="E238" s="536">
        <v>49</v>
      </c>
      <c r="F238" s="443">
        <v>1000</v>
      </c>
      <c r="G238" s="529">
        <v>-0.17</v>
      </c>
      <c r="H238" s="536">
        <v>55</v>
      </c>
      <c r="I238" s="443">
        <v>700</v>
      </c>
      <c r="J238" s="529">
        <v>-0.12</v>
      </c>
      <c r="K238" s="536">
        <v>31</v>
      </c>
      <c r="L238" s="443">
        <v>500</v>
      </c>
      <c r="M238" s="529">
        <v>-0.12</v>
      </c>
      <c r="N238" s="536">
        <v>31</v>
      </c>
      <c r="O238" s="443">
        <v>25</v>
      </c>
      <c r="P238" s="529">
        <v>-0.12</v>
      </c>
      <c r="Q238" s="536">
        <v>31</v>
      </c>
    </row>
    <row r="239" spans="2:17" ht="15" customHeight="1" thickBot="1" x14ac:dyDescent="0.3">
      <c r="B239" s="435" t="str">
        <f>$B$132</f>
        <v>i = e</v>
      </c>
      <c r="C239" s="444">
        <v>10000</v>
      </c>
      <c r="D239" s="530">
        <v>-0.15</v>
      </c>
      <c r="E239" s="537">
        <v>49</v>
      </c>
      <c r="F239" s="444">
        <v>10000</v>
      </c>
      <c r="G239" s="530">
        <v>-0.17</v>
      </c>
      <c r="H239" s="537">
        <v>55</v>
      </c>
      <c r="I239" s="444">
        <v>10000</v>
      </c>
      <c r="J239" s="530">
        <v>-0.12</v>
      </c>
      <c r="K239" s="537">
        <v>31</v>
      </c>
      <c r="L239" s="444">
        <v>10000</v>
      </c>
      <c r="M239" s="530">
        <v>-0.12</v>
      </c>
      <c r="N239" s="537">
        <v>31</v>
      </c>
      <c r="O239" s="444">
        <v>10000</v>
      </c>
      <c r="P239" s="530">
        <v>-0.12</v>
      </c>
      <c r="Q239" s="537">
        <v>31</v>
      </c>
    </row>
    <row r="242" spans="2:17" ht="15" customHeight="1" thickBot="1" x14ac:dyDescent="0.3">
      <c r="B242" s="143" t="s">
        <v>470</v>
      </c>
    </row>
    <row r="243" spans="2:17" ht="15" customHeight="1" thickBot="1" x14ac:dyDescent="0.3">
      <c r="D243" s="591"/>
      <c r="E243" s="592"/>
      <c r="F243" s="592" t="str">
        <f>$F$23</f>
        <v>Sliding</v>
      </c>
      <c r="G243" s="592"/>
      <c r="H243" s="592"/>
      <c r="I243" s="591"/>
      <c r="J243" s="592"/>
      <c r="K243" s="592" t="str">
        <f>$K$23</f>
        <v>Uplift</v>
      </c>
      <c r="L243" s="592"/>
      <c r="M243" s="593"/>
    </row>
    <row r="244" spans="2:17" ht="15" customHeight="1" thickBot="1" x14ac:dyDescent="0.3">
      <c r="D244" s="437" t="str">
        <f>$D$24</f>
        <v>Roof position 1</v>
      </c>
      <c r="E244" s="438" t="str">
        <f>$E$24</f>
        <v>Roof position 2</v>
      </c>
      <c r="F244" s="438" t="str">
        <f>$F$24</f>
        <v>Roof position 3</v>
      </c>
      <c r="G244" s="438" t="str">
        <f>$G$24</f>
        <v>Roof position 4</v>
      </c>
      <c r="H244" s="526" t="str">
        <f>$H$24</f>
        <v>Roof position 5</v>
      </c>
      <c r="I244" s="437" t="str">
        <f>$I$24</f>
        <v>Roof position 1</v>
      </c>
      <c r="J244" s="438" t="str">
        <f>$J$24</f>
        <v>Roof position 2</v>
      </c>
      <c r="K244" s="438" t="str">
        <f>$K$24</f>
        <v>Roof position 3</v>
      </c>
      <c r="L244" s="438" t="str">
        <f>$L$24</f>
        <v>Roof position 4</v>
      </c>
      <c r="M244" s="439" t="str">
        <f>$H$24</f>
        <v>Roof position 5</v>
      </c>
    </row>
    <row r="245" spans="2:17" ht="15" customHeight="1" thickBot="1" x14ac:dyDescent="0.3">
      <c r="B245" s="143"/>
      <c r="C245" s="231"/>
      <c r="D245" s="437" t="s">
        <v>60</v>
      </c>
      <c r="E245" s="438" t="s">
        <v>60</v>
      </c>
      <c r="F245" s="438" t="s">
        <v>60</v>
      </c>
      <c r="G245" s="438" t="s">
        <v>60</v>
      </c>
      <c r="H245" s="438" t="s">
        <v>60</v>
      </c>
      <c r="I245" s="437" t="s">
        <v>60</v>
      </c>
      <c r="J245" s="438" t="s">
        <v>60</v>
      </c>
      <c r="K245" s="438" t="s">
        <v>60</v>
      </c>
      <c r="L245" s="438" t="s">
        <v>60</v>
      </c>
      <c r="M245" s="439" t="s">
        <v>60</v>
      </c>
    </row>
    <row r="246" spans="2:17" ht="15" customHeight="1" thickBot="1" x14ac:dyDescent="0.3">
      <c r="B246" s="454" t="s">
        <v>471</v>
      </c>
      <c r="C246" s="608" t="s">
        <v>46</v>
      </c>
      <c r="D246" s="457">
        <f>IF(AND($G$19&gt;=0,$G$19&lt;=0.1),D247+(D248-D247)/(0.1-0)*($G$19-0),IF(AND($G$19&gt;0.1,$G$19&lt;=0.2),D248+(D249-D248)/(0.2-0.1)*($G$19-0.1),IF($G$19&gt;0.2,D249,"Fehler")))</f>
        <v>0.99827879059630242</v>
      </c>
      <c r="E246" s="458">
        <f>IF(AND($G$19&gt;=0,$G$19&lt;=0.1),E247+(E248-E247)/(0.1-0)*($G$19-0),IF(AND($G$19&gt;0.1,$G$19&lt;=0.2),E248+(E249-E248)/(0.2-0.1)*($G$19-0.1),IF($G$19&gt;0.2,E249,"Fehler")))</f>
        <v>0.99826388888888884</v>
      </c>
      <c r="F246" s="458">
        <f t="shared" ref="F246:H246" si="62">IF(AND($G$19&gt;=0,$G$19&lt;=0.1),F247+(F248-F247)/(0.1-0)*($G$19-0),IF(AND($G$19&gt;0.1,$G$19&lt;=0.2),F248+(F249-F248)/(0.2-0.1)*($G$19-0.1),IF($G$19&gt;0.2,F249,"Fehler")))</f>
        <v>1.09375</v>
      </c>
      <c r="G246" s="458">
        <f t="shared" si="62"/>
        <v>1.0138888888888888</v>
      </c>
      <c r="H246" s="458">
        <f t="shared" si="62"/>
        <v>0.98090277777777779</v>
      </c>
      <c r="I246" s="457">
        <f>IF(AND($G$19&gt;=0,$G$19&lt;=0.1),I247+(I248-I247)/(0.1-0)*($G$19-0),IF(AND($G$19&gt;0.1,$G$19&lt;=0.2),I248+(I249-I248)/(0.2-0.1)*($G$19-0.1),IF($G$19&gt;0.2,I249,"Fehler")))</f>
        <v>1.0086805555555556</v>
      </c>
      <c r="J246" s="458">
        <f>IF(AND($G$19&gt;=0,$G$19&lt;=0.1),J247+(J248-J247)/(0.1-0)*($G$19-0),IF(AND($G$19&gt;0.1,$G$19&lt;=0.2),J248+(J249-J248)/(0.2-0.1)*($G$19-0.1),IF($G$19&gt;0.2,J249,"Fehler")))</f>
        <v>1</v>
      </c>
      <c r="K246" s="458">
        <f>IF(AND($G$19&gt;=0,$G$19&lt;=0.1),K247+(K248-K247)/(0.1-0)*($G$19-0),IF(AND($G$19&gt;0.1,$G$19&lt;=0.2),K248+(K249-K248)/(0.2-0.1)*($G$19-0.1),IF($G$19&gt;0.2,K249,"Fehler")))</f>
        <v>1.1111111111111112</v>
      </c>
      <c r="L246" s="458">
        <f>IF(AND($G$19&gt;=0,$G$19&lt;=0.1),L247+(L248-L247)/(0.1-0)*($G$19-0),IF(AND($G$19&gt;0.1,$G$19&lt;=0.2),L248+(L249-L248)/(0.2-0.1)*($G$19-0.1),IF($G$19&gt;0.2,L249,"Fehler")))</f>
        <v>1.0243055555555556</v>
      </c>
      <c r="M246" s="459">
        <f>IF(AND($G$19&gt;=0,$G$19&lt;=0.1),M247+(M248-M247)/(0.1-0)*($G$19-0),IF(AND($G$19&gt;0.1,$G$19&lt;=0.2),M248+(M249-M248)/(0.2-0.1)*($G$19-0.1),IF($G$19&gt;0.2,M249,"Fehler")))</f>
        <v>0.98263888888888884</v>
      </c>
    </row>
    <row r="247" spans="2:17" ht="15" customHeight="1" x14ac:dyDescent="0.2">
      <c r="B247" s="1722" t="s">
        <v>472</v>
      </c>
      <c r="C247" s="183" t="s">
        <v>44</v>
      </c>
      <c r="D247" s="189">
        <v>1</v>
      </c>
      <c r="E247" s="190">
        <v>1</v>
      </c>
      <c r="F247" s="190">
        <v>1</v>
      </c>
      <c r="G247" s="190">
        <v>1</v>
      </c>
      <c r="H247" s="190">
        <v>1</v>
      </c>
      <c r="I247" s="189">
        <v>1</v>
      </c>
      <c r="J247" s="190">
        <v>1</v>
      </c>
      <c r="K247" s="190">
        <v>1</v>
      </c>
      <c r="L247" s="190">
        <v>1</v>
      </c>
      <c r="M247" s="191">
        <v>1</v>
      </c>
    </row>
    <row r="248" spans="2:17" ht="15" customHeight="1" x14ac:dyDescent="0.2">
      <c r="B248" s="1723"/>
      <c r="C248" s="450" t="s">
        <v>42</v>
      </c>
      <c r="D248" s="451">
        <f>IF($D$19&lt;C254,"Fehler",IF(AND($D$19&gt;=C254,$D$19&lt;C255),D254+(D255-D254)/(LOG(C255)-LOG(C254))*(LOG($D$19)-LOG(C254)),IF(AND($D$19&gt;=C255,$D$19&lt;C256),D255+(D256-D255)/(LOG(C256)-LOG(C255))*(LOG($D$19)-LOG(C255)),IF(AND($D$19&gt;=C256,$D$19&lt;C257),D256+(D257-D256)/(LOG(C257)-LOG(C256))*(LOG($D$19)-LOG(C256)),IF($D$19&gt;=C257,D257,"Fehler")))))</f>
        <v>0.99008583383470183</v>
      </c>
      <c r="E248" s="452">
        <f>IF($D$19&lt;E254,"Fehler",IF(AND($D$19&gt;=E254,$D$19&lt;E255),F254+(F255-F254)/(LOG(E255)-LOG(E254))*(LOG($D$19)-LOG(E254)),IF(AND($D$19&gt;=E255,$D$19&lt;E256),F255+(F256-F255)/(LOG(E256)-LOG(E255))*(LOG($D$19)-LOG(E255)),IF(AND($D$19&gt;=E256,$D$19&lt;E257),F256+(F257-F256)/(LOG(E257)-LOG(E256))*(LOG($D$19)-LOG(E256)),IF($D$19&gt;=E257,F257,"Fehler")))))</f>
        <v>0.99</v>
      </c>
      <c r="F248" s="452">
        <f>IF($D$19&lt;G254,"Fehler",IF(AND($D$19&gt;=G254,$D$19&lt;G255),H254+(H255-H254)/(LOG(G255)-LOG(G254))*(LOG($D$19)-LOG(G254)),IF(AND($D$19&gt;=G255,$D$19&lt;G256),H255+(H256-H255)/(LOG(G256)-LOG(G255))*(LOG($D$19)-LOG(G255)),IF(AND($D$19&gt;=G256,$D$19&lt;G257),H256+(H257-H256)/(LOG(G257)-LOG(G256))*(LOG($D$19)-LOG(G256)),IF($D$19&gt;=G257,H257,"Fehler")))))</f>
        <v>1.54</v>
      </c>
      <c r="G248" s="452">
        <f>IF($D$19&lt;I254,"Fehler",IF(AND($D$19&gt;=I254,$D$19&lt;I255),J254+(J255-J254)/(LOG(I255)-LOG(I254))*(LOG($D$19)-LOG(I254)),IF(AND($D$19&gt;=I255,$D$19&lt;I256),J255+(J256-J255)/(LOG(I256)-LOG(I255))*(LOG($D$19)-LOG(I255)),IF(AND($D$19&gt;=I256,$D$19&lt;I257),J256+(J257-J256)/(LOG(I257)-LOG(I256))*(LOG($D$19)-LOG(I256)),IF($D$19&gt;=I257,J257,"Fehler")))))</f>
        <v>1.08</v>
      </c>
      <c r="H248" s="531">
        <f>IF($D$19&lt;K254,"Fehler",IF(AND($D$19&gt;=K254,$D$19&lt;K255),L254+(L255-L254)/(LOG(K255)-LOG(K254))*(LOG($D$19)-LOG(K254)),IF(AND($D$19&gt;=K255,$D$19&lt;K256),L255+(L256-L255)/(LOG(K256)-LOG(K255))*(LOG($D$19)-LOG(K255)),IF(AND($D$19&gt;=K256,$D$19&lt;K257),L256+(L257-L256)/(LOG(K257)-LOG(K256))*(LOG($D$19)-LOG(K256)),IF($D$19&gt;=K257,L257,"Fehler")))))</f>
        <v>0.89</v>
      </c>
      <c r="I248" s="451">
        <f>IF($D$16&lt;C268,"Fehler",IF(AND($D$16&gt;=C268,$D$16&lt;C269),D268+(D269-D268)/(LOG(C269)-LOG(C268))*(LOG($D$16)-LOG(C268)),IF(AND($D$16&gt;=C269,$D$16&lt;C270),D269+(D270-D269)/(LOG(C270)-LOG(C269))*(LOG($D$16)-LOG(C269)),IF(AND($D$16&gt;=C270,$D$16&lt;C271),D270+(D271-D270)/(LOG(C271)-LOG(C270))*(LOG($D$16)-LOG(C270)),IF($D$16&gt;=C271,D271,"Fehler")))))</f>
        <v>1.05</v>
      </c>
      <c r="J248" s="452">
        <f>IF($D$16&lt;E268,"Fehler",IF(AND($D$16&gt;=E268,$D$16&lt;E269),F268+(F269-F268)/(LOG(E269)-LOG(E268))*(LOG($D$16)-LOG(E268)),IF(AND($D$16&gt;=E269,$D$16&lt;E270),F269+(F270-F269)/(LOG(E270)-LOG(E269))*(LOG($D$16)-LOG(E269)),IF(AND($D$16&gt;=E270,$D$16&lt;E271),F270+(F271-F270)/(LOG(E271)-LOG(E270))*(LOG($D$16)-LOG(E270)),IF($D$16&gt;=E271,F271,"Fehler")))))</f>
        <v>1</v>
      </c>
      <c r="K248" s="452">
        <f>IF($D$16&lt;G268,"Fehler",IF(AND($D$16&gt;=G268,$D$16&lt;G269),H268+(H269-H268)/(LOG(G269)-LOG(G268))*(LOG($D$16)-LOG(G268)),IF(AND($D$16&gt;=G269,$D$16&lt;G270),H269+(H270-H269)/(LOG(G270)-LOG(G269))*(LOG($D$16)-LOG(G269)),IF(AND($D$16&gt;=G270,$D$16&lt;G271),H270+(H271-H270)/(LOG(G271)-LOG(G270))*(LOG($D$16)-LOG(G270)),IF($D$16&gt;=G271,H271,"Fehler")))))</f>
        <v>1.64</v>
      </c>
      <c r="L248" s="452">
        <f>IF($D$16&lt;I268,"Fehler",IF(AND($D$16&gt;=I268,$D$16&lt;I269),J268+(J269-J268)/(LOG(I269)-LOG(I268))*(LOG($D$16)-LOG(I268)),IF(AND($D$16&gt;=I269,$D$16&lt;I270),J269+(J270-J269)/(LOG(I270)-LOG(I269))*(LOG($D$16)-LOG(I269)),IF(AND($D$16&gt;=I270,$D$16&lt;I271),J270+(J271-J270)/(LOG(I271)-LOG(I270))*(LOG($D$16)-LOG(I270)),IF($D$16&gt;=I271,J271,"Fehler")))))</f>
        <v>1.1399999999999999</v>
      </c>
      <c r="M248" s="453">
        <f>IF($D$16&lt;K268,"Fehler",IF(AND($D$16&gt;=K268,$D$16&lt;K269),L268+(L269-L268)/(LOG(K269)-LOG(K268))*(LOG($D$16)-LOG(K268)),IF(AND($D$16&gt;=K269,$D$16&lt;K270),L269+(L270-L269)/(LOG(K270)-LOG(K269))*(LOG($D$16)-LOG(K269)),IF(AND($D$16&gt;=K270,$D$16&lt;K271),L270+(L271-L270)/(LOG(K271)-LOG(K270))*(LOG($D$16)-LOG(K270)),IF($D$16&gt;=K271,L271,"Fehler")))))</f>
        <v>0.9</v>
      </c>
    </row>
    <row r="249" spans="2:17" ht="15" customHeight="1" thickBot="1" x14ac:dyDescent="0.25">
      <c r="B249" s="1724"/>
      <c r="C249" s="278" t="s">
        <v>43</v>
      </c>
      <c r="D249" s="447">
        <f>IF($D$19&lt;C260,"Fehler",IF(AND($D$19&gt;=C260,$D$19&lt;C261),D260+(D261-D260)/(LOG(C261)-LOG(C260))*(LOG($D$19)-LOG(C260)),IF(AND($D$19&gt;=C261,$D$19&lt;C262),D261+(D262-D261)/(LOG(C262)-LOG(C261))*(LOG($D$19)-LOG(C261)),IF(AND($D$19&gt;=C262,$D$19&lt;C263),D262+(D263-D262)/(LOG(C263)-LOG(C262))*(LOG($D$19)-LOG(C262)),IF($D$19&gt;=C263,D263,"Fehler")))))</f>
        <v>0.76142596827673259</v>
      </c>
      <c r="E249" s="448">
        <f>IF($D$19&lt;E260,"Fehler",IF(AND($D$19&gt;=E260,$D$19&lt;E261),F260+(F261-F260)/(LOG(E261)-LOG(E260))*(LOG($D$19)-LOG(E260)),IF(AND($D$19&gt;=E261,$D$19&lt;E262),F261+(F262-F261)/(LOG(E262)-LOG(E261))*(LOG($D$19)-LOG(E261)),IF(AND($D$19&gt;=E262,$D$19&lt;E263),F262+(F263-F262)/(LOG(E263)-LOG(E262))*(LOG($D$19)-LOG(E262)),IF($D$19&gt;=E263,F263,"Fehler")))))</f>
        <v>0.92</v>
      </c>
      <c r="F249" s="448">
        <f>IF($D$19&lt;G260,"Fehler",IF(AND($D$19&gt;=G260,$D$19&lt;G261),H260+(H261-H260)/(LOG(G261)-LOG(G260))*(LOG($D$19)-LOG(G260)),IF(AND($D$19&gt;=G261,$D$19&lt;G262),H261+(H262-H261)/(LOG(G262)-LOG(G261))*(LOG($D$19)-LOG(G261)),IF(AND($D$19&gt;=G262,$D$19&lt;G263),H262+(H263-H262)/(LOG(G263)-LOG(G262))*(LOG($D$19)-LOG(G262)),IF($D$19&gt;=G263,H263,"Fehler")))))</f>
        <v>1.84</v>
      </c>
      <c r="G249" s="448">
        <f>IF($D$19&lt;I260,"Fehler",IF(AND($D$19&gt;=I260,$D$19&lt;I261),J260+(J261-J260)/(LOG(I261)-LOG(I260))*(LOG($D$19)-LOG(I260)),IF(AND($D$19&gt;=I261,$D$19&lt;I262),J261+(J262-J261)/(LOG(I262)-LOG(I261))*(LOG($D$19)-LOG(I261)),IF(AND($D$19&gt;=I262,$D$19&lt;I263),J262+(J263-J262)/(LOG(I263)-LOG(I262))*(LOG($D$19)-LOG(I262)),IF($D$19&gt;=I263,J263,"Fehler")))))</f>
        <v>1.53</v>
      </c>
      <c r="H249" s="532">
        <f>IF($D$19&lt;K260,"Fehler",IF(AND($D$19&gt;=K260,$D$19&lt;K261),L260+(L261-L260)/(LOG(K261)-LOG(K260))*(LOG($D$19)-LOG(K260)),IF(AND($D$19&gt;=K261,$D$19&lt;K262),L261+(L262-L261)/(LOG(K262)-LOG(K261))*(LOG($D$19)-LOG(K261)),IF(AND($D$19&gt;=K262,$D$19&lt;K263),L262+(L263-L262)/(LOG(K263)-LOG(K262))*(LOG($D$19)-LOG(K262)),IF($D$19&gt;=K263,L263,"Fehler")))))</f>
        <v>1.1200000000000001</v>
      </c>
      <c r="I249" s="447">
        <f>IF($D$16&lt;C274,"Fehler",IF(AND($D$16&gt;=C274,$D$16&lt;C275),D274+(D275-D274)/(LOG(C275)-LOG(C274))*(LOG($D$16)-LOG(C274)),IF(AND($D$16&gt;=C275,$D$16&lt;C276),D275+(D276-D275)/(LOG(C276)-LOG(C275))*(LOG($D$16)-LOG(C275)),IF(AND($D$16&gt;=C276,$D$16&lt;C277),D276+(D277-D276)/(LOG(C277)-LOG(C276))*(LOG($D$16)-LOG(C276)),IF($D$16&gt;=C277,D277,"Fehler")))))</f>
        <v>0.81</v>
      </c>
      <c r="J249" s="448">
        <f>IF($D$16&lt;E274,"Fehler",IF(AND($D$16&gt;=E274,$D$16&lt;E275),F274+(F275-F274)/(LOG(E275)-LOG(E274))*(LOG($D$16)-LOG(E274)),IF(AND($D$16&gt;=E275,$D$16&lt;E276),F275+(F276-F275)/(LOG(E276)-LOG(E275))*(LOG($D$16)-LOG(E275)),IF(AND($D$16&gt;=E276,$D$16&lt;E277),F276+(F277-F276)/(LOG(E277)-LOG(E276))*(LOG($D$16)-LOG(E276)),IF($D$16&gt;=E277,F277,"Fehler")))))</f>
        <v>0.92</v>
      </c>
      <c r="K249" s="448">
        <f>IF($D$16&lt;G274,"Fehler",IF(AND($D$16&gt;=G274,$D$16&lt;G275),H274+(H275-H274)/(LOG(G275)-LOG(G274))*(LOG($D$16)-LOG(G274)),IF(AND($D$16&gt;=G275,$D$16&lt;G276),H275+(H276-H275)/(LOG(G276)-LOG(G275))*(LOG($D$16)-LOG(G275)),IF(AND($D$16&gt;=G276,$D$16&lt;G277),H276+(H277-H276)/(LOG(G277)-LOG(G276))*(LOG($D$16)-LOG(G276)),IF($D$16&gt;=G277,H277,"Fehler")))))</f>
        <v>1.96</v>
      </c>
      <c r="L249" s="448">
        <f>IF($D$16&lt;I274,"Fehler",IF(AND($D$16&gt;=I274,$D$16&lt;I275),J274+(J275-J274)/(LOG(I275)-LOG(I274))*(LOG($D$16)-LOG(I274)),IF(AND($D$16&gt;=I275,$D$16&lt;I276),J275+(J276-J275)/(LOG(I276)-LOG(I275))*(LOG($D$16)-LOG(I275)),IF(AND($D$16&gt;=I276,$D$16&lt;I277),J276+(J277-J276)/(LOG(I277)-LOG(I276))*(LOG($D$16)-LOG(I276)),IF($D$16&gt;=I277,J277,"Fehler")))))</f>
        <v>1.62</v>
      </c>
      <c r="M249" s="449">
        <f>IF($D$16&lt;K274,"Fehler",IF(AND($D$16&gt;=K274,$D$16&lt;K275),L274+(L275-L274)/(LOG(K275)-LOG(K274))*(LOG($D$16)-LOG(K274)),IF(AND($D$16&gt;=K275,$D$16&lt;K276),L275+(L276-L275)/(LOG(K276)-LOG(K275))*(LOG($D$16)-LOG(K275)),IF(AND($D$16&gt;=K276,$D$16&lt;K277),L276+(L277-L276)/(LOG(K277)-LOG(K276))*(LOG($D$16)-LOG(K276)),IF($D$16&gt;=K277,L277,"Fehler")))))</f>
        <v>1.1200000000000001</v>
      </c>
    </row>
    <row r="250" spans="2:17" ht="15" customHeight="1" thickBot="1" x14ac:dyDescent="0.3">
      <c r="B250" s="143"/>
    </row>
    <row r="251" spans="2:17" ht="15" customHeight="1" thickBot="1" x14ac:dyDescent="0.3">
      <c r="B251" s="534" t="str">
        <f>F23</f>
        <v>Sliding</v>
      </c>
      <c r="C251" s="1715" t="str">
        <f>$D$24</f>
        <v>Roof position 1</v>
      </c>
      <c r="D251" s="1716"/>
      <c r="E251" s="1715" t="str">
        <f>$E$24</f>
        <v>Roof position 2</v>
      </c>
      <c r="F251" s="1716"/>
      <c r="G251" s="1715" t="str">
        <f>$F$24</f>
        <v>Roof position 3</v>
      </c>
      <c r="H251" s="1716"/>
      <c r="I251" s="1715" t="str">
        <f>$G$24</f>
        <v>Roof position 4</v>
      </c>
      <c r="J251" s="1716"/>
      <c r="K251" s="1715" t="str">
        <f>$H$24</f>
        <v>Roof position 5</v>
      </c>
      <c r="L251" s="1716"/>
      <c r="N251" s="231"/>
      <c r="O251" s="231"/>
      <c r="P251" s="231"/>
      <c r="Q251" s="231"/>
    </row>
    <row r="252" spans="2:17" ht="15" customHeight="1" x14ac:dyDescent="0.25">
      <c r="B252" s="429"/>
      <c r="C252" s="440" t="s">
        <v>61</v>
      </c>
      <c r="D252" s="441" t="s">
        <v>41</v>
      </c>
      <c r="E252" s="440" t="str">
        <f>$C$252</f>
        <v>A i</v>
      </c>
      <c r="F252" s="441" t="str">
        <f>$D$252</f>
        <v>kp i</v>
      </c>
      <c r="G252" s="440" t="str">
        <f>$C$252</f>
        <v>A i</v>
      </c>
      <c r="H252" s="441" t="str">
        <f>$D$252</f>
        <v>kp i</v>
      </c>
      <c r="I252" s="440" t="str">
        <f>$C$252</f>
        <v>A i</v>
      </c>
      <c r="J252" s="441" t="str">
        <f>$D$252</f>
        <v>kp i</v>
      </c>
      <c r="K252" s="440" t="str">
        <f>$C$252</f>
        <v>A i</v>
      </c>
      <c r="L252" s="441" t="str">
        <f>$D$252</f>
        <v>kp i</v>
      </c>
      <c r="N252" s="231"/>
      <c r="O252" s="231"/>
      <c r="P252" s="231"/>
      <c r="Q252" s="231"/>
    </row>
    <row r="253" spans="2:17" ht="15" customHeight="1" thickBot="1" x14ac:dyDescent="0.3">
      <c r="B253" s="430"/>
      <c r="C253" s="1717" t="s">
        <v>48</v>
      </c>
      <c r="D253" s="1718">
        <v>0</v>
      </c>
      <c r="E253" s="1717" t="s">
        <v>49</v>
      </c>
      <c r="F253" s="1718">
        <v>0</v>
      </c>
      <c r="G253" s="1717" t="s">
        <v>50</v>
      </c>
      <c r="H253" s="1718">
        <v>0</v>
      </c>
      <c r="I253" s="1717" t="s">
        <v>51</v>
      </c>
      <c r="J253" s="1718">
        <v>0</v>
      </c>
      <c r="K253" s="1717" t="s">
        <v>52</v>
      </c>
      <c r="L253" s="1718">
        <v>0</v>
      </c>
      <c r="N253" s="231"/>
      <c r="O253" s="231"/>
      <c r="P253" s="231"/>
      <c r="Q253" s="231"/>
    </row>
    <row r="254" spans="2:17" ht="15" customHeight="1" x14ac:dyDescent="0.25">
      <c r="B254" s="503" t="s">
        <v>37</v>
      </c>
      <c r="C254" s="557">
        <v>1</v>
      </c>
      <c r="D254" s="558">
        <v>1.05</v>
      </c>
      <c r="E254" s="557">
        <v>1</v>
      </c>
      <c r="F254" s="558">
        <v>0.99</v>
      </c>
      <c r="G254" s="557">
        <v>1</v>
      </c>
      <c r="H254" s="558">
        <v>1.54</v>
      </c>
      <c r="I254" s="557">
        <v>1</v>
      </c>
      <c r="J254" s="558">
        <v>1.08</v>
      </c>
      <c r="K254" s="557">
        <v>1</v>
      </c>
      <c r="L254" s="558">
        <v>0.89</v>
      </c>
      <c r="N254" s="231"/>
      <c r="O254" s="231"/>
      <c r="P254" s="231"/>
      <c r="Q254" s="231"/>
    </row>
    <row r="255" spans="2:17" ht="15" customHeight="1" x14ac:dyDescent="0.25">
      <c r="B255" s="434" t="s">
        <v>38</v>
      </c>
      <c r="C255" s="559">
        <v>71</v>
      </c>
      <c r="D255" s="560">
        <v>1.05</v>
      </c>
      <c r="E255" s="559">
        <v>184</v>
      </c>
      <c r="F255" s="560">
        <v>0.99</v>
      </c>
      <c r="G255" s="559">
        <v>106</v>
      </c>
      <c r="H255" s="560">
        <v>1.54</v>
      </c>
      <c r="I255" s="559">
        <v>100</v>
      </c>
      <c r="J255" s="560">
        <v>1.08</v>
      </c>
      <c r="K255" s="559">
        <v>160</v>
      </c>
      <c r="L255" s="560">
        <v>0.89</v>
      </c>
      <c r="N255" s="231"/>
      <c r="O255" s="231"/>
      <c r="P255" s="231"/>
      <c r="Q255" s="231"/>
    </row>
    <row r="256" spans="2:17" ht="15" customHeight="1" x14ac:dyDescent="0.25">
      <c r="B256" s="434" t="s">
        <v>39</v>
      </c>
      <c r="C256" s="559">
        <v>368</v>
      </c>
      <c r="D256" s="560">
        <v>0.72</v>
      </c>
      <c r="E256" s="559">
        <v>368</v>
      </c>
      <c r="F256" s="560">
        <v>0.92</v>
      </c>
      <c r="G256" s="559">
        <v>368</v>
      </c>
      <c r="H256" s="560">
        <v>1.27</v>
      </c>
      <c r="I256" s="559">
        <v>366</v>
      </c>
      <c r="J256" s="560">
        <v>0.91</v>
      </c>
      <c r="K256" s="559">
        <v>366</v>
      </c>
      <c r="L256" s="560">
        <v>0.8</v>
      </c>
      <c r="N256" s="231"/>
      <c r="O256" s="231"/>
      <c r="P256" s="231"/>
      <c r="Q256" s="231"/>
    </row>
    <row r="257" spans="2:17" ht="15" customHeight="1" thickBot="1" x14ac:dyDescent="0.3">
      <c r="B257" s="435" t="s">
        <v>40</v>
      </c>
      <c r="C257" s="561">
        <v>1000</v>
      </c>
      <c r="D257" s="562">
        <v>0.72</v>
      </c>
      <c r="E257" s="561">
        <v>1000</v>
      </c>
      <c r="F257" s="562">
        <v>0.92</v>
      </c>
      <c r="G257" s="561">
        <v>1000</v>
      </c>
      <c r="H257" s="562">
        <v>1.27</v>
      </c>
      <c r="I257" s="561">
        <v>1000</v>
      </c>
      <c r="J257" s="562">
        <v>0.91</v>
      </c>
      <c r="K257" s="561">
        <v>1000</v>
      </c>
      <c r="L257" s="562">
        <v>0.8</v>
      </c>
      <c r="N257" s="231"/>
      <c r="O257" s="231"/>
      <c r="P257" s="231"/>
      <c r="Q257" s="231"/>
    </row>
    <row r="258" spans="2:17" ht="15" customHeight="1" x14ac:dyDescent="0.25">
      <c r="B258" s="429"/>
      <c r="C258" s="563" t="str">
        <f>$C$252</f>
        <v>A i</v>
      </c>
      <c r="D258" s="564" t="str">
        <f>$D$252</f>
        <v>kp i</v>
      </c>
      <c r="E258" s="563" t="str">
        <f>$C$252</f>
        <v>A i</v>
      </c>
      <c r="F258" s="564" t="str">
        <f>$D$252</f>
        <v>kp i</v>
      </c>
      <c r="G258" s="563" t="str">
        <f>$C$252</f>
        <v>A i</v>
      </c>
      <c r="H258" s="564" t="str">
        <f>$D$252</f>
        <v>kp i</v>
      </c>
      <c r="I258" s="563" t="str">
        <f>$C$252</f>
        <v>A i</v>
      </c>
      <c r="J258" s="564" t="str">
        <f>$D$252</f>
        <v>kp i</v>
      </c>
      <c r="K258" s="563" t="str">
        <f>$C$252</f>
        <v>A i</v>
      </c>
      <c r="L258" s="564" t="str">
        <f>$D$252</f>
        <v>kp i</v>
      </c>
      <c r="N258" s="231"/>
      <c r="O258" s="231"/>
      <c r="P258" s="231"/>
      <c r="Q258" s="231"/>
    </row>
    <row r="259" spans="2:17" ht="15" customHeight="1" thickBot="1" x14ac:dyDescent="0.3">
      <c r="B259" s="430"/>
      <c r="C259" s="1713" t="s">
        <v>53</v>
      </c>
      <c r="D259" s="1714">
        <v>0</v>
      </c>
      <c r="E259" s="1713" t="s">
        <v>54</v>
      </c>
      <c r="F259" s="1714">
        <v>0</v>
      </c>
      <c r="G259" s="1713" t="s">
        <v>55</v>
      </c>
      <c r="H259" s="1714">
        <v>0</v>
      </c>
      <c r="I259" s="1713" t="s">
        <v>56</v>
      </c>
      <c r="J259" s="1714">
        <v>0</v>
      </c>
      <c r="K259" s="1713" t="s">
        <v>57</v>
      </c>
      <c r="L259" s="1714">
        <v>0</v>
      </c>
      <c r="N259" s="231"/>
      <c r="O259" s="231"/>
      <c r="P259" s="231"/>
      <c r="Q259" s="231"/>
    </row>
    <row r="260" spans="2:17" ht="15" customHeight="1" x14ac:dyDescent="0.25">
      <c r="B260" s="503" t="str">
        <f>$B$254</f>
        <v>i = a</v>
      </c>
      <c r="C260" s="557">
        <v>1</v>
      </c>
      <c r="D260" s="558">
        <v>0.81</v>
      </c>
      <c r="E260" s="557">
        <v>1</v>
      </c>
      <c r="F260" s="558">
        <v>0.92</v>
      </c>
      <c r="G260" s="557">
        <v>1</v>
      </c>
      <c r="H260" s="558">
        <v>1.84</v>
      </c>
      <c r="I260" s="557">
        <v>1</v>
      </c>
      <c r="J260" s="558">
        <v>1.53</v>
      </c>
      <c r="K260" s="557">
        <v>1</v>
      </c>
      <c r="L260" s="558">
        <v>1.1200000000000001</v>
      </c>
      <c r="N260" s="231"/>
      <c r="O260" s="231"/>
      <c r="P260" s="231"/>
      <c r="Q260" s="231"/>
    </row>
    <row r="261" spans="2:17" ht="15" customHeight="1" x14ac:dyDescent="0.25">
      <c r="B261" s="434" t="str">
        <f>$B$255</f>
        <v>i = b</v>
      </c>
      <c r="C261" s="559">
        <v>33</v>
      </c>
      <c r="D261" s="560">
        <v>0.81</v>
      </c>
      <c r="E261" s="559">
        <v>184</v>
      </c>
      <c r="F261" s="560">
        <v>0.92</v>
      </c>
      <c r="G261" s="559">
        <v>98</v>
      </c>
      <c r="H261" s="560">
        <v>1.84</v>
      </c>
      <c r="I261" s="559">
        <v>142</v>
      </c>
      <c r="J261" s="560">
        <v>1.53</v>
      </c>
      <c r="K261" s="559">
        <v>106</v>
      </c>
      <c r="L261" s="560">
        <v>1.1200000000000001</v>
      </c>
      <c r="N261" s="231"/>
      <c r="O261" s="231"/>
      <c r="P261" s="231"/>
      <c r="Q261" s="231"/>
    </row>
    <row r="262" spans="2:17" ht="15" customHeight="1" x14ac:dyDescent="0.25">
      <c r="B262" s="434" t="str">
        <f>$B$256</f>
        <v>i = c</v>
      </c>
      <c r="C262" s="559">
        <v>368</v>
      </c>
      <c r="D262" s="560">
        <v>0.7</v>
      </c>
      <c r="E262" s="559">
        <v>368</v>
      </c>
      <c r="F262" s="560">
        <v>0.92</v>
      </c>
      <c r="G262" s="559">
        <v>368</v>
      </c>
      <c r="H262" s="560">
        <v>1.55</v>
      </c>
      <c r="I262" s="559">
        <v>366</v>
      </c>
      <c r="J262" s="560">
        <v>1.27</v>
      </c>
      <c r="K262" s="559">
        <v>366</v>
      </c>
      <c r="L262" s="560">
        <v>0.8</v>
      </c>
      <c r="N262" s="231"/>
      <c r="O262" s="231"/>
      <c r="P262" s="231"/>
      <c r="Q262" s="231"/>
    </row>
    <row r="263" spans="2:17" ht="15" customHeight="1" thickBot="1" x14ac:dyDescent="0.3">
      <c r="B263" s="435" t="str">
        <f>$B$257</f>
        <v>i = d</v>
      </c>
      <c r="C263" s="561">
        <v>1000</v>
      </c>
      <c r="D263" s="562">
        <v>0.7</v>
      </c>
      <c r="E263" s="561">
        <v>1000</v>
      </c>
      <c r="F263" s="562">
        <v>0.92</v>
      </c>
      <c r="G263" s="561">
        <v>1000</v>
      </c>
      <c r="H263" s="562">
        <v>1.55</v>
      </c>
      <c r="I263" s="561">
        <v>1000</v>
      </c>
      <c r="J263" s="562">
        <v>1.27</v>
      </c>
      <c r="K263" s="561">
        <v>1000</v>
      </c>
      <c r="L263" s="562">
        <v>0.8</v>
      </c>
      <c r="N263" s="231"/>
      <c r="O263" s="231"/>
      <c r="P263" s="231"/>
      <c r="Q263" s="231"/>
    </row>
    <row r="264" spans="2:17" ht="15" customHeight="1" thickBot="1" x14ac:dyDescent="0.3">
      <c r="M264" s="121"/>
    </row>
    <row r="265" spans="2:17" ht="15" customHeight="1" thickBot="1" x14ac:dyDescent="0.3">
      <c r="B265" s="534" t="str">
        <f>K23</f>
        <v>Uplift</v>
      </c>
      <c r="C265" s="1715" t="str">
        <f>$D$24</f>
        <v>Roof position 1</v>
      </c>
      <c r="D265" s="1716"/>
      <c r="E265" s="1715" t="str">
        <f>$E$24</f>
        <v>Roof position 2</v>
      </c>
      <c r="F265" s="1716"/>
      <c r="G265" s="1715" t="str">
        <f>$F$24</f>
        <v>Roof position 3</v>
      </c>
      <c r="H265" s="1716"/>
      <c r="I265" s="1715" t="str">
        <f>$G$24</f>
        <v>Roof position 4</v>
      </c>
      <c r="J265" s="1716"/>
      <c r="K265" s="1715" t="str">
        <f>$H$24</f>
        <v>Roof position 5</v>
      </c>
      <c r="L265" s="1716"/>
      <c r="N265" s="231"/>
      <c r="O265" s="231"/>
      <c r="P265" s="231"/>
      <c r="Q265" s="231"/>
    </row>
    <row r="266" spans="2:17" ht="15" customHeight="1" x14ac:dyDescent="0.25">
      <c r="B266" s="429"/>
      <c r="C266" s="563" t="s">
        <v>61</v>
      </c>
      <c r="D266" s="564" t="s">
        <v>41</v>
      </c>
      <c r="E266" s="563" t="str">
        <f>$C$252</f>
        <v>A i</v>
      </c>
      <c r="F266" s="564" t="str">
        <f>$D$252</f>
        <v>kp i</v>
      </c>
      <c r="G266" s="563" t="str">
        <f>$C$252</f>
        <v>A i</v>
      </c>
      <c r="H266" s="564" t="str">
        <f>$D$252</f>
        <v>kp i</v>
      </c>
      <c r="I266" s="563" t="str">
        <f>$C$252</f>
        <v>A i</v>
      </c>
      <c r="J266" s="564" t="str">
        <f>$D$252</f>
        <v>kp i</v>
      </c>
      <c r="K266" s="563" t="str">
        <f>$C$252</f>
        <v>A i</v>
      </c>
      <c r="L266" s="564" t="str">
        <f>$D$252</f>
        <v>kp i</v>
      </c>
      <c r="N266" s="231"/>
      <c r="O266" s="231"/>
      <c r="P266" s="231"/>
      <c r="Q266" s="231"/>
    </row>
    <row r="267" spans="2:17" ht="15" customHeight="1" thickBot="1" x14ac:dyDescent="0.3">
      <c r="B267" s="430"/>
      <c r="C267" s="1711" t="s">
        <v>48</v>
      </c>
      <c r="D267" s="1712">
        <v>0</v>
      </c>
      <c r="E267" s="1711" t="s">
        <v>49</v>
      </c>
      <c r="F267" s="1712">
        <v>0</v>
      </c>
      <c r="G267" s="1711" t="s">
        <v>50</v>
      </c>
      <c r="H267" s="1712">
        <v>0</v>
      </c>
      <c r="I267" s="1711" t="s">
        <v>51</v>
      </c>
      <c r="J267" s="1712">
        <v>0</v>
      </c>
      <c r="K267" s="1711" t="s">
        <v>52</v>
      </c>
      <c r="L267" s="1712">
        <v>0</v>
      </c>
      <c r="N267" s="231"/>
      <c r="O267" s="231"/>
      <c r="P267" s="231"/>
      <c r="Q267" s="231"/>
    </row>
    <row r="268" spans="2:17" ht="15" customHeight="1" x14ac:dyDescent="0.25">
      <c r="B268" s="503" t="str">
        <f>$B$254</f>
        <v>i = a</v>
      </c>
      <c r="C268" s="557">
        <v>1</v>
      </c>
      <c r="D268" s="558">
        <v>1.05</v>
      </c>
      <c r="E268" s="557">
        <v>1</v>
      </c>
      <c r="F268" s="558">
        <v>1</v>
      </c>
      <c r="G268" s="557">
        <v>1</v>
      </c>
      <c r="H268" s="558">
        <v>1.64</v>
      </c>
      <c r="I268" s="557">
        <v>1</v>
      </c>
      <c r="J268" s="558">
        <v>1.1399999999999999</v>
      </c>
      <c r="K268" s="557">
        <v>1</v>
      </c>
      <c r="L268" s="558">
        <v>0.9</v>
      </c>
      <c r="N268" s="231"/>
      <c r="O268" s="231"/>
      <c r="P268" s="231"/>
      <c r="Q268" s="231"/>
    </row>
    <row r="269" spans="2:17" ht="15" customHeight="1" x14ac:dyDescent="0.25">
      <c r="B269" s="434" t="str">
        <f>$B$255</f>
        <v>i = b</v>
      </c>
      <c r="C269" s="559">
        <v>71</v>
      </c>
      <c r="D269" s="560">
        <v>1.05</v>
      </c>
      <c r="E269" s="559">
        <v>184</v>
      </c>
      <c r="F269" s="560">
        <v>1</v>
      </c>
      <c r="G269" s="559">
        <v>106</v>
      </c>
      <c r="H269" s="560">
        <v>1.64</v>
      </c>
      <c r="I269" s="559">
        <v>100</v>
      </c>
      <c r="J269" s="560">
        <v>1.1399999999999999</v>
      </c>
      <c r="K269" s="559">
        <v>160</v>
      </c>
      <c r="L269" s="560">
        <v>0.9</v>
      </c>
      <c r="N269" s="231"/>
      <c r="O269" s="231"/>
      <c r="P269" s="231"/>
      <c r="Q269" s="231"/>
    </row>
    <row r="270" spans="2:17" ht="15" customHeight="1" x14ac:dyDescent="0.25">
      <c r="B270" s="434" t="str">
        <f>$B$256</f>
        <v>i = c</v>
      </c>
      <c r="C270" s="559">
        <v>368</v>
      </c>
      <c r="D270" s="560">
        <v>0.72</v>
      </c>
      <c r="E270" s="559">
        <v>368</v>
      </c>
      <c r="F270" s="560">
        <v>0.92</v>
      </c>
      <c r="G270" s="559">
        <v>368</v>
      </c>
      <c r="H270" s="560">
        <v>1.4</v>
      </c>
      <c r="I270" s="559">
        <v>366</v>
      </c>
      <c r="J270" s="560">
        <v>1</v>
      </c>
      <c r="K270" s="559">
        <v>366</v>
      </c>
      <c r="L270" s="560">
        <v>0.8</v>
      </c>
      <c r="N270" s="231"/>
      <c r="O270" s="231"/>
      <c r="P270" s="231"/>
      <c r="Q270" s="231"/>
    </row>
    <row r="271" spans="2:17" ht="15" customHeight="1" thickBot="1" x14ac:dyDescent="0.3">
      <c r="B271" s="435" t="str">
        <f>$B$257</f>
        <v>i = d</v>
      </c>
      <c r="C271" s="561">
        <v>1000</v>
      </c>
      <c r="D271" s="562">
        <v>0.72</v>
      </c>
      <c r="E271" s="561">
        <v>1000</v>
      </c>
      <c r="F271" s="562">
        <v>0.92</v>
      </c>
      <c r="G271" s="561">
        <v>1000</v>
      </c>
      <c r="H271" s="562">
        <v>1.4</v>
      </c>
      <c r="I271" s="561">
        <v>1000</v>
      </c>
      <c r="J271" s="562">
        <v>1</v>
      </c>
      <c r="K271" s="561">
        <v>1000</v>
      </c>
      <c r="L271" s="562">
        <v>0.8</v>
      </c>
      <c r="N271" s="231"/>
      <c r="O271" s="231"/>
      <c r="P271" s="231"/>
      <c r="Q271" s="231"/>
    </row>
    <row r="272" spans="2:17" ht="15" customHeight="1" x14ac:dyDescent="0.25">
      <c r="B272" s="429"/>
      <c r="C272" s="563" t="str">
        <f>$C$252</f>
        <v>A i</v>
      </c>
      <c r="D272" s="564" t="str">
        <f>$D$252</f>
        <v>kp i</v>
      </c>
      <c r="E272" s="563" t="str">
        <f>$C$252</f>
        <v>A i</v>
      </c>
      <c r="F272" s="564" t="str">
        <f>$D$252</f>
        <v>kp i</v>
      </c>
      <c r="G272" s="563" t="str">
        <f>$C$252</f>
        <v>A i</v>
      </c>
      <c r="H272" s="564" t="str">
        <f>$D$252</f>
        <v>kp i</v>
      </c>
      <c r="I272" s="563" t="str">
        <f>$C$252</f>
        <v>A i</v>
      </c>
      <c r="J272" s="564" t="str">
        <f>$D$252</f>
        <v>kp i</v>
      </c>
      <c r="K272" s="563" t="str">
        <f>$C$252</f>
        <v>A i</v>
      </c>
      <c r="L272" s="564" t="str">
        <f>$D$252</f>
        <v>kp i</v>
      </c>
      <c r="N272" s="231"/>
      <c r="O272" s="231"/>
      <c r="P272" s="231"/>
      <c r="Q272" s="231"/>
    </row>
    <row r="273" spans="2:17" ht="15" customHeight="1" thickBot="1" x14ac:dyDescent="0.3">
      <c r="B273" s="430"/>
      <c r="C273" s="1713" t="s">
        <v>53</v>
      </c>
      <c r="D273" s="1714">
        <v>0</v>
      </c>
      <c r="E273" s="1713" t="s">
        <v>54</v>
      </c>
      <c r="F273" s="1714">
        <v>0</v>
      </c>
      <c r="G273" s="1713" t="s">
        <v>55</v>
      </c>
      <c r="H273" s="1714">
        <v>0</v>
      </c>
      <c r="I273" s="1713" t="s">
        <v>56</v>
      </c>
      <c r="J273" s="1714">
        <v>0</v>
      </c>
      <c r="K273" s="1713" t="s">
        <v>57</v>
      </c>
      <c r="L273" s="1714">
        <v>0</v>
      </c>
      <c r="N273" s="231"/>
      <c r="O273" s="231"/>
      <c r="P273" s="231"/>
      <c r="Q273" s="231"/>
    </row>
    <row r="274" spans="2:17" ht="15" customHeight="1" x14ac:dyDescent="0.25">
      <c r="B274" s="503" t="str">
        <f>$B$254</f>
        <v>i = a</v>
      </c>
      <c r="C274" s="557">
        <v>1</v>
      </c>
      <c r="D274" s="558">
        <v>0.81</v>
      </c>
      <c r="E274" s="557">
        <v>1</v>
      </c>
      <c r="F274" s="558">
        <v>0.92</v>
      </c>
      <c r="G274" s="557">
        <v>1</v>
      </c>
      <c r="H274" s="558">
        <v>1.96</v>
      </c>
      <c r="I274" s="557">
        <v>1</v>
      </c>
      <c r="J274" s="558">
        <v>1.62</v>
      </c>
      <c r="K274" s="557">
        <v>1</v>
      </c>
      <c r="L274" s="558">
        <v>1.1200000000000001</v>
      </c>
      <c r="N274" s="231"/>
      <c r="O274" s="231"/>
      <c r="P274" s="231"/>
      <c r="Q274" s="231"/>
    </row>
    <row r="275" spans="2:17" ht="15" customHeight="1" x14ac:dyDescent="0.25">
      <c r="B275" s="434" t="str">
        <f>$B$255</f>
        <v>i = b</v>
      </c>
      <c r="C275" s="559">
        <v>33</v>
      </c>
      <c r="D275" s="560">
        <v>0.81</v>
      </c>
      <c r="E275" s="559">
        <v>184</v>
      </c>
      <c r="F275" s="560">
        <v>0.92</v>
      </c>
      <c r="G275" s="559">
        <v>98</v>
      </c>
      <c r="H275" s="560">
        <v>1.96</v>
      </c>
      <c r="I275" s="559">
        <v>142</v>
      </c>
      <c r="J275" s="560">
        <v>1.62</v>
      </c>
      <c r="K275" s="559">
        <v>106</v>
      </c>
      <c r="L275" s="560">
        <v>1.1200000000000001</v>
      </c>
      <c r="N275" s="231"/>
      <c r="O275" s="231"/>
      <c r="P275" s="231"/>
      <c r="Q275" s="231"/>
    </row>
    <row r="276" spans="2:17" ht="15" customHeight="1" x14ac:dyDescent="0.25">
      <c r="B276" s="434" t="str">
        <f>$B$256</f>
        <v>i = c</v>
      </c>
      <c r="C276" s="559">
        <v>368</v>
      </c>
      <c r="D276" s="560">
        <v>0.7</v>
      </c>
      <c r="E276" s="559">
        <v>368</v>
      </c>
      <c r="F276" s="560">
        <v>0.92</v>
      </c>
      <c r="G276" s="559">
        <v>368</v>
      </c>
      <c r="H276" s="560">
        <v>1.7</v>
      </c>
      <c r="I276" s="559">
        <v>366</v>
      </c>
      <c r="J276" s="560">
        <v>1.4</v>
      </c>
      <c r="K276" s="559">
        <v>366</v>
      </c>
      <c r="L276" s="560">
        <v>0.8</v>
      </c>
      <c r="N276" s="231"/>
      <c r="O276" s="231"/>
      <c r="P276" s="231"/>
      <c r="Q276" s="231"/>
    </row>
    <row r="277" spans="2:17" ht="15" customHeight="1" thickBot="1" x14ac:dyDescent="0.3">
      <c r="B277" s="435" t="str">
        <f>$B$257</f>
        <v>i = d</v>
      </c>
      <c r="C277" s="561">
        <v>1000</v>
      </c>
      <c r="D277" s="562">
        <v>0.7</v>
      </c>
      <c r="E277" s="561">
        <v>1000</v>
      </c>
      <c r="F277" s="562">
        <v>0.92</v>
      </c>
      <c r="G277" s="561">
        <v>1000</v>
      </c>
      <c r="H277" s="562">
        <v>1.7</v>
      </c>
      <c r="I277" s="561">
        <v>1000</v>
      </c>
      <c r="J277" s="562">
        <v>1.4</v>
      </c>
      <c r="K277" s="561">
        <v>1000</v>
      </c>
      <c r="L277" s="562">
        <v>0.8</v>
      </c>
      <c r="N277" s="231"/>
      <c r="O277" s="231"/>
      <c r="P277" s="231"/>
      <c r="Q277" s="231"/>
    </row>
  </sheetData>
  <mergeCells count="158">
    <mergeCell ref="C267:D267"/>
    <mergeCell ref="E267:F267"/>
    <mergeCell ref="G267:H267"/>
    <mergeCell ref="I267:J267"/>
    <mergeCell ref="K267:L267"/>
    <mergeCell ref="C273:D273"/>
    <mergeCell ref="E273:F273"/>
    <mergeCell ref="G273:H273"/>
    <mergeCell ref="I273:J273"/>
    <mergeCell ref="K273:L273"/>
    <mergeCell ref="C259:D259"/>
    <mergeCell ref="E259:F259"/>
    <mergeCell ref="G259:H259"/>
    <mergeCell ref="I259:J259"/>
    <mergeCell ref="K259:L259"/>
    <mergeCell ref="C265:D265"/>
    <mergeCell ref="E265:F265"/>
    <mergeCell ref="G265:H265"/>
    <mergeCell ref="I265:J265"/>
    <mergeCell ref="K265:L265"/>
    <mergeCell ref="C251:D251"/>
    <mergeCell ref="E251:F251"/>
    <mergeCell ref="G251:H251"/>
    <mergeCell ref="I251:J251"/>
    <mergeCell ref="K251:L251"/>
    <mergeCell ref="C253:D253"/>
    <mergeCell ref="E253:F253"/>
    <mergeCell ref="G253:H253"/>
    <mergeCell ref="I253:J253"/>
    <mergeCell ref="K253:L253"/>
    <mergeCell ref="C233:E233"/>
    <mergeCell ref="F233:H233"/>
    <mergeCell ref="I233:K233"/>
    <mergeCell ref="L233:N233"/>
    <mergeCell ref="O233:Q233"/>
    <mergeCell ref="B247:B249"/>
    <mergeCell ref="C219:E219"/>
    <mergeCell ref="F219:H219"/>
    <mergeCell ref="I219:K219"/>
    <mergeCell ref="L219:N219"/>
    <mergeCell ref="O219:Q219"/>
    <mergeCell ref="C226:E226"/>
    <mergeCell ref="F226:H226"/>
    <mergeCell ref="I226:K226"/>
    <mergeCell ref="L226:N226"/>
    <mergeCell ref="O226:Q226"/>
    <mergeCell ref="C205:E205"/>
    <mergeCell ref="F205:H205"/>
    <mergeCell ref="I205:K205"/>
    <mergeCell ref="L205:N205"/>
    <mergeCell ref="O205:Q205"/>
    <mergeCell ref="C212:E212"/>
    <mergeCell ref="F212:H212"/>
    <mergeCell ref="I212:K212"/>
    <mergeCell ref="L212:N212"/>
    <mergeCell ref="O212:Q212"/>
    <mergeCell ref="C191:E191"/>
    <mergeCell ref="F191:H191"/>
    <mergeCell ref="I191:K191"/>
    <mergeCell ref="L191:N191"/>
    <mergeCell ref="O191:Q191"/>
    <mergeCell ref="C198:E198"/>
    <mergeCell ref="F198:H198"/>
    <mergeCell ref="I198:K198"/>
    <mergeCell ref="L198:N198"/>
    <mergeCell ref="O198:Q198"/>
    <mergeCell ref="C183:E183"/>
    <mergeCell ref="F183:H183"/>
    <mergeCell ref="I183:K183"/>
    <mergeCell ref="L183:N183"/>
    <mergeCell ref="O183:Q183"/>
    <mergeCell ref="C184:E184"/>
    <mergeCell ref="F184:H184"/>
    <mergeCell ref="I184:K184"/>
    <mergeCell ref="L184:N184"/>
    <mergeCell ref="O184:Q184"/>
    <mergeCell ref="C168:E168"/>
    <mergeCell ref="F168:H168"/>
    <mergeCell ref="I168:K168"/>
    <mergeCell ref="L168:N168"/>
    <mergeCell ref="O168:Q168"/>
    <mergeCell ref="C175:E175"/>
    <mergeCell ref="F175:H175"/>
    <mergeCell ref="I175:K175"/>
    <mergeCell ref="L175:N175"/>
    <mergeCell ref="O175:Q175"/>
    <mergeCell ref="C154:E154"/>
    <mergeCell ref="F154:H154"/>
    <mergeCell ref="I154:K154"/>
    <mergeCell ref="L154:N154"/>
    <mergeCell ref="O154:Q154"/>
    <mergeCell ref="C161:E161"/>
    <mergeCell ref="F161:H161"/>
    <mergeCell ref="I161:K161"/>
    <mergeCell ref="L161:N161"/>
    <mergeCell ref="O161:Q161"/>
    <mergeCell ref="C140:E140"/>
    <mergeCell ref="F140:H140"/>
    <mergeCell ref="I140:K140"/>
    <mergeCell ref="L140:N140"/>
    <mergeCell ref="O140:Q140"/>
    <mergeCell ref="C147:E147"/>
    <mergeCell ref="F147:H147"/>
    <mergeCell ref="I147:K147"/>
    <mergeCell ref="L147:N147"/>
    <mergeCell ref="O147:Q147"/>
    <mergeCell ref="C126:E126"/>
    <mergeCell ref="F126:H126"/>
    <mergeCell ref="I126:K126"/>
    <mergeCell ref="L126:N126"/>
    <mergeCell ref="O126:Q126"/>
    <mergeCell ref="C133:E133"/>
    <mergeCell ref="F133:H133"/>
    <mergeCell ref="I133:K133"/>
    <mergeCell ref="L133:N133"/>
    <mergeCell ref="O133:Q133"/>
    <mergeCell ref="B121:B122"/>
    <mergeCell ref="C125:E125"/>
    <mergeCell ref="F125:H125"/>
    <mergeCell ref="I125:K125"/>
    <mergeCell ref="L125:N125"/>
    <mergeCell ref="O125:Q125"/>
    <mergeCell ref="B103:B104"/>
    <mergeCell ref="B105:B106"/>
    <mergeCell ref="B107:B108"/>
    <mergeCell ref="B115:B116"/>
    <mergeCell ref="B117:B118"/>
    <mergeCell ref="B119:B120"/>
    <mergeCell ref="B79:B80"/>
    <mergeCell ref="B87:B88"/>
    <mergeCell ref="B89:B90"/>
    <mergeCell ref="B91:B92"/>
    <mergeCell ref="B93:B94"/>
    <mergeCell ref="B101:B102"/>
    <mergeCell ref="B61:B62"/>
    <mergeCell ref="B63:B64"/>
    <mergeCell ref="B65:B66"/>
    <mergeCell ref="B73:B74"/>
    <mergeCell ref="B75:B76"/>
    <mergeCell ref="B77:B78"/>
    <mergeCell ref="B54:B55"/>
    <mergeCell ref="B56:B57"/>
    <mergeCell ref="B59:B60"/>
    <mergeCell ref="B28:B29"/>
    <mergeCell ref="B30:B31"/>
    <mergeCell ref="B32:B33"/>
    <mergeCell ref="B35:B36"/>
    <mergeCell ref="B37:B38"/>
    <mergeCell ref="B39:B40"/>
    <mergeCell ref="B5:L5"/>
    <mergeCell ref="C9:D9"/>
    <mergeCell ref="C10:D10"/>
    <mergeCell ref="C11:D11"/>
    <mergeCell ref="C12:D12"/>
    <mergeCell ref="B26:B27"/>
    <mergeCell ref="B41:B42"/>
    <mergeCell ref="B50:B51"/>
    <mergeCell ref="B52:B53"/>
  </mergeCells>
  <pageMargins left="0.75" right="0.75" top="1" bottom="1" header="0.4921259845" footer="0.4921259845"/>
  <pageSetup paperSize="9" scale="1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CF45"/>
  <sheetViews>
    <sheetView tabSelected="1" topLeftCell="A25" zoomScaleNormal="100" workbookViewId="0">
      <selection activeCell="B32" sqref="B32"/>
    </sheetView>
  </sheetViews>
  <sheetFormatPr defaultRowHeight="18" x14ac:dyDescent="0.25"/>
  <cols>
    <col min="1" max="1" width="33.625" style="704" customWidth="1"/>
    <col min="2" max="3" width="35.75" style="705" customWidth="1"/>
    <col min="4" max="4" width="7.75" style="665" customWidth="1"/>
    <col min="5" max="5" width="83.125" style="664" customWidth="1"/>
    <col min="6" max="6" width="1.75" style="664" customWidth="1"/>
    <col min="7" max="7" width="9.125" style="665" bestFit="1" customWidth="1"/>
    <col min="8" max="8" width="6.25" style="665" bestFit="1" customWidth="1"/>
    <col min="9" max="9" width="9.25" style="666" customWidth="1"/>
    <col min="10" max="10" width="13.75" style="666" bestFit="1" customWidth="1"/>
    <col min="11" max="11" width="9.875" style="666" bestFit="1" customWidth="1"/>
    <col min="12" max="12" width="5" style="713" bestFit="1" customWidth="1"/>
    <col min="13" max="13" width="10.125" style="713" bestFit="1" customWidth="1"/>
    <col min="14" max="6844" width="8.875" style="713"/>
  </cols>
  <sheetData>
    <row r="1" spans="1:7" ht="10.9" customHeight="1" x14ac:dyDescent="0.25">
      <c r="A1" s="660"/>
      <c r="B1" s="661" t="s">
        <v>87</v>
      </c>
      <c r="C1" s="661"/>
      <c r="D1" s="662"/>
      <c r="E1" s="663"/>
    </row>
    <row r="2" spans="1:7" ht="30" customHeight="1" x14ac:dyDescent="0.25">
      <c r="A2" s="667" t="s">
        <v>88</v>
      </c>
      <c r="B2" s="668"/>
      <c r="C2" s="668" t="s">
        <v>525</v>
      </c>
      <c r="D2" s="669"/>
      <c r="E2" s="670"/>
      <c r="G2" s="671"/>
    </row>
    <row r="3" spans="1:7" ht="30" customHeight="1" x14ac:dyDescent="0.25">
      <c r="A3" s="672" t="s">
        <v>89</v>
      </c>
      <c r="B3" s="673"/>
      <c r="C3" s="673" t="s">
        <v>524</v>
      </c>
      <c r="D3" s="674"/>
      <c r="E3" s="675"/>
    </row>
    <row r="4" spans="1:7" ht="22.15" customHeight="1" x14ac:dyDescent="0.25">
      <c r="A4" s="678" t="s">
        <v>90</v>
      </c>
      <c r="B4" s="676" t="s">
        <v>532</v>
      </c>
      <c r="C4" s="676"/>
      <c r="D4" s="679"/>
      <c r="E4" s="679"/>
    </row>
    <row r="5" spans="1:7" ht="22.15" customHeight="1" x14ac:dyDescent="0.25">
      <c r="A5" s="707" t="s">
        <v>91</v>
      </c>
      <c r="B5" s="677" t="s">
        <v>533</v>
      </c>
      <c r="C5" s="677"/>
      <c r="D5" s="701"/>
      <c r="E5" s="701"/>
    </row>
    <row r="6" spans="1:7" ht="22.15" customHeight="1" x14ac:dyDescent="0.25">
      <c r="A6" s="678" t="s">
        <v>92</v>
      </c>
      <c r="B6" s="676" t="s">
        <v>534</v>
      </c>
      <c r="C6" s="676"/>
      <c r="D6" s="1083" t="s">
        <v>93</v>
      </c>
      <c r="E6" s="1083"/>
    </row>
    <row r="7" spans="1:7" ht="22.15" customHeight="1" x14ac:dyDescent="0.25">
      <c r="A7" s="707" t="s">
        <v>158</v>
      </c>
      <c r="B7" s="677" t="s">
        <v>535</v>
      </c>
      <c r="C7" s="677"/>
      <c r="D7" s="1108"/>
      <c r="E7" s="1108"/>
    </row>
    <row r="8" spans="1:7" ht="22.15" customHeight="1" x14ac:dyDescent="0.25">
      <c r="A8" s="708" t="s">
        <v>94</v>
      </c>
      <c r="B8" s="714" t="s">
        <v>536</v>
      </c>
      <c r="C8" s="714"/>
      <c r="D8" s="1106" t="s">
        <v>95</v>
      </c>
      <c r="E8" s="1106"/>
      <c r="F8" s="680"/>
    </row>
    <row r="9" spans="1:7" ht="22.15" customHeight="1" x14ac:dyDescent="0.25">
      <c r="A9" s="709" t="s">
        <v>96</v>
      </c>
      <c r="B9" s="681">
        <v>27332</v>
      </c>
      <c r="C9" s="681"/>
      <c r="D9" s="1107" t="e">
        <f>B8&amp;", "&amp;(VLOOKUP('1-Eng Inputs'!B9,#REF!,2))&amp;", "&amp;(VLOOKUP('1-Eng Inputs'!B9,#REF!,3))&amp;" "&amp;'1-Eng Inputs'!B9</f>
        <v>#REF!</v>
      </c>
      <c r="E9" s="1107"/>
      <c r="F9" s="682"/>
    </row>
    <row r="10" spans="1:7" ht="22.15" customHeight="1" x14ac:dyDescent="0.25">
      <c r="A10" s="708" t="s">
        <v>97</v>
      </c>
      <c r="B10" s="676" t="s">
        <v>147</v>
      </c>
      <c r="C10" s="676"/>
      <c r="D10" s="1083"/>
      <c r="E10" s="1083"/>
      <c r="G10" s="671"/>
    </row>
    <row r="11" spans="1:7" ht="30" customHeight="1" x14ac:dyDescent="0.25">
      <c r="A11" s="667" t="s">
        <v>100</v>
      </c>
      <c r="B11" s="683"/>
      <c r="C11" s="683"/>
      <c r="D11" s="684"/>
      <c r="E11" s="670"/>
    </row>
    <row r="12" spans="1:7" ht="22.15" customHeight="1" x14ac:dyDescent="0.25">
      <c r="A12" s="710" t="s">
        <v>101</v>
      </c>
      <c r="B12" s="685" t="s">
        <v>537</v>
      </c>
      <c r="C12" s="685"/>
      <c r="D12" s="662"/>
      <c r="E12" s="662"/>
    </row>
    <row r="13" spans="1:7" ht="22.15" customHeight="1" x14ac:dyDescent="0.25">
      <c r="A13" s="711" t="s">
        <v>102</v>
      </c>
      <c r="B13" s="686" t="s">
        <v>538</v>
      </c>
      <c r="C13" s="686"/>
      <c r="D13" s="702"/>
      <c r="E13" s="702"/>
    </row>
    <row r="14" spans="1:7" ht="22.15" customHeight="1" x14ac:dyDescent="0.25">
      <c r="A14" s="710" t="s">
        <v>103</v>
      </c>
      <c r="B14" s="685">
        <v>345</v>
      </c>
      <c r="C14" s="685"/>
      <c r="D14" s="687" t="s">
        <v>104</v>
      </c>
      <c r="E14" s="662"/>
    </row>
    <row r="15" spans="1:7" ht="22.15" customHeight="1" x14ac:dyDescent="0.25">
      <c r="A15" s="711" t="s">
        <v>105</v>
      </c>
      <c r="B15" s="688">
        <v>78.45</v>
      </c>
      <c r="C15" s="688"/>
      <c r="D15" s="689"/>
      <c r="E15" s="703" t="s">
        <v>143</v>
      </c>
    </row>
    <row r="16" spans="1:7" ht="22.15" customHeight="1" x14ac:dyDescent="0.25">
      <c r="A16" s="710" t="s">
        <v>106</v>
      </c>
      <c r="B16" s="690">
        <v>39.4</v>
      </c>
      <c r="C16" s="690"/>
      <c r="D16" s="689"/>
      <c r="E16" s="712" t="s">
        <v>144</v>
      </c>
    </row>
    <row r="17" spans="1:11" ht="22.15" customHeight="1" x14ac:dyDescent="0.25">
      <c r="A17" s="711" t="s">
        <v>107</v>
      </c>
      <c r="B17" s="688">
        <v>47.6</v>
      </c>
      <c r="C17" s="688"/>
      <c r="D17" s="689"/>
      <c r="E17" s="703" t="s">
        <v>145</v>
      </c>
    </row>
    <row r="18" spans="1:11" ht="22.15" customHeight="1" x14ac:dyDescent="0.25">
      <c r="A18" s="710" t="s">
        <v>108</v>
      </c>
      <c r="B18" s="685">
        <v>595</v>
      </c>
      <c r="C18" s="685"/>
      <c r="D18" s="1103"/>
      <c r="E18" s="1103"/>
    </row>
    <row r="19" spans="1:11" ht="30" customHeight="1" x14ac:dyDescent="0.25">
      <c r="A19" s="672" t="s">
        <v>109</v>
      </c>
      <c r="B19" s="691"/>
      <c r="C19" s="691"/>
      <c r="D19" s="692"/>
      <c r="E19" s="675"/>
    </row>
    <row r="20" spans="1:11" ht="22.15" customHeight="1" x14ac:dyDescent="0.25">
      <c r="A20" s="678" t="s">
        <v>160</v>
      </c>
      <c r="B20" s="676">
        <v>300</v>
      </c>
      <c r="C20" s="676"/>
      <c r="D20" s="1093" t="s">
        <v>163</v>
      </c>
      <c r="E20" s="1093"/>
    </row>
    <row r="21" spans="1:11" ht="22.15" customHeight="1" x14ac:dyDescent="0.25">
      <c r="A21" s="709" t="s">
        <v>159</v>
      </c>
      <c r="B21" s="677">
        <v>300</v>
      </c>
      <c r="C21" s="677"/>
      <c r="D21" s="1099" t="s">
        <v>164</v>
      </c>
      <c r="E21" s="1099"/>
    </row>
    <row r="22" spans="1:11" ht="22.15" customHeight="1" x14ac:dyDescent="0.25">
      <c r="A22" s="678" t="s">
        <v>110</v>
      </c>
      <c r="B22" s="676">
        <v>24</v>
      </c>
      <c r="C22" s="676"/>
      <c r="D22" s="1093"/>
      <c r="E22" s="1093"/>
    </row>
    <row r="23" spans="1:11" ht="22.15" customHeight="1" x14ac:dyDescent="0.25">
      <c r="A23" s="709" t="s">
        <v>111</v>
      </c>
      <c r="B23" s="677">
        <v>110</v>
      </c>
      <c r="C23" s="677"/>
      <c r="D23" s="1099" t="s">
        <v>112</v>
      </c>
      <c r="E23" s="1099"/>
    </row>
    <row r="24" spans="1:11" ht="33" customHeight="1" x14ac:dyDescent="0.25">
      <c r="A24" s="678" t="s">
        <v>113</v>
      </c>
      <c r="B24" s="676" t="s">
        <v>23</v>
      </c>
      <c r="C24" s="676"/>
      <c r="D24" s="1083" t="s">
        <v>114</v>
      </c>
      <c r="E24" s="1083"/>
    </row>
    <row r="25" spans="1:11" ht="33" customHeight="1" x14ac:dyDescent="0.25">
      <c r="A25" s="709" t="s">
        <v>115</v>
      </c>
      <c r="B25" s="677" t="s">
        <v>116</v>
      </c>
      <c r="C25" s="677"/>
      <c r="D25" s="1099" t="s">
        <v>117</v>
      </c>
      <c r="E25" s="1099"/>
    </row>
    <row r="26" spans="1:11" ht="22.15" customHeight="1" x14ac:dyDescent="0.25">
      <c r="A26" s="678" t="s">
        <v>118</v>
      </c>
      <c r="B26" s="676">
        <v>15</v>
      </c>
      <c r="C26" s="676"/>
      <c r="D26" s="1083" t="s">
        <v>119</v>
      </c>
      <c r="E26" s="1083"/>
      <c r="G26" s="1088"/>
      <c r="H26" s="1088"/>
      <c r="I26" s="1088"/>
      <c r="J26" s="1088"/>
      <c r="K26" s="1088"/>
    </row>
    <row r="27" spans="1:11" ht="22.15" customHeight="1" x14ac:dyDescent="0.25">
      <c r="A27" s="709" t="s">
        <v>162</v>
      </c>
      <c r="B27" s="677">
        <v>0.18990000000000001</v>
      </c>
      <c r="C27" s="677"/>
      <c r="D27" s="1099" t="str">
        <f>IF(B35&gt;7,IF(#REF!&gt;0,"Seismic is too high for roof slope entered below","Seismic rating for the area identified.  Typically, if the seismic is greater than 1, the system will require attachment at select points. From ASCE 7-05.  Based on the address of the jobsite."),"Seismic rating for the area identified.  Typically, if the seismic is greater than 1, the system will require attachment at select points. From ASCE 7-05.  Based on the address of the jobsite.")</f>
        <v>Seismic rating for the area identified.  Typically, if the seismic is greater than 1, the system will require attachment at select points. From ASCE 7-05.  Based on the address of the jobsite.</v>
      </c>
      <c r="E27" s="1099"/>
      <c r="G27" s="698"/>
      <c r="H27" s="698"/>
      <c r="I27" s="698"/>
      <c r="J27" s="698"/>
      <c r="K27" s="698"/>
    </row>
    <row r="28" spans="1:11" ht="30" customHeight="1" x14ac:dyDescent="0.25">
      <c r="A28" s="678" t="s">
        <v>120</v>
      </c>
      <c r="B28" s="676" t="s">
        <v>121</v>
      </c>
      <c r="C28" s="676"/>
      <c r="D28" s="1100" t="s">
        <v>122</v>
      </c>
      <c r="E28" s="1100"/>
      <c r="G28" s="698"/>
      <c r="H28" s="698"/>
      <c r="I28" s="698"/>
      <c r="J28" s="698"/>
      <c r="K28" s="698"/>
    </row>
    <row r="29" spans="1:11" ht="22.15" customHeight="1" thickBot="1" x14ac:dyDescent="0.3">
      <c r="A29" s="709" t="s">
        <v>166</v>
      </c>
      <c r="B29" s="677">
        <v>320</v>
      </c>
      <c r="C29" s="677"/>
      <c r="D29" s="1094" t="s">
        <v>167</v>
      </c>
      <c r="E29" s="1094"/>
    </row>
    <row r="30" spans="1:11" ht="30" customHeight="1" thickBot="1" x14ac:dyDescent="0.3">
      <c r="A30" s="667" t="s">
        <v>123</v>
      </c>
      <c r="B30" s="693"/>
      <c r="C30" s="693"/>
      <c r="D30" s="694"/>
      <c r="E30" s="670"/>
      <c r="G30" s="1096" t="s">
        <v>130</v>
      </c>
      <c r="H30" s="1097"/>
      <c r="I30" s="1097"/>
      <c r="J30" s="1097"/>
      <c r="K30" s="1098"/>
    </row>
    <row r="31" spans="1:11" ht="22.15" customHeight="1" thickBot="1" x14ac:dyDescent="0.3">
      <c r="A31" s="710" t="s">
        <v>124</v>
      </c>
      <c r="B31" s="685">
        <v>2010</v>
      </c>
      <c r="C31" s="685"/>
      <c r="D31" s="1101" t="s">
        <v>125</v>
      </c>
      <c r="E31" s="1101"/>
      <c r="G31" s="696" t="s">
        <v>134</v>
      </c>
      <c r="H31" s="697">
        <v>0.25</v>
      </c>
      <c r="I31" s="1084"/>
      <c r="J31" s="1085"/>
      <c r="K31" s="1086"/>
    </row>
    <row r="32" spans="1:11" ht="22.15" customHeight="1" thickBot="1" x14ac:dyDescent="0.3">
      <c r="A32" s="711" t="s">
        <v>155</v>
      </c>
      <c r="B32" s="686" t="s">
        <v>99</v>
      </c>
      <c r="C32" s="686">
        <f>IF(B32="NO",0,IF(B32="YES",1,"ERROR"))</f>
        <v>0</v>
      </c>
      <c r="D32" s="1104" t="s">
        <v>156</v>
      </c>
      <c r="E32" s="1104"/>
      <c r="G32" s="696" t="s">
        <v>138</v>
      </c>
      <c r="H32" s="697">
        <v>12</v>
      </c>
      <c r="I32" s="1087"/>
      <c r="J32" s="1088"/>
      <c r="K32" s="1089"/>
    </row>
    <row r="33" spans="1:15" ht="22.15" customHeight="1" thickBot="1" x14ac:dyDescent="0.3">
      <c r="A33" s="710" t="s">
        <v>127</v>
      </c>
      <c r="B33" s="685" t="s">
        <v>128</v>
      </c>
      <c r="C33" s="685">
        <f>IF(B33="Landscape",1,IF(B33="Portrait",0,"ERROR"))</f>
        <v>1</v>
      </c>
      <c r="D33" s="1103" t="s">
        <v>157</v>
      </c>
      <c r="E33" s="1103"/>
      <c r="F33" s="682"/>
      <c r="G33" s="699" t="s">
        <v>141</v>
      </c>
      <c r="H33" s="700">
        <f>DEGREES(ATAN(H31/H32))</f>
        <v>1.1934894239820351</v>
      </c>
      <c r="I33" s="1090"/>
      <c r="J33" s="1091"/>
      <c r="K33" s="1092"/>
    </row>
    <row r="34" spans="1:15" ht="22.15" customHeight="1" x14ac:dyDescent="0.25">
      <c r="A34" s="711" t="s">
        <v>161</v>
      </c>
      <c r="B34" s="686">
        <v>34</v>
      </c>
      <c r="C34" s="686"/>
      <c r="D34" s="1104"/>
      <c r="E34" s="1104"/>
      <c r="F34" s="695"/>
      <c r="G34" s="1095" t="s">
        <v>142</v>
      </c>
      <c r="H34" s="1095"/>
      <c r="I34" s="1095"/>
      <c r="J34" s="1095"/>
      <c r="K34" s="1095"/>
    </row>
    <row r="35" spans="1:15" ht="22.15" customHeight="1" x14ac:dyDescent="0.25">
      <c r="A35" s="710" t="s">
        <v>129</v>
      </c>
      <c r="B35" s="690">
        <v>1.1934894239820351</v>
      </c>
      <c r="C35" s="690"/>
      <c r="D35" s="1105" t="s">
        <v>165</v>
      </c>
      <c r="E35" s="1105"/>
    </row>
    <row r="36" spans="1:15" ht="22.15" customHeight="1" x14ac:dyDescent="0.25">
      <c r="A36" s="711" t="s">
        <v>131</v>
      </c>
      <c r="B36" s="686" t="s">
        <v>132</v>
      </c>
      <c r="C36" s="686"/>
      <c r="D36" s="1102" t="s">
        <v>133</v>
      </c>
      <c r="E36" s="1102"/>
    </row>
    <row r="37" spans="1:15" ht="22.15" customHeight="1" x14ac:dyDescent="0.25">
      <c r="A37" s="710" t="s">
        <v>135</v>
      </c>
      <c r="B37" s="685" t="s">
        <v>136</v>
      </c>
      <c r="C37" s="685"/>
      <c r="D37" s="1103" t="s">
        <v>137</v>
      </c>
      <c r="E37" s="1103"/>
    </row>
    <row r="38" spans="1:15" ht="22.15" customHeight="1" x14ac:dyDescent="0.25">
      <c r="A38" s="711" t="s">
        <v>139</v>
      </c>
      <c r="B38" s="686">
        <v>5</v>
      </c>
      <c r="C38" s="686"/>
      <c r="D38" s="1104" t="s">
        <v>140</v>
      </c>
      <c r="E38" s="1104"/>
    </row>
    <row r="40" spans="1:15" hidden="1" x14ac:dyDescent="0.25">
      <c r="G40" s="706" t="s">
        <v>136</v>
      </c>
      <c r="H40" s="706" t="s">
        <v>116</v>
      </c>
      <c r="I40" s="706" t="s">
        <v>22</v>
      </c>
      <c r="J40" s="706" t="s">
        <v>98</v>
      </c>
      <c r="K40" s="706" t="s">
        <v>128</v>
      </c>
      <c r="L40" s="706">
        <v>2005</v>
      </c>
      <c r="M40" s="706" t="s">
        <v>132</v>
      </c>
      <c r="N40" s="706"/>
    </row>
    <row r="41" spans="1:15" hidden="1" x14ac:dyDescent="0.25">
      <c r="G41" s="706" t="s">
        <v>99</v>
      </c>
      <c r="H41" s="706" t="s">
        <v>146</v>
      </c>
      <c r="I41" s="706" t="s">
        <v>23</v>
      </c>
      <c r="J41" s="706" t="s">
        <v>147</v>
      </c>
      <c r="K41" s="706" t="s">
        <v>148</v>
      </c>
      <c r="L41" s="706">
        <v>2010</v>
      </c>
      <c r="M41" s="706" t="s">
        <v>183</v>
      </c>
      <c r="N41" s="706"/>
    </row>
    <row r="42" spans="1:15" hidden="1" x14ac:dyDescent="0.25">
      <c r="G42" s="706"/>
      <c r="H42" s="706" t="s">
        <v>121</v>
      </c>
      <c r="I42" s="706" t="s">
        <v>24</v>
      </c>
      <c r="J42" s="706" t="s">
        <v>149</v>
      </c>
      <c r="K42" s="706"/>
      <c r="L42" s="706"/>
      <c r="M42" s="706"/>
      <c r="N42" s="706"/>
      <c r="O42" s="706"/>
    </row>
    <row r="43" spans="1:15" hidden="1" x14ac:dyDescent="0.25">
      <c r="G43" s="706"/>
      <c r="H43" s="706" t="s">
        <v>182</v>
      </c>
      <c r="I43" s="706" t="s">
        <v>25</v>
      </c>
      <c r="J43" s="706" t="s">
        <v>150</v>
      </c>
      <c r="K43" s="706"/>
      <c r="L43" s="706"/>
      <c r="M43" s="706"/>
      <c r="N43" s="666"/>
      <c r="O43" s="706"/>
    </row>
    <row r="44" spans="1:15" hidden="1" x14ac:dyDescent="0.25">
      <c r="G44" s="706"/>
      <c r="H44" s="706"/>
      <c r="I44" s="706"/>
      <c r="J44" s="706" t="s">
        <v>151</v>
      </c>
      <c r="K44" s="706"/>
      <c r="L44" s="706"/>
      <c r="M44" s="706"/>
      <c r="N44" s="706"/>
      <c r="O44" s="706"/>
    </row>
    <row r="45" spans="1:15" hidden="1" x14ac:dyDescent="0.25">
      <c r="G45" s="706"/>
      <c r="H45" s="706"/>
      <c r="I45" s="706"/>
      <c r="J45" s="706" t="s">
        <v>152</v>
      </c>
      <c r="K45" s="706"/>
      <c r="L45" s="706"/>
      <c r="M45" s="706"/>
      <c r="N45" s="706"/>
      <c r="O45" s="706"/>
    </row>
  </sheetData>
  <mergeCells count="28">
    <mergeCell ref="D18:E18"/>
    <mergeCell ref="D8:E8"/>
    <mergeCell ref="D9:E9"/>
    <mergeCell ref="D10:E10"/>
    <mergeCell ref="D7:E7"/>
    <mergeCell ref="D36:E36"/>
    <mergeCell ref="D37:E37"/>
    <mergeCell ref="D38:E38"/>
    <mergeCell ref="D35:E35"/>
    <mergeCell ref="D32:E32"/>
    <mergeCell ref="D33:E33"/>
    <mergeCell ref="D34:E34"/>
    <mergeCell ref="D6:E6"/>
    <mergeCell ref="I31:K33"/>
    <mergeCell ref="D20:E20"/>
    <mergeCell ref="D29:E29"/>
    <mergeCell ref="G34:K34"/>
    <mergeCell ref="G30:K30"/>
    <mergeCell ref="D27:E27"/>
    <mergeCell ref="D28:E28"/>
    <mergeCell ref="G26:K26"/>
    <mergeCell ref="D31:E31"/>
    <mergeCell ref="D24:E24"/>
    <mergeCell ref="D25:E25"/>
    <mergeCell ref="D26:E26"/>
    <mergeCell ref="D21:E21"/>
    <mergeCell ref="D22:E22"/>
    <mergeCell ref="D23:E23"/>
  </mergeCells>
  <conditionalFormatting sqref="B21:D21">
    <cfRule type="expression" dxfId="6" priority="7">
      <formula>AND($B$22&gt;60,OR($B$21="", T($B$21)&lt;&gt;""))</formula>
    </cfRule>
  </conditionalFormatting>
  <conditionalFormatting sqref="D27">
    <cfRule type="expression" dxfId="5" priority="15">
      <formula>AND($B$35&gt;7,#REF!&gt;0)</formula>
    </cfRule>
  </conditionalFormatting>
  <dataValidations count="13">
    <dataValidation type="list" allowBlank="1" showInputMessage="1" showErrorMessage="1" sqref="B25:C25">
      <formula1>Exp</formula1>
    </dataValidation>
    <dataValidation type="list" allowBlank="1" showInputMessage="1" showErrorMessage="1" sqref="B24:C24">
      <formula1>Occ</formula1>
    </dataValidation>
    <dataValidation type="list" allowBlank="1" showInputMessage="1" showErrorMessage="1" sqref="B28:C28">
      <formula1>Soil</formula1>
    </dataValidation>
    <dataValidation type="list" allowBlank="1" showInputMessage="1" showErrorMessage="1" sqref="B10:C10">
      <formula1>Roof</formula1>
    </dataValidation>
    <dataValidation type="list" allowBlank="1" showInputMessage="1" showErrorMessage="1" sqref="B31">
      <formula1>ASCE</formula1>
    </dataValidation>
    <dataValidation type="list" allowBlank="1" showInputMessage="1" showErrorMessage="1" sqref="B37 B32">
      <formula1>YesNo</formula1>
    </dataValidation>
    <dataValidation type="list" allowBlank="1" showInputMessage="1" showErrorMessage="1" sqref="B33">
      <formula1>Ori</formula1>
    </dataValidation>
    <dataValidation type="list" allowBlank="1" showInputMessage="1" showErrorMessage="1" sqref="B36">
      <formula1>Sei</formula1>
    </dataValidation>
    <dataValidation type="decimal" operator="greaterThanOrEqual" allowBlank="1" showInputMessage="1" showErrorMessage="1" sqref="B29:C29 B38 B14:C17 B27:C27 B20:C23 B34">
      <formula1>0</formula1>
    </dataValidation>
    <dataValidation type="decimal" allowBlank="1" showInputMessage="1" showErrorMessage="1" sqref="B35">
      <formula1>0</formula1>
      <formula2>7</formula2>
    </dataValidation>
    <dataValidation type="decimal" allowBlank="1" showInputMessage="1" showErrorMessage="1" sqref="B26:C26">
      <formula1>0</formula1>
      <formula2>50</formula2>
    </dataValidation>
    <dataValidation type="whole" allowBlank="1" showInputMessage="1" showErrorMessage="1" sqref="B9:C9">
      <formula1>0</formula1>
      <formula2>99999</formula2>
    </dataValidation>
    <dataValidation type="whole" operator="greaterThanOrEqual" allowBlank="1" showInputMessage="1" showErrorMessage="1" sqref="B18:C18">
      <formula1>0</formula1>
    </dataValidation>
  </dataValidations>
  <hyperlinks>
    <hyperlink ref="D29:E29" r:id="rId1" display="Local elevation of the building above sea level can be found by endering the project address at http://www.whatismyelevatio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workbookViewId="0">
      <selection activeCell="A48" sqref="A48"/>
    </sheetView>
  </sheetViews>
  <sheetFormatPr defaultColWidth="17.125" defaultRowHeight="15" x14ac:dyDescent="0.25"/>
  <cols>
    <col min="1" max="1" width="30.875" style="739" bestFit="1" customWidth="1"/>
    <col min="2" max="2" width="12.625" style="739" bestFit="1" customWidth="1"/>
    <col min="3" max="3" width="15.625" style="739" bestFit="1" customWidth="1"/>
    <col min="4" max="4" width="8.125" style="739" bestFit="1" customWidth="1"/>
    <col min="5" max="5" width="11.25" style="739" bestFit="1" customWidth="1"/>
    <col min="6" max="6" width="10.75" style="739" customWidth="1"/>
    <col min="7" max="7" width="14.25" style="739" bestFit="1" customWidth="1"/>
    <col min="8" max="14" width="10.75" style="739" customWidth="1"/>
    <col min="15" max="15" width="16.75" style="739" customWidth="1"/>
    <col min="16" max="16" width="34" style="739" bestFit="1" customWidth="1"/>
    <col min="17" max="17" width="8.875" style="739" bestFit="1" customWidth="1"/>
    <col min="18" max="19" width="17.125" style="739" customWidth="1"/>
    <col min="20" max="16384" width="17.125" style="739"/>
  </cols>
  <sheetData>
    <row r="1" spans="1:22" ht="26.25" x14ac:dyDescent="0.4">
      <c r="A1" s="1109" t="s">
        <v>191</v>
      </c>
      <c r="B1" s="1110"/>
      <c r="C1" s="1110"/>
      <c r="D1" s="1110"/>
      <c r="E1" s="1110"/>
      <c r="F1" s="1110"/>
      <c r="G1" s="1111"/>
      <c r="H1" s="777"/>
      <c r="I1" s="777"/>
      <c r="J1" s="777"/>
      <c r="K1" s="777"/>
      <c r="L1" s="777"/>
      <c r="M1" s="777"/>
      <c r="N1" s="777"/>
      <c r="O1" s="777"/>
      <c r="P1" s="777"/>
      <c r="Q1" s="777"/>
      <c r="R1" s="777"/>
      <c r="S1" s="777"/>
      <c r="T1" s="777"/>
      <c r="U1" s="777"/>
      <c r="V1" s="777"/>
    </row>
    <row r="2" spans="1:22" ht="13.5" customHeight="1" x14ac:dyDescent="0.25">
      <c r="A2" s="770" t="s">
        <v>192</v>
      </c>
      <c r="B2" s="863" t="str">
        <f>'1-Eng Inputs'!B6</f>
        <v>Hannah Solar</v>
      </c>
      <c r="C2" s="771"/>
      <c r="D2" s="771"/>
      <c r="E2" s="771"/>
      <c r="F2" s="771"/>
      <c r="G2" s="768" t="s">
        <v>193</v>
      </c>
      <c r="H2" s="777"/>
      <c r="I2" s="777"/>
      <c r="J2" s="777"/>
      <c r="K2" s="777"/>
      <c r="L2" s="777"/>
      <c r="M2" s="777"/>
      <c r="N2" s="777"/>
      <c r="O2" s="777"/>
      <c r="P2" s="777"/>
      <c r="Q2" s="777"/>
      <c r="R2" s="777"/>
      <c r="S2" s="777"/>
      <c r="T2" s="777"/>
      <c r="U2" s="777"/>
      <c r="V2" s="777"/>
    </row>
    <row r="3" spans="1:22" x14ac:dyDescent="0.25">
      <c r="A3" s="772" t="s">
        <v>194</v>
      </c>
      <c r="B3" s="792" t="str">
        <f>'1-Eng Inputs'!B7</f>
        <v>807 E Main</v>
      </c>
      <c r="C3" s="774"/>
      <c r="D3" s="774"/>
      <c r="E3" s="774"/>
      <c r="F3" s="774"/>
      <c r="G3" s="755">
        <v>0.6</v>
      </c>
      <c r="H3" s="775"/>
      <c r="I3" s="777"/>
      <c r="J3" s="777"/>
      <c r="K3" s="777"/>
      <c r="L3" s="777"/>
      <c r="M3" s="777"/>
      <c r="N3" s="777"/>
      <c r="O3" s="777"/>
      <c r="P3" s="777"/>
      <c r="Q3" s="777"/>
      <c r="R3" s="777"/>
      <c r="S3" s="777"/>
      <c r="T3" s="777"/>
      <c r="U3" s="777"/>
      <c r="V3" s="777"/>
    </row>
    <row r="4" spans="1:22" ht="18" x14ac:dyDescent="0.25">
      <c r="A4" s="1112" t="s">
        <v>195</v>
      </c>
      <c r="B4" s="1113"/>
      <c r="C4" s="1113"/>
      <c r="D4" s="1113"/>
      <c r="E4" s="1113"/>
      <c r="F4" s="1113"/>
      <c r="G4" s="1114"/>
      <c r="H4" s="1115" t="s">
        <v>196</v>
      </c>
      <c r="I4" s="1116"/>
      <c r="J4" s="1117"/>
      <c r="K4" s="1118" t="s">
        <v>197</v>
      </c>
      <c r="L4" s="1119"/>
      <c r="M4" s="1119"/>
      <c r="N4" s="1119"/>
      <c r="O4" s="779"/>
      <c r="P4" s="779"/>
      <c r="Q4" s="779"/>
      <c r="R4" s="777"/>
      <c r="S4" s="777"/>
      <c r="T4" s="777"/>
      <c r="U4" s="777"/>
      <c r="V4" s="777"/>
    </row>
    <row r="5" spans="1:22" s="872" customFormat="1" ht="25.5" x14ac:dyDescent="0.25">
      <c r="A5" s="873" t="s">
        <v>198</v>
      </c>
      <c r="B5" s="868"/>
      <c r="C5" s="867" t="s">
        <v>199</v>
      </c>
      <c r="D5" s="867" t="s">
        <v>200</v>
      </c>
      <c r="E5" s="867" t="s">
        <v>201</v>
      </c>
      <c r="F5" s="869" t="s">
        <v>202</v>
      </c>
      <c r="G5" s="869" t="s">
        <v>203</v>
      </c>
      <c r="H5" s="870" t="s">
        <v>204</v>
      </c>
      <c r="I5" s="869" t="s">
        <v>205</v>
      </c>
      <c r="J5" s="869" t="s">
        <v>206</v>
      </c>
      <c r="K5" s="864" t="s">
        <v>251</v>
      </c>
      <c r="L5" s="865" t="s">
        <v>250</v>
      </c>
      <c r="M5" s="865" t="s">
        <v>252</v>
      </c>
      <c r="N5" s="866" t="s">
        <v>207</v>
      </c>
      <c r="O5" s="838"/>
      <c r="P5" s="838"/>
      <c r="Q5" s="838"/>
      <c r="R5" s="871"/>
      <c r="S5" s="871"/>
      <c r="T5" s="871"/>
      <c r="U5" s="871"/>
      <c r="V5" s="871"/>
    </row>
    <row r="6" spans="1:22" x14ac:dyDescent="0.2">
      <c r="A6" s="845" t="s">
        <v>497</v>
      </c>
      <c r="B6" s="785"/>
      <c r="C6" s="850" t="s">
        <v>506</v>
      </c>
      <c r="D6" s="1040">
        <f>H6/0.725/0.4</f>
        <v>60.42931034482757</v>
      </c>
      <c r="E6" s="786">
        <f>ROUND(D6*$G$3,2)</f>
        <v>36.26</v>
      </c>
      <c r="F6" s="756">
        <f>IF($G$30="YES",ROUNDUP('1-Eng Inputs'!B18*1.25,0),0)</f>
        <v>744</v>
      </c>
      <c r="G6" s="798">
        <f>E6*F6</f>
        <v>26977.439999999999</v>
      </c>
      <c r="H6" s="801">
        <v>17.524499999999996</v>
      </c>
      <c r="I6" s="800">
        <f>F6*H6</f>
        <v>13038.227999999997</v>
      </c>
      <c r="J6" s="801">
        <f>G6-I6</f>
        <v>13939.212000000001</v>
      </c>
      <c r="K6" s="802">
        <f>(2*K7)+(2*K8)+IF(G31="YES",K9,0)</f>
        <v>12.231</v>
      </c>
      <c r="L6" s="847" t="s">
        <v>209</v>
      </c>
      <c r="M6" s="847" t="s">
        <v>209</v>
      </c>
      <c r="N6" s="848" t="s">
        <v>209</v>
      </c>
      <c r="O6" s="779"/>
      <c r="P6" s="779"/>
      <c r="Q6" s="779"/>
      <c r="R6" s="777"/>
      <c r="S6" s="777"/>
      <c r="T6" s="777"/>
      <c r="U6" s="777"/>
      <c r="V6" s="777"/>
    </row>
    <row r="7" spans="1:22" x14ac:dyDescent="0.2">
      <c r="A7" s="772" t="s">
        <v>498</v>
      </c>
      <c r="B7" s="779"/>
      <c r="C7" s="790" t="s">
        <v>507</v>
      </c>
      <c r="D7" s="1041">
        <f t="shared" ref="D7:D15" si="0">H7/0.725/0.4</f>
        <v>5.8229208924949294</v>
      </c>
      <c r="E7" s="1041">
        <f t="shared" ref="E7:E15" si="1">ROUND(D7*$G$3,2)</f>
        <v>3.49</v>
      </c>
      <c r="F7" s="757">
        <f>IF($G$30="YES",0,ROUNDUP('1-Eng Inputs'!B18*2.5,0))</f>
        <v>0</v>
      </c>
      <c r="G7" s="1043">
        <f t="shared" ref="G7:G14" si="2">E7*F7</f>
        <v>0</v>
      </c>
      <c r="H7" s="804">
        <v>1.6886470588235294</v>
      </c>
      <c r="I7" s="803">
        <f t="shared" ref="I7:I15" si="3">F7*H7</f>
        <v>0</v>
      </c>
      <c r="J7" s="1042">
        <f t="shared" ref="J7:J15" si="4">G7-I7</f>
        <v>0</v>
      </c>
      <c r="K7" s="805">
        <v>1.401</v>
      </c>
      <c r="L7" s="806">
        <f>ABS(F7)*K7</f>
        <v>0</v>
      </c>
      <c r="M7" s="860"/>
      <c r="N7" s="861"/>
      <c r="O7" s="779"/>
      <c r="P7" s="779"/>
      <c r="Q7" s="779"/>
      <c r="R7" s="777"/>
      <c r="S7" s="777"/>
      <c r="T7" s="777"/>
      <c r="U7" s="777"/>
      <c r="V7" s="777"/>
    </row>
    <row r="8" spans="1:22" x14ac:dyDescent="0.2">
      <c r="A8" s="772" t="s">
        <v>499</v>
      </c>
      <c r="B8" s="779"/>
      <c r="C8" s="790" t="s">
        <v>508</v>
      </c>
      <c r="D8" s="1041">
        <f t="shared" si="0"/>
        <v>19.334482758620688</v>
      </c>
      <c r="E8" s="789">
        <f t="shared" si="1"/>
        <v>11.6</v>
      </c>
      <c r="F8" s="757">
        <f>IF($G$30="YES",0,ROUNDUP('1-Eng Inputs'!B18*2.5,0))</f>
        <v>0</v>
      </c>
      <c r="G8" s="799">
        <f t="shared" si="2"/>
        <v>0</v>
      </c>
      <c r="H8" s="804">
        <v>5.6069999999999993</v>
      </c>
      <c r="I8" s="803">
        <f t="shared" si="3"/>
        <v>0</v>
      </c>
      <c r="J8" s="804">
        <f t="shared" si="4"/>
        <v>0</v>
      </c>
      <c r="K8" s="805">
        <v>3.98</v>
      </c>
      <c r="L8" s="806">
        <f>ABS(F8)*K8</f>
        <v>0</v>
      </c>
      <c r="M8" s="860"/>
      <c r="N8" s="861"/>
      <c r="O8" s="779"/>
      <c r="P8" s="779"/>
      <c r="Q8" s="779"/>
      <c r="R8" s="777"/>
      <c r="S8" s="777"/>
      <c r="T8" s="777"/>
      <c r="U8" s="777"/>
      <c r="V8" s="777"/>
    </row>
    <row r="9" spans="1:22" x14ac:dyDescent="0.2">
      <c r="A9" s="772" t="s">
        <v>500</v>
      </c>
      <c r="B9" s="779"/>
      <c r="C9" s="790" t="s">
        <v>509</v>
      </c>
      <c r="D9" s="1041">
        <f t="shared" si="0"/>
        <v>4.7005070993914799</v>
      </c>
      <c r="E9" s="789">
        <f t="shared" si="1"/>
        <v>2.82</v>
      </c>
      <c r="F9" s="757">
        <f>IF(G31="YES",IF(G30="YES",F6,F7/2),0)</f>
        <v>744</v>
      </c>
      <c r="G9" s="799">
        <f t="shared" si="2"/>
        <v>2098.08</v>
      </c>
      <c r="H9" s="804">
        <v>1.3631470588235293</v>
      </c>
      <c r="I9" s="803">
        <f t="shared" si="3"/>
        <v>1014.1814117647058</v>
      </c>
      <c r="J9" s="804">
        <f t="shared" si="4"/>
        <v>1083.898588235294</v>
      </c>
      <c r="K9" s="805">
        <v>1.4690000000000001</v>
      </c>
      <c r="L9" s="806">
        <f>ABS(F9)*K9</f>
        <v>1092.9360000000001</v>
      </c>
      <c r="M9" s="860"/>
      <c r="N9" s="861"/>
      <c r="O9" s="779"/>
      <c r="P9" s="779"/>
      <c r="Q9" s="779"/>
      <c r="R9" s="777"/>
      <c r="S9" s="777"/>
      <c r="T9" s="777"/>
      <c r="U9" s="777"/>
      <c r="V9" s="777"/>
    </row>
    <row r="10" spans="1:22" x14ac:dyDescent="0.2">
      <c r="A10" s="772" t="s">
        <v>501</v>
      </c>
      <c r="B10" s="779"/>
      <c r="C10" s="790" t="s">
        <v>510</v>
      </c>
      <c r="D10" s="1041">
        <f t="shared" si="0"/>
        <v>1.8411206896551726</v>
      </c>
      <c r="E10" s="789">
        <f t="shared" si="1"/>
        <v>1.1000000000000001</v>
      </c>
      <c r="F10" s="757">
        <v>0</v>
      </c>
      <c r="G10" s="799">
        <f t="shared" si="2"/>
        <v>0</v>
      </c>
      <c r="H10" s="804">
        <v>0.53392500000000009</v>
      </c>
      <c r="I10" s="803">
        <f t="shared" si="3"/>
        <v>0</v>
      </c>
      <c r="J10" s="804">
        <f t="shared" si="4"/>
        <v>0</v>
      </c>
      <c r="K10" s="805"/>
      <c r="L10" s="806"/>
      <c r="M10" s="860"/>
      <c r="N10" s="861"/>
      <c r="O10" s="779"/>
      <c r="P10" s="779"/>
      <c r="Q10" s="779"/>
      <c r="R10" s="777"/>
      <c r="S10" s="777"/>
      <c r="T10" s="777"/>
      <c r="U10" s="777"/>
      <c r="V10" s="777"/>
    </row>
    <row r="11" spans="1:22" x14ac:dyDescent="0.2">
      <c r="A11" s="772" t="s">
        <v>502</v>
      </c>
      <c r="B11" s="779"/>
      <c r="C11" s="790" t="s">
        <v>511</v>
      </c>
      <c r="D11" s="1041">
        <f t="shared" si="0"/>
        <v>1.6313218390804596</v>
      </c>
      <c r="E11" s="789">
        <f t="shared" si="1"/>
        <v>0.98</v>
      </c>
      <c r="F11" s="757">
        <v>0</v>
      </c>
      <c r="G11" s="799">
        <f t="shared" si="2"/>
        <v>0</v>
      </c>
      <c r="H11" s="804">
        <v>0.47308333333333324</v>
      </c>
      <c r="I11" s="803">
        <f t="shared" si="3"/>
        <v>0</v>
      </c>
      <c r="J11" s="804">
        <f t="shared" si="4"/>
        <v>0</v>
      </c>
      <c r="K11" s="805"/>
      <c r="L11" s="806"/>
      <c r="M11" s="860"/>
      <c r="N11" s="861"/>
      <c r="O11" s="779"/>
      <c r="P11" s="779"/>
      <c r="Q11" s="779"/>
      <c r="R11" s="777"/>
      <c r="S11" s="777"/>
      <c r="T11" s="777"/>
      <c r="U11" s="777"/>
      <c r="V11" s="777"/>
    </row>
    <row r="12" spans="1:22" x14ac:dyDescent="0.2">
      <c r="A12" s="772" t="s">
        <v>503</v>
      </c>
      <c r="B12" s="779"/>
      <c r="C12" s="790" t="s">
        <v>512</v>
      </c>
      <c r="D12" s="1041">
        <f t="shared" si="0"/>
        <v>13.317241379310344</v>
      </c>
      <c r="E12" s="789">
        <f t="shared" si="1"/>
        <v>7.99</v>
      </c>
      <c r="F12" s="757">
        <v>0</v>
      </c>
      <c r="G12" s="799">
        <f t="shared" si="2"/>
        <v>0</v>
      </c>
      <c r="H12" s="804">
        <v>3.8620000000000001</v>
      </c>
      <c r="I12" s="803">
        <f t="shared" si="3"/>
        <v>0</v>
      </c>
      <c r="J12" s="804">
        <f t="shared" si="4"/>
        <v>0</v>
      </c>
      <c r="K12" s="805"/>
      <c r="L12" s="806"/>
      <c r="M12" s="860"/>
      <c r="N12" s="861"/>
      <c r="O12" s="779"/>
      <c r="P12" s="779"/>
      <c r="Q12" s="779"/>
      <c r="R12" s="777"/>
      <c r="S12" s="777"/>
      <c r="T12" s="777"/>
      <c r="U12" s="777"/>
      <c r="V12" s="777"/>
    </row>
    <row r="13" spans="1:22" x14ac:dyDescent="0.2">
      <c r="A13" s="772" t="s">
        <v>504</v>
      </c>
      <c r="B13" s="779"/>
      <c r="C13" s="790" t="s">
        <v>513</v>
      </c>
      <c r="D13" s="1041">
        <f t="shared" si="0"/>
        <v>0.57931034482758625</v>
      </c>
      <c r="E13" s="789">
        <f t="shared" si="1"/>
        <v>0.35</v>
      </c>
      <c r="F13" s="757">
        <v>0</v>
      </c>
      <c r="G13" s="799">
        <f t="shared" si="2"/>
        <v>0</v>
      </c>
      <c r="H13" s="804">
        <v>0.16800000000000001</v>
      </c>
      <c r="I13" s="803">
        <f t="shared" si="3"/>
        <v>0</v>
      </c>
      <c r="J13" s="804">
        <f t="shared" si="4"/>
        <v>0</v>
      </c>
      <c r="K13" s="805"/>
      <c r="L13" s="806"/>
      <c r="M13" s="860"/>
      <c r="N13" s="861"/>
      <c r="O13" s="779"/>
      <c r="P13" s="779"/>
      <c r="Q13" s="779"/>
      <c r="R13" s="777"/>
      <c r="S13" s="777"/>
      <c r="T13" s="777"/>
      <c r="U13" s="777"/>
      <c r="V13" s="777"/>
    </row>
    <row r="14" spans="1:22" x14ac:dyDescent="0.2">
      <c r="A14" s="772" t="s">
        <v>505</v>
      </c>
      <c r="B14" s="779"/>
      <c r="C14" s="790" t="s">
        <v>514</v>
      </c>
      <c r="D14" s="1041">
        <f t="shared" si="0"/>
        <v>0.9</v>
      </c>
      <c r="E14" s="789">
        <f t="shared" si="1"/>
        <v>0.54</v>
      </c>
      <c r="F14" s="757">
        <v>0</v>
      </c>
      <c r="G14" s="799">
        <f t="shared" si="2"/>
        <v>0</v>
      </c>
      <c r="H14" s="804">
        <v>0.26100000000000001</v>
      </c>
      <c r="I14" s="803">
        <f t="shared" si="3"/>
        <v>0</v>
      </c>
      <c r="J14" s="804">
        <f t="shared" si="4"/>
        <v>0</v>
      </c>
      <c r="K14" s="805"/>
      <c r="L14" s="806"/>
      <c r="M14" s="860"/>
      <c r="N14" s="861"/>
      <c r="O14" s="779"/>
      <c r="P14" s="779"/>
      <c r="Q14" s="779"/>
      <c r="R14" s="777"/>
      <c r="S14" s="777"/>
      <c r="T14" s="777"/>
      <c r="U14" s="777"/>
      <c r="V14" s="777"/>
    </row>
    <row r="15" spans="1:22" hidden="1" x14ac:dyDescent="0.25">
      <c r="A15" s="772" t="str">
        <f>IF('1-Eng Inputs'!B33="Portrait","Portrait Wind Deflector",IF('1-Eng Inputs'!B16&lt;68,"60 Cell Landscape Wind Deflector","72 Cell Landscape Wind Deflector"))</f>
        <v>60 Cell Landscape Wind Deflector</v>
      </c>
      <c r="B15" s="779"/>
      <c r="C15" s="790" t="str">
        <f>IF('1-Eng Inputs'!B33="Portrait","ES11072-CP",IF('1-Eng Inputs'!B16&lt;68,"ES11073-CP","ES11074-CP"))</f>
        <v>ES11073-CP</v>
      </c>
      <c r="D15" s="1041">
        <f t="shared" si="0"/>
        <v>13.724137931034482</v>
      </c>
      <c r="E15" s="789">
        <f t="shared" si="1"/>
        <v>8.23</v>
      </c>
      <c r="F15" s="757">
        <f>IF('1-Eng Inputs'!B33="Landscape",IF('1-Eng Inputs'!B32="NO",0,'1-Eng Inputs'!B18),'1-Eng Inputs'!B18)</f>
        <v>0</v>
      </c>
      <c r="G15" s="799">
        <f t="shared" ref="G15:G20" si="5">E15*F15</f>
        <v>0</v>
      </c>
      <c r="H15" s="804">
        <f>IF('1-Eng Inputs'!B33="Portrait",2.5,IF('1-Eng Inputs'!B16&lt;68,3.98,4.66))</f>
        <v>3.98</v>
      </c>
      <c r="I15" s="803">
        <f t="shared" si="3"/>
        <v>0</v>
      </c>
      <c r="J15" s="804">
        <f t="shared" si="4"/>
        <v>0</v>
      </c>
      <c r="K15" s="809">
        <f>IF('1-Eng Inputs'!B33="Portrait",3.67,IF('1-Eng Inputs'!B16&lt;68,5.54,6.53))</f>
        <v>5.54</v>
      </c>
      <c r="L15" s="806">
        <f>F15*K15</f>
        <v>0</v>
      </c>
      <c r="M15" s="810">
        <f>IF('1-Eng Inputs'!B33="Landscape",2*(F15/600),(F15/600))</f>
        <v>0</v>
      </c>
      <c r="N15" s="808">
        <f>IF('1-Eng Inputs'!B33="Landscape",2*(ROUNDUP(F15/600,0)),(ROUNDUP(F15/600,0)))</f>
        <v>0</v>
      </c>
      <c r="O15" s="779"/>
      <c r="P15" s="842"/>
      <c r="Q15" s="779"/>
      <c r="R15" s="777"/>
      <c r="S15" s="777"/>
      <c r="T15" s="777"/>
      <c r="U15" s="777"/>
      <c r="V15" s="777"/>
    </row>
    <row r="16" spans="1:22" hidden="1" x14ac:dyDescent="0.25">
      <c r="A16" s="787" t="s">
        <v>248</v>
      </c>
      <c r="B16" s="779"/>
      <c r="C16" s="790" t="s">
        <v>249</v>
      </c>
      <c r="D16" s="788">
        <f>H16/0.725/0.4</f>
        <v>0</v>
      </c>
      <c r="E16" s="789">
        <f>ROUND(D16*$G$3,2)</f>
        <v>0</v>
      </c>
      <c r="F16" s="757">
        <f>F15*2</f>
        <v>0</v>
      </c>
      <c r="G16" s="799">
        <f t="shared" si="5"/>
        <v>0</v>
      </c>
      <c r="H16" s="758"/>
      <c r="I16" s="803">
        <f t="shared" ref="I16:I20" si="6">F16*H16</f>
        <v>0</v>
      </c>
      <c r="J16" s="804">
        <f t="shared" ref="J16:J20" si="7">G16-I16</f>
        <v>0</v>
      </c>
      <c r="K16" s="809">
        <v>0.24199999999999999</v>
      </c>
      <c r="L16" s="806">
        <f>F16*K16</f>
        <v>0</v>
      </c>
      <c r="M16" s="862"/>
      <c r="N16" s="861"/>
      <c r="O16" s="779"/>
      <c r="P16" s="842"/>
      <c r="Q16" s="779"/>
      <c r="R16" s="777"/>
      <c r="S16" s="777"/>
      <c r="T16" s="777"/>
      <c r="U16" s="777"/>
      <c r="V16" s="777"/>
    </row>
    <row r="17" spans="1:22" hidden="1" x14ac:dyDescent="0.25">
      <c r="A17" s="787" t="s">
        <v>245</v>
      </c>
      <c r="B17" s="779"/>
      <c r="C17" s="790" t="s">
        <v>301</v>
      </c>
      <c r="D17" s="788">
        <f>H17/0.725/0.4</f>
        <v>0</v>
      </c>
      <c r="E17" s="789">
        <f>ROUND(D17*$G$3,2)</f>
        <v>0</v>
      </c>
      <c r="F17" s="757">
        <v>0</v>
      </c>
      <c r="G17" s="799">
        <f t="shared" si="5"/>
        <v>0</v>
      </c>
      <c r="H17" s="758"/>
      <c r="I17" s="803">
        <f t="shared" si="6"/>
        <v>0</v>
      </c>
      <c r="J17" s="804">
        <f t="shared" si="7"/>
        <v>0</v>
      </c>
      <c r="K17" s="778">
        <v>0.22900000000000001</v>
      </c>
      <c r="L17" s="806">
        <f>F17*K17</f>
        <v>0</v>
      </c>
      <c r="M17" s="807">
        <f>(F17/48)/152</f>
        <v>0</v>
      </c>
      <c r="N17" s="808">
        <f>ROUNDUP(M17,0)</f>
        <v>0</v>
      </c>
      <c r="O17" s="779"/>
      <c r="P17" s="842"/>
      <c r="Q17" s="779"/>
      <c r="R17" s="777"/>
      <c r="S17" s="777"/>
      <c r="T17" s="777"/>
      <c r="U17" s="777"/>
      <c r="V17" s="777"/>
    </row>
    <row r="18" spans="1:22" hidden="1" x14ac:dyDescent="0.25">
      <c r="A18" s="787" t="s">
        <v>208</v>
      </c>
      <c r="B18" s="779"/>
      <c r="C18" s="790" t="s">
        <v>209</v>
      </c>
      <c r="D18" s="788" t="e">
        <f>IF(#REF!="YES",500,400)</f>
        <v>#REF!</v>
      </c>
      <c r="E18" s="789" t="e">
        <f>D18+50</f>
        <v>#REF!</v>
      </c>
      <c r="F18" s="757">
        <v>1</v>
      </c>
      <c r="G18" s="799" t="e">
        <f t="shared" si="5"/>
        <v>#REF!</v>
      </c>
      <c r="H18" s="804">
        <v>400</v>
      </c>
      <c r="I18" s="803">
        <f t="shared" si="6"/>
        <v>400</v>
      </c>
      <c r="J18" s="804" t="e">
        <f t="shared" si="7"/>
        <v>#REF!</v>
      </c>
      <c r="K18" s="778"/>
      <c r="L18" s="779"/>
      <c r="M18" s="807"/>
      <c r="N18" s="808"/>
      <c r="O18" s="779"/>
      <c r="P18" s="842"/>
      <c r="Q18" s="779"/>
      <c r="R18" s="777"/>
      <c r="S18" s="777"/>
      <c r="T18" s="777"/>
      <c r="U18" s="777"/>
      <c r="V18" s="777"/>
    </row>
    <row r="19" spans="1:22" hidden="1" x14ac:dyDescent="0.25">
      <c r="A19" s="787" t="s">
        <v>135</v>
      </c>
      <c r="B19" s="779"/>
      <c r="C19" s="790" t="s">
        <v>210</v>
      </c>
      <c r="D19" s="788">
        <f>H19/0.725/0.4</f>
        <v>0</v>
      </c>
      <c r="E19" s="789">
        <f t="shared" ref="E19:E20" si="8">ROUND(D19*$G$3,2)</f>
        <v>0</v>
      </c>
      <c r="F19" s="757">
        <f>IF(G29="YES",F6,0)</f>
        <v>0</v>
      </c>
      <c r="G19" s="799">
        <f t="shared" si="5"/>
        <v>0</v>
      </c>
      <c r="H19" s="758">
        <v>0</v>
      </c>
      <c r="I19" s="803">
        <f t="shared" si="6"/>
        <v>0</v>
      </c>
      <c r="J19" s="804">
        <f t="shared" si="7"/>
        <v>0</v>
      </c>
      <c r="K19" s="778"/>
      <c r="L19" s="779"/>
      <c r="M19" s="807"/>
      <c r="N19" s="808"/>
      <c r="O19" s="779"/>
      <c r="P19" s="779"/>
      <c r="Q19" s="779"/>
      <c r="R19" s="777"/>
      <c r="S19" s="777"/>
      <c r="T19" s="777"/>
      <c r="U19" s="777"/>
      <c r="V19" s="777"/>
    </row>
    <row r="20" spans="1:22" hidden="1" x14ac:dyDescent="0.25">
      <c r="A20" s="787" t="s">
        <v>211</v>
      </c>
      <c r="B20" s="779"/>
      <c r="C20" s="790" t="s">
        <v>212</v>
      </c>
      <c r="D20" s="788">
        <f>H20/0.725/0.4</f>
        <v>0</v>
      </c>
      <c r="E20" s="789">
        <f t="shared" si="8"/>
        <v>0</v>
      </c>
      <c r="F20" s="757">
        <v>0</v>
      </c>
      <c r="G20" s="799">
        <f t="shared" si="5"/>
        <v>0</v>
      </c>
      <c r="H20" s="791">
        <f>D35</f>
        <v>0</v>
      </c>
      <c r="I20" s="803">
        <f t="shared" si="6"/>
        <v>0</v>
      </c>
      <c r="J20" s="804">
        <f t="shared" si="7"/>
        <v>0</v>
      </c>
      <c r="K20" s="778"/>
      <c r="L20" s="779"/>
      <c r="M20" s="807"/>
      <c r="N20" s="808"/>
      <c r="O20" s="779"/>
      <c r="P20" s="779"/>
      <c r="Q20" s="779"/>
      <c r="R20" s="777"/>
      <c r="S20" s="777"/>
      <c r="T20" s="777"/>
      <c r="U20" s="777"/>
      <c r="V20" s="777"/>
    </row>
    <row r="21" spans="1:22" x14ac:dyDescent="0.25">
      <c r="A21" s="787" t="s">
        <v>213</v>
      </c>
      <c r="B21" s="779"/>
      <c r="C21" s="779"/>
      <c r="D21" s="788"/>
      <c r="E21" s="789"/>
      <c r="F21" s="792"/>
      <c r="G21" s="759">
        <v>0</v>
      </c>
      <c r="H21" s="804"/>
      <c r="I21" s="803"/>
      <c r="J21" s="804">
        <f>-ABS(G21)</f>
        <v>0</v>
      </c>
      <c r="K21" s="778"/>
      <c r="L21" s="775"/>
      <c r="M21" s="807"/>
      <c r="N21" s="808"/>
      <c r="O21" s="779"/>
      <c r="P21" s="779"/>
      <c r="Q21" s="779"/>
      <c r="R21" s="777"/>
      <c r="S21" s="777"/>
      <c r="T21" s="777"/>
      <c r="U21" s="777"/>
      <c r="V21" s="777"/>
    </row>
    <row r="22" spans="1:22" x14ac:dyDescent="0.25">
      <c r="A22" s="782"/>
      <c r="B22" s="779"/>
      <c r="C22" s="779"/>
      <c r="D22" s="779"/>
      <c r="E22" s="789"/>
      <c r="F22" s="779"/>
      <c r="G22" s="794"/>
      <c r="H22" s="776" t="s">
        <v>214</v>
      </c>
      <c r="I22" s="811">
        <f>IFERROR(I23/(G24*1000),"N/A")</f>
        <v>7.0405112223917696E-2</v>
      </c>
      <c r="J22" s="804"/>
      <c r="K22" s="778"/>
      <c r="L22" s="775"/>
      <c r="M22" s="807"/>
      <c r="N22" s="808"/>
      <c r="O22" s="779"/>
      <c r="P22" s="779"/>
      <c r="Q22" s="779"/>
      <c r="R22" s="777"/>
      <c r="S22" s="777"/>
      <c r="T22" s="777"/>
      <c r="U22" s="777"/>
      <c r="V22" s="777"/>
    </row>
    <row r="23" spans="1:22" x14ac:dyDescent="0.25">
      <c r="A23" s="791" t="s">
        <v>215</v>
      </c>
      <c r="B23" s="779"/>
      <c r="C23" s="779"/>
      <c r="D23" s="779"/>
      <c r="E23" s="779"/>
      <c r="F23" s="779"/>
      <c r="G23" s="795" t="e">
        <f>SUM(G6:G20)-ABS(G21)</f>
        <v>#REF!</v>
      </c>
      <c r="H23" s="825" t="s">
        <v>215</v>
      </c>
      <c r="I23" s="812">
        <f>SUM(I6:I21)</f>
        <v>14452.409411764704</v>
      </c>
      <c r="J23" s="812" t="e">
        <f>SUM(J6:J21)</f>
        <v>#REF!</v>
      </c>
      <c r="K23" s="813" t="s">
        <v>215</v>
      </c>
      <c r="L23" s="814">
        <f>SUM(L7:L21)+50*N23</f>
        <v>1092.9360000000001</v>
      </c>
      <c r="M23" s="814">
        <f>ROUNDUP(SUM(M7:M21),0)</f>
        <v>0</v>
      </c>
      <c r="N23" s="815">
        <f>ROUNDUP(SUM(N7:N21),0)</f>
        <v>0</v>
      </c>
      <c r="O23" s="779"/>
      <c r="P23" s="777"/>
      <c r="Q23" s="777"/>
      <c r="R23" s="780"/>
      <c r="S23" s="777"/>
      <c r="T23" s="777"/>
      <c r="U23" s="777"/>
      <c r="V23" s="777"/>
    </row>
    <row r="24" spans="1:22" x14ac:dyDescent="0.2">
      <c r="A24" s="791" t="s">
        <v>216</v>
      </c>
      <c r="B24" s="779"/>
      <c r="C24" s="779"/>
      <c r="D24" s="779"/>
      <c r="E24" s="779"/>
      <c r="F24" s="779"/>
      <c r="G24" s="796">
        <f>'1-Eng Inputs'!B18*'1-Eng Inputs'!B14/1000</f>
        <v>205.27500000000001</v>
      </c>
      <c r="H24" s="825" t="s">
        <v>217</v>
      </c>
      <c r="I24" s="779"/>
      <c r="J24" s="816" t="e">
        <f>J23/G23</f>
        <v>#REF!</v>
      </c>
      <c r="K24" s="782"/>
      <c r="L24" s="779"/>
      <c r="M24" s="779"/>
      <c r="N24" s="793"/>
      <c r="O24" s="779"/>
      <c r="P24" s="777"/>
      <c r="Q24" s="777"/>
      <c r="R24" s="781"/>
      <c r="S24" s="777"/>
      <c r="T24" s="777"/>
      <c r="U24" s="777"/>
      <c r="V24" s="777"/>
    </row>
    <row r="25" spans="1:22" x14ac:dyDescent="0.2">
      <c r="A25" s="791" t="s">
        <v>218</v>
      </c>
      <c r="B25" s="779"/>
      <c r="C25" s="779"/>
      <c r="D25" s="779"/>
      <c r="E25" s="779"/>
      <c r="F25" s="779"/>
      <c r="G25" s="797" t="str">
        <f>IFERROR(G23/(G24*1000),"N/A")</f>
        <v>N/A</v>
      </c>
      <c r="H25" s="825" t="s">
        <v>219</v>
      </c>
      <c r="I25" s="779"/>
      <c r="J25" s="773" t="e">
        <f>0.05*J23</f>
        <v>#REF!</v>
      </c>
      <c r="K25" s="782"/>
      <c r="L25" s="779"/>
      <c r="M25" s="779"/>
      <c r="N25" s="793"/>
      <c r="O25" s="779"/>
      <c r="P25" s="777"/>
      <c r="Q25" s="777"/>
      <c r="R25" s="780"/>
      <c r="S25" s="851"/>
      <c r="T25" s="777"/>
      <c r="U25" s="777"/>
      <c r="V25" s="777"/>
    </row>
    <row r="26" spans="1:22" x14ac:dyDescent="0.2">
      <c r="A26" s="791" t="s">
        <v>220</v>
      </c>
      <c r="B26" s="779"/>
      <c r="C26" s="779"/>
      <c r="D26" s="779"/>
      <c r="E26" s="779"/>
      <c r="F26" s="779"/>
      <c r="G26" s="760"/>
      <c r="H26" s="825" t="s">
        <v>221</v>
      </c>
      <c r="I26" s="779"/>
      <c r="J26" s="816" t="e">
        <f>J25/G23</f>
        <v>#REF!</v>
      </c>
      <c r="K26" s="817" t="s">
        <v>222</v>
      </c>
      <c r="L26" s="818">
        <v>44707</v>
      </c>
      <c r="M26" s="818"/>
      <c r="N26" s="819"/>
      <c r="O26" s="779"/>
      <c r="P26" s="777"/>
      <c r="Q26" s="777"/>
      <c r="R26" s="777"/>
      <c r="S26" s="781"/>
      <c r="T26" s="777"/>
      <c r="U26" s="777"/>
      <c r="V26" s="777"/>
    </row>
    <row r="27" spans="1:22" x14ac:dyDescent="0.25">
      <c r="A27" s="846"/>
      <c r="B27" s="784"/>
      <c r="C27" s="829"/>
      <c r="D27" s="829"/>
      <c r="E27" s="829"/>
      <c r="F27" s="829"/>
      <c r="G27" s="824"/>
      <c r="H27" s="821"/>
      <c r="I27" s="820"/>
      <c r="J27" s="821"/>
      <c r="K27" s="783" t="s">
        <v>223</v>
      </c>
      <c r="L27" s="822">
        <f>'1-Eng Inputs'!B9</f>
        <v>27332</v>
      </c>
      <c r="M27" s="823"/>
      <c r="N27" s="824"/>
      <c r="O27" s="779"/>
      <c r="P27" s="777"/>
      <c r="Q27" s="777"/>
      <c r="R27" s="777"/>
      <c r="S27" s="777"/>
      <c r="T27" s="777"/>
      <c r="U27" s="777"/>
      <c r="V27" s="777"/>
    </row>
    <row r="28" spans="1:22" ht="18" x14ac:dyDescent="0.25">
      <c r="A28" s="769" t="s">
        <v>224</v>
      </c>
      <c r="B28" s="761"/>
      <c r="C28" s="761"/>
      <c r="D28" s="761"/>
      <c r="E28" s="761"/>
      <c r="F28" s="761"/>
      <c r="G28" s="762"/>
      <c r="H28" s="777"/>
      <c r="I28" s="777"/>
      <c r="J28" s="777"/>
      <c r="K28" s="777"/>
      <c r="L28" s="777"/>
      <c r="M28" s="777"/>
      <c r="N28" s="777"/>
      <c r="O28" s="777"/>
      <c r="P28" s="777"/>
      <c r="Q28" s="777"/>
      <c r="R28" s="777"/>
      <c r="S28" s="777"/>
      <c r="T28" s="777"/>
      <c r="U28" s="777"/>
      <c r="V28" s="777"/>
    </row>
    <row r="29" spans="1:22" x14ac:dyDescent="0.25">
      <c r="A29" s="782" t="s">
        <v>225</v>
      </c>
      <c r="B29" s="775"/>
      <c r="C29" s="775"/>
      <c r="D29" s="775"/>
      <c r="E29" s="775"/>
      <c r="F29" s="775"/>
      <c r="G29" s="763" t="s">
        <v>99</v>
      </c>
      <c r="H29" s="777"/>
      <c r="I29" s="779"/>
      <c r="J29" s="779"/>
      <c r="K29" s="858"/>
      <c r="L29" s="858"/>
      <c r="M29" s="777"/>
      <c r="N29" s="777"/>
      <c r="O29" s="777"/>
      <c r="P29" s="777"/>
      <c r="Q29" s="777"/>
      <c r="R29" s="777"/>
      <c r="S29" s="777"/>
      <c r="T29" s="777"/>
      <c r="U29" s="777"/>
      <c r="V29" s="777"/>
    </row>
    <row r="30" spans="1:22" x14ac:dyDescent="0.25">
      <c r="A30" s="782" t="s">
        <v>515</v>
      </c>
      <c r="B30" s="775"/>
      <c r="C30" s="775"/>
      <c r="D30" s="775"/>
      <c r="E30" s="775"/>
      <c r="F30" s="775"/>
      <c r="G30" s="763" t="s">
        <v>136</v>
      </c>
      <c r="H30" s="777"/>
      <c r="I30" s="779"/>
      <c r="J30" s="779"/>
      <c r="K30" s="858"/>
      <c r="L30" s="858"/>
      <c r="M30" s="777"/>
      <c r="N30" s="777"/>
      <c r="O30" s="777"/>
      <c r="P30" s="777"/>
      <c r="Q30" s="777"/>
      <c r="R30" s="777"/>
      <c r="S30" s="777"/>
      <c r="T30" s="777"/>
      <c r="U30" s="777"/>
      <c r="V30" s="777"/>
    </row>
    <row r="31" spans="1:22" x14ac:dyDescent="0.25">
      <c r="A31" s="783" t="s">
        <v>246</v>
      </c>
      <c r="B31" s="784"/>
      <c r="C31" s="784"/>
      <c r="D31" s="784"/>
      <c r="E31" s="784"/>
      <c r="F31" s="784"/>
      <c r="G31" s="1044" t="s">
        <v>136</v>
      </c>
      <c r="H31" s="777"/>
      <c r="I31" s="779"/>
      <c r="J31" s="779"/>
      <c r="K31" s="858"/>
      <c r="L31" s="858"/>
      <c r="M31" s="777"/>
      <c r="N31" s="777"/>
      <c r="O31" s="777"/>
      <c r="P31" s="777"/>
      <c r="Q31" s="777"/>
      <c r="R31" s="777"/>
      <c r="S31" s="777"/>
      <c r="T31" s="777"/>
      <c r="U31" s="777"/>
      <c r="V31" s="777"/>
    </row>
    <row r="32" spans="1:22" ht="12.75" customHeight="1" x14ac:dyDescent="0.25">
      <c r="A32" s="830"/>
      <c r="B32" s="776"/>
      <c r="C32" s="776"/>
      <c r="D32" s="831"/>
      <c r="E32" s="826"/>
      <c r="F32" s="777"/>
      <c r="G32" s="777"/>
      <c r="H32" s="776"/>
      <c r="I32" s="844"/>
      <c r="J32" s="844"/>
      <c r="K32" s="859"/>
      <c r="L32" s="859"/>
      <c r="M32" s="777"/>
      <c r="N32" s="777"/>
      <c r="O32" s="777"/>
      <c r="P32" s="777"/>
      <c r="Q32" s="777"/>
      <c r="R32" s="777"/>
      <c r="S32" s="777"/>
      <c r="T32" s="777"/>
      <c r="U32" s="777"/>
      <c r="V32" s="777"/>
    </row>
    <row r="33" spans="1:22" ht="12.75" hidden="1" customHeight="1" x14ac:dyDescent="0.25">
      <c r="A33" s="770" t="s">
        <v>228</v>
      </c>
      <c r="B33" s="818"/>
      <c r="C33" s="818"/>
      <c r="D33" s="818"/>
      <c r="E33" s="818"/>
      <c r="F33" s="818"/>
      <c r="G33" s="819"/>
      <c r="H33" s="777"/>
      <c r="I33" s="777"/>
      <c r="J33" s="777"/>
      <c r="K33" s="777"/>
      <c r="L33" s="777"/>
      <c r="M33" s="777"/>
      <c r="N33" s="777"/>
      <c r="O33" s="777"/>
      <c r="P33" s="777"/>
      <c r="Q33" s="777"/>
      <c r="R33" s="777"/>
      <c r="S33" s="777"/>
      <c r="T33" s="777"/>
      <c r="U33" s="777"/>
      <c r="V33" s="777"/>
    </row>
    <row r="34" spans="1:22" ht="12.75" hidden="1" customHeight="1" x14ac:dyDescent="0.25">
      <c r="A34" s="849" t="s">
        <v>226</v>
      </c>
      <c r="B34" s="832" t="s">
        <v>227</v>
      </c>
      <c r="C34" s="832"/>
      <c r="D34" s="833" t="s">
        <v>153</v>
      </c>
      <c r="E34" s="833" t="s">
        <v>229</v>
      </c>
      <c r="F34" s="833" t="s">
        <v>230</v>
      </c>
      <c r="G34" s="834" t="s">
        <v>231</v>
      </c>
      <c r="H34" s="777"/>
      <c r="I34" s="852"/>
      <c r="J34" s="853"/>
      <c r="K34" s="852"/>
      <c r="L34" s="852"/>
      <c r="M34" s="852"/>
      <c r="N34" s="852"/>
      <c r="O34" s="852"/>
      <c r="P34" s="854"/>
      <c r="Q34" s="855"/>
      <c r="R34" s="777"/>
      <c r="S34" s="777"/>
      <c r="T34" s="777"/>
      <c r="U34" s="777"/>
      <c r="V34" s="777"/>
    </row>
    <row r="35" spans="1:22" ht="12.75" hidden="1" customHeight="1" x14ac:dyDescent="0.25">
      <c r="A35" s="765" t="s">
        <v>211</v>
      </c>
      <c r="B35" s="751" t="s">
        <v>212</v>
      </c>
      <c r="C35" s="766"/>
      <c r="D35" s="752">
        <f>IF(F35&lt;&gt;0,G35/F35,0)</f>
        <v>0</v>
      </c>
      <c r="E35" s="767"/>
      <c r="F35" s="753">
        <f>F36</f>
        <v>0</v>
      </c>
      <c r="G35" s="754">
        <f>SUM(G36:G42)</f>
        <v>0</v>
      </c>
      <c r="H35" s="777"/>
      <c r="I35" s="852"/>
      <c r="J35" s="853"/>
      <c r="K35" s="852"/>
      <c r="L35" s="852"/>
      <c r="M35" s="852"/>
      <c r="N35" s="852"/>
      <c r="O35" s="852"/>
      <c r="P35" s="854"/>
      <c r="Q35" s="855"/>
      <c r="R35" s="777"/>
      <c r="S35" s="777"/>
      <c r="T35" s="777"/>
      <c r="U35" s="777"/>
      <c r="V35" s="777"/>
    </row>
    <row r="36" spans="1:22" ht="12.75" hidden="1" customHeight="1" x14ac:dyDescent="0.25">
      <c r="A36" s="782" t="s">
        <v>232</v>
      </c>
      <c r="B36" s="779" t="s">
        <v>233</v>
      </c>
      <c r="C36" s="779"/>
      <c r="D36" s="837">
        <v>27.65</v>
      </c>
      <c r="E36" s="838" t="e">
        <f t="shared" ref="E36:E42" si="9">F36/$F$36</f>
        <v>#DIV/0!</v>
      </c>
      <c r="F36" s="764"/>
      <c r="G36" s="835">
        <f t="shared" ref="G36:G42" si="10">F36*D36</f>
        <v>0</v>
      </c>
      <c r="H36" s="777"/>
      <c r="I36" s="852"/>
      <c r="J36" s="853"/>
      <c r="K36" s="852"/>
      <c r="L36" s="852"/>
      <c r="M36" s="852"/>
      <c r="N36" s="852"/>
      <c r="O36" s="852"/>
      <c r="P36" s="854"/>
      <c r="Q36" s="855"/>
      <c r="R36" s="777"/>
      <c r="S36" s="777"/>
      <c r="T36" s="777"/>
      <c r="U36" s="777"/>
      <c r="V36" s="777"/>
    </row>
    <row r="37" spans="1:22" ht="12.75" hidden="1" customHeight="1" x14ac:dyDescent="0.25">
      <c r="A37" s="782" t="s">
        <v>234</v>
      </c>
      <c r="B37" s="779" t="s">
        <v>235</v>
      </c>
      <c r="C37" s="779"/>
      <c r="D37" s="837">
        <v>24.74</v>
      </c>
      <c r="E37" s="838" t="e">
        <f t="shared" si="9"/>
        <v>#DIV/0!</v>
      </c>
      <c r="F37" s="764"/>
      <c r="G37" s="835">
        <f t="shared" si="10"/>
        <v>0</v>
      </c>
      <c r="H37" s="777"/>
      <c r="I37" s="852"/>
      <c r="J37" s="853"/>
      <c r="K37" s="852"/>
      <c r="L37" s="852"/>
      <c r="M37" s="852"/>
      <c r="N37" s="852"/>
      <c r="O37" s="852"/>
      <c r="P37" s="854"/>
      <c r="Q37" s="855"/>
      <c r="R37" s="777"/>
      <c r="S37" s="777"/>
      <c r="T37" s="777"/>
      <c r="U37" s="777"/>
      <c r="V37" s="777"/>
    </row>
    <row r="38" spans="1:22" ht="12.75" hidden="1" customHeight="1" x14ac:dyDescent="0.25">
      <c r="A38" s="782" t="s">
        <v>236</v>
      </c>
      <c r="B38" s="779" t="s">
        <v>237</v>
      </c>
      <c r="C38" s="779"/>
      <c r="D38" s="837">
        <v>7.33</v>
      </c>
      <c r="E38" s="838" t="e">
        <f t="shared" si="9"/>
        <v>#DIV/0!</v>
      </c>
      <c r="F38" s="764"/>
      <c r="G38" s="835">
        <f t="shared" si="10"/>
        <v>0</v>
      </c>
      <c r="H38" s="777"/>
      <c r="I38" s="852"/>
      <c r="J38" s="856"/>
      <c r="K38" s="852"/>
      <c r="L38" s="852"/>
      <c r="M38" s="852"/>
      <c r="N38" s="852"/>
      <c r="O38" s="852"/>
      <c r="P38" s="854"/>
      <c r="Q38" s="855"/>
      <c r="R38" s="777"/>
      <c r="S38" s="777"/>
      <c r="T38" s="777"/>
      <c r="U38" s="777"/>
      <c r="V38" s="777"/>
    </row>
    <row r="39" spans="1:22" ht="12.75" hidden="1" customHeight="1" x14ac:dyDescent="0.25">
      <c r="A39" s="782" t="s">
        <v>238</v>
      </c>
      <c r="B39" s="779" t="s">
        <v>239</v>
      </c>
      <c r="C39" s="779"/>
      <c r="D39" s="837">
        <v>0.86</v>
      </c>
      <c r="E39" s="838" t="e">
        <f t="shared" si="9"/>
        <v>#DIV/0!</v>
      </c>
      <c r="F39" s="828">
        <f>F40+(2*F38)</f>
        <v>0</v>
      </c>
      <c r="G39" s="835">
        <f t="shared" si="10"/>
        <v>0</v>
      </c>
      <c r="H39" s="777"/>
      <c r="I39" s="852"/>
      <c r="J39" s="857"/>
      <c r="K39" s="852"/>
      <c r="L39" s="852"/>
      <c r="M39" s="852"/>
      <c r="N39" s="852"/>
      <c r="O39" s="852"/>
      <c r="P39" s="854"/>
      <c r="Q39" s="855"/>
      <c r="R39" s="777"/>
      <c r="S39" s="777"/>
      <c r="T39" s="777"/>
      <c r="U39" s="777"/>
      <c r="V39" s="777"/>
    </row>
    <row r="40" spans="1:22" ht="12.75" hidden="1" customHeight="1" x14ac:dyDescent="0.25">
      <c r="A40" s="782" t="s">
        <v>240</v>
      </c>
      <c r="B40" s="779" t="s">
        <v>241</v>
      </c>
      <c r="C40" s="779"/>
      <c r="D40" s="837">
        <v>2.21</v>
      </c>
      <c r="E40" s="838" t="e">
        <f t="shared" si="9"/>
        <v>#DIV/0!</v>
      </c>
      <c r="F40" s="828">
        <f>F36+F41</f>
        <v>0</v>
      </c>
      <c r="G40" s="835">
        <f t="shared" si="10"/>
        <v>0</v>
      </c>
      <c r="H40" s="777"/>
      <c r="I40" s="852"/>
      <c r="J40" s="856"/>
      <c r="K40" s="852"/>
      <c r="L40" s="852"/>
      <c r="M40" s="852"/>
      <c r="N40" s="852"/>
      <c r="O40" s="852"/>
      <c r="P40" s="854"/>
      <c r="Q40" s="855"/>
      <c r="R40" s="777"/>
      <c r="S40" s="777"/>
      <c r="T40" s="777"/>
      <c r="U40" s="777"/>
      <c r="V40" s="777"/>
    </row>
    <row r="41" spans="1:22" ht="12.75" hidden="1" customHeight="1" x14ac:dyDescent="0.25">
      <c r="A41" s="782" t="s">
        <v>242</v>
      </c>
      <c r="B41" s="779" t="s">
        <v>243</v>
      </c>
      <c r="C41" s="779"/>
      <c r="D41" s="839">
        <v>0.11</v>
      </c>
      <c r="E41" s="838" t="e">
        <f t="shared" si="9"/>
        <v>#DIV/0!</v>
      </c>
      <c r="F41" s="764"/>
      <c r="G41" s="835">
        <f t="shared" si="10"/>
        <v>0</v>
      </c>
      <c r="H41" s="777"/>
      <c r="I41" s="852"/>
      <c r="J41" s="853"/>
      <c r="K41" s="852"/>
      <c r="L41" s="852"/>
      <c r="M41" s="852"/>
      <c r="N41" s="852"/>
      <c r="O41" s="852"/>
      <c r="P41" s="854"/>
      <c r="Q41" s="855"/>
      <c r="R41" s="777"/>
      <c r="S41" s="777"/>
      <c r="T41" s="777"/>
      <c r="U41" s="777"/>
      <c r="V41" s="777"/>
    </row>
    <row r="42" spans="1:22" ht="12.75" hidden="1" customHeight="1" x14ac:dyDescent="0.25">
      <c r="A42" s="783" t="s">
        <v>247</v>
      </c>
      <c r="B42" s="823" t="s">
        <v>244</v>
      </c>
      <c r="C42" s="823"/>
      <c r="D42" s="840">
        <v>0.21</v>
      </c>
      <c r="E42" s="841" t="e">
        <f t="shared" si="9"/>
        <v>#DIV/0!</v>
      </c>
      <c r="F42" s="833">
        <f>2*F38</f>
        <v>0</v>
      </c>
      <c r="G42" s="836">
        <f t="shared" si="10"/>
        <v>0</v>
      </c>
      <c r="H42" s="777"/>
      <c r="I42" s="777"/>
      <c r="J42" s="777"/>
      <c r="K42" s="777"/>
      <c r="L42" s="777"/>
      <c r="M42" s="777"/>
      <c r="N42" s="777"/>
      <c r="O42" s="777"/>
      <c r="P42" s="777"/>
      <c r="Q42" s="777"/>
      <c r="R42" s="777"/>
      <c r="S42" s="777"/>
      <c r="T42" s="777"/>
      <c r="U42" s="777"/>
      <c r="V42" s="777"/>
    </row>
    <row r="43" spans="1:22" ht="12.75" customHeight="1" x14ac:dyDescent="0.25">
      <c r="A43" s="777"/>
      <c r="B43" s="777"/>
      <c r="C43" s="777"/>
      <c r="D43" s="777"/>
      <c r="E43" s="777"/>
      <c r="F43" s="777"/>
      <c r="G43" s="777"/>
      <c r="H43" s="777"/>
      <c r="I43" s="777"/>
      <c r="J43" s="777"/>
      <c r="K43" s="777"/>
      <c r="L43" s="777"/>
      <c r="M43" s="777"/>
      <c r="N43" s="777"/>
      <c r="O43" s="777"/>
      <c r="P43" s="777"/>
      <c r="Q43" s="777"/>
      <c r="R43" s="777"/>
      <c r="S43" s="777"/>
      <c r="T43" s="777"/>
      <c r="U43" s="777"/>
      <c r="V43" s="777"/>
    </row>
    <row r="44" spans="1:22" ht="12.75" customHeight="1" x14ac:dyDescent="0.25">
      <c r="A44" s="843"/>
      <c r="B44" s="827"/>
      <c r="C44" s="826"/>
      <c r="D44" s="827"/>
      <c r="E44" s="827"/>
      <c r="F44" s="779"/>
      <c r="G44" s="779"/>
      <c r="H44" s="779"/>
      <c r="I44" s="777"/>
      <c r="J44" s="777"/>
      <c r="K44" s="777"/>
      <c r="L44" s="777"/>
      <c r="M44" s="777"/>
      <c r="N44" s="777"/>
      <c r="O44" s="777"/>
      <c r="P44" s="777"/>
      <c r="Q44" s="777"/>
      <c r="R44" s="777"/>
      <c r="S44" s="777"/>
      <c r="T44" s="777"/>
      <c r="U44" s="777"/>
      <c r="V44" s="777"/>
    </row>
    <row r="45" spans="1:22" x14ac:dyDescent="0.25">
      <c r="A45" s="777"/>
      <c r="B45" s="777"/>
      <c r="C45" s="777"/>
      <c r="D45" s="777"/>
      <c r="E45" s="777"/>
      <c r="F45" s="777"/>
      <c r="G45" s="777"/>
      <c r="H45" s="777"/>
      <c r="I45" s="777"/>
      <c r="J45" s="777"/>
      <c r="K45" s="777"/>
      <c r="L45" s="777"/>
      <c r="M45" s="777"/>
      <c r="N45" s="777"/>
      <c r="O45" s="777"/>
      <c r="P45" s="777"/>
      <c r="Q45" s="777"/>
      <c r="R45" s="777"/>
      <c r="S45" s="777"/>
      <c r="T45" s="777"/>
      <c r="U45" s="777"/>
      <c r="V45" s="777"/>
    </row>
    <row r="46" spans="1:22" x14ac:dyDescent="0.25">
      <c r="A46" s="777"/>
      <c r="B46" s="777"/>
      <c r="C46" s="777"/>
      <c r="D46" s="777"/>
      <c r="E46" s="777"/>
      <c r="F46" s="777"/>
      <c r="G46" s="777"/>
      <c r="H46" s="777"/>
      <c r="I46" s="777"/>
      <c r="J46" s="777"/>
      <c r="K46" s="777"/>
      <c r="L46" s="777"/>
      <c r="M46" s="777"/>
      <c r="N46" s="777"/>
      <c r="O46" s="777"/>
      <c r="P46" s="777"/>
      <c r="Q46" s="777"/>
      <c r="R46" s="777"/>
      <c r="S46" s="777"/>
      <c r="T46" s="777"/>
      <c r="U46" s="777"/>
      <c r="V46" s="777"/>
    </row>
    <row r="47" spans="1:22" x14ac:dyDescent="0.25">
      <c r="A47" s="777"/>
      <c r="B47" s="777"/>
      <c r="C47" s="777"/>
      <c r="D47" s="777"/>
      <c r="E47" s="777"/>
      <c r="F47" s="777"/>
      <c r="G47" s="777"/>
      <c r="H47" s="777"/>
      <c r="I47" s="777"/>
      <c r="J47" s="777"/>
      <c r="K47" s="777"/>
      <c r="L47" s="777"/>
      <c r="M47" s="777"/>
      <c r="N47" s="777"/>
      <c r="O47" s="777"/>
      <c r="P47" s="777"/>
      <c r="Q47" s="777"/>
      <c r="R47" s="777"/>
      <c r="S47" s="777"/>
      <c r="T47" s="777"/>
      <c r="U47" s="777"/>
      <c r="V47" s="777"/>
    </row>
    <row r="48" spans="1:22" x14ac:dyDescent="0.25">
      <c r="A48" s="777"/>
      <c r="B48" s="777"/>
      <c r="C48" s="777"/>
      <c r="D48" s="777"/>
      <c r="E48" s="777"/>
      <c r="F48" s="777"/>
      <c r="G48" s="777"/>
      <c r="H48" s="777"/>
      <c r="I48" s="777"/>
      <c r="J48" s="777"/>
      <c r="K48" s="777"/>
      <c r="L48" s="777"/>
      <c r="M48" s="777"/>
      <c r="N48" s="777"/>
      <c r="O48" s="777"/>
      <c r="P48" s="777"/>
      <c r="Q48" s="777"/>
      <c r="R48" s="777"/>
      <c r="S48" s="777"/>
      <c r="T48" s="777"/>
      <c r="U48" s="777"/>
      <c r="V48" s="777"/>
    </row>
    <row r="49" spans="1:22" x14ac:dyDescent="0.25">
      <c r="A49" s="777"/>
      <c r="B49" s="777"/>
      <c r="C49" s="777"/>
      <c r="D49" s="777"/>
      <c r="E49" s="777"/>
      <c r="F49" s="777"/>
      <c r="G49" s="777"/>
      <c r="H49" s="777"/>
      <c r="I49" s="777"/>
      <c r="J49" s="777"/>
      <c r="K49" s="777"/>
      <c r="L49" s="777"/>
      <c r="M49" s="777"/>
      <c r="N49" s="777"/>
      <c r="O49" s="777"/>
      <c r="P49" s="777"/>
      <c r="Q49" s="777"/>
      <c r="R49" s="777"/>
      <c r="S49" s="777"/>
      <c r="T49" s="777"/>
      <c r="U49" s="777"/>
      <c r="V49" s="777"/>
    </row>
    <row r="50" spans="1:22" x14ac:dyDescent="0.25">
      <c r="A50" s="777"/>
      <c r="B50" s="777"/>
      <c r="C50" s="777"/>
      <c r="D50" s="777"/>
      <c r="E50" s="777"/>
      <c r="F50" s="777"/>
      <c r="G50" s="777"/>
      <c r="H50" s="777"/>
      <c r="I50" s="777"/>
      <c r="J50" s="777"/>
      <c r="K50" s="777"/>
      <c r="L50" s="777"/>
      <c r="M50" s="777"/>
      <c r="N50" s="777"/>
      <c r="O50" s="777"/>
      <c r="P50" s="777"/>
      <c r="Q50" s="777"/>
      <c r="R50" s="777"/>
      <c r="S50" s="777"/>
      <c r="T50" s="777"/>
      <c r="U50" s="777"/>
      <c r="V50" s="777"/>
    </row>
    <row r="51" spans="1:22" x14ac:dyDescent="0.25">
      <c r="A51" s="777"/>
      <c r="B51" s="777"/>
      <c r="C51" s="777"/>
      <c r="D51" s="777"/>
      <c r="E51" s="777"/>
      <c r="F51" s="777"/>
      <c r="G51" s="777"/>
      <c r="H51" s="777"/>
      <c r="I51" s="777"/>
      <c r="J51" s="777"/>
      <c r="K51" s="777"/>
      <c r="L51" s="777"/>
      <c r="M51" s="777"/>
      <c r="N51" s="777"/>
      <c r="O51" s="777"/>
      <c r="P51" s="777"/>
      <c r="Q51" s="777"/>
      <c r="R51" s="777"/>
      <c r="S51" s="777"/>
      <c r="T51" s="777"/>
      <c r="U51" s="777"/>
      <c r="V51" s="777"/>
    </row>
    <row r="52" spans="1:22" x14ac:dyDescent="0.25">
      <c r="A52" s="777"/>
      <c r="B52" s="777"/>
      <c r="C52" s="777"/>
      <c r="D52" s="777"/>
      <c r="E52" s="777"/>
      <c r="F52" s="777"/>
      <c r="G52" s="777"/>
      <c r="H52" s="777"/>
      <c r="I52" s="777"/>
      <c r="J52" s="777"/>
      <c r="K52" s="777"/>
      <c r="L52" s="777"/>
      <c r="M52" s="777"/>
      <c r="N52" s="777"/>
      <c r="O52" s="777"/>
      <c r="P52" s="777"/>
      <c r="Q52" s="777"/>
      <c r="R52" s="777"/>
      <c r="S52" s="777"/>
      <c r="T52" s="777"/>
      <c r="U52" s="777"/>
      <c r="V52" s="777"/>
    </row>
    <row r="53" spans="1:22" x14ac:dyDescent="0.25">
      <c r="A53" s="777"/>
      <c r="B53" s="777"/>
      <c r="C53" s="777"/>
      <c r="D53" s="777"/>
      <c r="E53" s="777"/>
      <c r="F53" s="777"/>
      <c r="G53" s="777"/>
      <c r="H53" s="777"/>
      <c r="I53" s="777"/>
      <c r="J53" s="777"/>
      <c r="K53" s="777"/>
      <c r="L53" s="777"/>
      <c r="M53" s="777"/>
      <c r="N53" s="777"/>
      <c r="O53" s="777"/>
      <c r="P53" s="777"/>
      <c r="Q53" s="777"/>
      <c r="R53" s="777"/>
      <c r="S53" s="777"/>
      <c r="T53" s="777"/>
      <c r="U53" s="777"/>
      <c r="V53" s="777"/>
    </row>
    <row r="54" spans="1:22" x14ac:dyDescent="0.25">
      <c r="A54" s="777"/>
      <c r="B54" s="777"/>
      <c r="C54" s="777"/>
      <c r="D54" s="777"/>
      <c r="E54" s="777"/>
      <c r="F54" s="777"/>
      <c r="G54" s="777"/>
      <c r="H54" s="777"/>
      <c r="I54" s="777"/>
      <c r="J54" s="777"/>
      <c r="K54" s="777"/>
      <c r="L54" s="777"/>
      <c r="M54" s="777"/>
      <c r="N54" s="777"/>
      <c r="O54" s="777"/>
      <c r="P54" s="777"/>
      <c r="Q54" s="777"/>
      <c r="R54" s="777"/>
      <c r="S54" s="777"/>
      <c r="T54" s="777"/>
      <c r="U54" s="777"/>
      <c r="V54" s="777"/>
    </row>
    <row r="55" spans="1:22" x14ac:dyDescent="0.25">
      <c r="A55" s="777"/>
      <c r="B55" s="777"/>
      <c r="C55" s="777"/>
      <c r="D55" s="777"/>
      <c r="E55" s="777"/>
      <c r="F55" s="777"/>
      <c r="G55" s="777"/>
      <c r="H55" s="777"/>
      <c r="I55" s="777"/>
      <c r="J55" s="777"/>
      <c r="K55" s="777"/>
      <c r="L55" s="777"/>
      <c r="M55" s="777"/>
      <c r="N55" s="777"/>
      <c r="O55" s="777"/>
      <c r="P55" s="777"/>
      <c r="Q55" s="777"/>
      <c r="R55" s="777"/>
      <c r="S55" s="777"/>
      <c r="T55" s="777"/>
      <c r="U55" s="777"/>
      <c r="V55" s="777"/>
    </row>
    <row r="56" spans="1:22" x14ac:dyDescent="0.25">
      <c r="A56" s="777"/>
      <c r="B56" s="777"/>
      <c r="C56" s="777"/>
      <c r="D56" s="777"/>
      <c r="E56" s="777"/>
      <c r="F56" s="777"/>
      <c r="G56" s="777"/>
      <c r="H56" s="777"/>
      <c r="I56" s="777"/>
      <c r="J56" s="777"/>
      <c r="K56" s="777"/>
      <c r="L56" s="777"/>
      <c r="M56" s="777"/>
      <c r="N56" s="777"/>
      <c r="O56" s="777"/>
      <c r="P56" s="777"/>
      <c r="Q56" s="777"/>
      <c r="R56" s="777"/>
      <c r="S56" s="777"/>
      <c r="T56" s="777"/>
      <c r="U56" s="777"/>
      <c r="V56" s="777"/>
    </row>
    <row r="57" spans="1:22" x14ac:dyDescent="0.25">
      <c r="A57" s="777"/>
      <c r="B57" s="777"/>
      <c r="C57" s="777"/>
      <c r="D57" s="777"/>
      <c r="E57" s="777"/>
      <c r="F57" s="777"/>
      <c r="G57" s="777"/>
      <c r="H57" s="777"/>
      <c r="I57" s="777"/>
      <c r="J57" s="777"/>
      <c r="K57" s="777"/>
      <c r="L57" s="777"/>
      <c r="M57" s="777"/>
      <c r="N57" s="777"/>
      <c r="O57" s="777"/>
      <c r="P57" s="777"/>
      <c r="Q57" s="777"/>
      <c r="R57" s="777"/>
      <c r="S57" s="777"/>
      <c r="T57" s="777"/>
      <c r="U57" s="777"/>
      <c r="V57" s="777"/>
    </row>
    <row r="58" spans="1:22" x14ac:dyDescent="0.25">
      <c r="A58" s="777"/>
      <c r="B58" s="777"/>
      <c r="C58" s="777"/>
      <c r="D58" s="777"/>
      <c r="E58" s="777"/>
      <c r="F58" s="777"/>
      <c r="G58" s="777"/>
      <c r="H58" s="777"/>
      <c r="I58" s="777"/>
      <c r="J58" s="777"/>
      <c r="K58" s="777"/>
      <c r="L58" s="777"/>
      <c r="M58" s="777"/>
      <c r="N58" s="777"/>
      <c r="O58" s="777"/>
      <c r="P58" s="777"/>
      <c r="Q58" s="777"/>
      <c r="R58" s="777"/>
      <c r="S58" s="777"/>
      <c r="T58" s="777"/>
      <c r="U58" s="777"/>
      <c r="V58" s="777"/>
    </row>
    <row r="59" spans="1:22" x14ac:dyDescent="0.25">
      <c r="A59" s="777"/>
      <c r="B59" s="777"/>
      <c r="C59" s="777"/>
      <c r="D59" s="777"/>
      <c r="E59" s="777"/>
      <c r="F59" s="777"/>
      <c r="G59" s="777"/>
      <c r="H59" s="777"/>
      <c r="I59" s="777"/>
      <c r="J59" s="777"/>
      <c r="K59" s="777"/>
      <c r="L59" s="777"/>
      <c r="M59" s="777"/>
      <c r="N59" s="777"/>
      <c r="O59" s="777"/>
      <c r="P59" s="777"/>
      <c r="Q59" s="777"/>
      <c r="R59" s="777"/>
      <c r="S59" s="777"/>
      <c r="T59" s="777"/>
      <c r="U59" s="777"/>
      <c r="V59" s="777"/>
    </row>
    <row r="60" spans="1:22" x14ac:dyDescent="0.25">
      <c r="A60" s="777"/>
      <c r="B60" s="777"/>
      <c r="C60" s="777"/>
      <c r="D60" s="777"/>
      <c r="E60" s="777"/>
      <c r="F60" s="777"/>
      <c r="G60" s="777"/>
      <c r="H60" s="777"/>
      <c r="I60" s="777"/>
      <c r="J60" s="777"/>
      <c r="K60" s="777"/>
      <c r="L60" s="777"/>
      <c r="M60" s="777"/>
      <c r="N60" s="777"/>
      <c r="O60" s="777"/>
      <c r="P60" s="777"/>
      <c r="Q60" s="777"/>
      <c r="R60" s="777"/>
      <c r="S60" s="777"/>
      <c r="T60" s="777"/>
      <c r="U60" s="777"/>
      <c r="V60" s="777"/>
    </row>
    <row r="61" spans="1:22" x14ac:dyDescent="0.25">
      <c r="A61" s="777"/>
      <c r="B61" s="777"/>
      <c r="C61" s="777"/>
      <c r="D61" s="777"/>
      <c r="E61" s="777"/>
      <c r="F61" s="777"/>
      <c r="G61" s="777"/>
      <c r="H61" s="777"/>
      <c r="I61" s="777"/>
      <c r="J61" s="777"/>
      <c r="K61" s="777"/>
      <c r="L61" s="777"/>
      <c r="M61" s="777"/>
      <c r="N61" s="777"/>
      <c r="O61" s="777"/>
      <c r="P61" s="777"/>
      <c r="Q61" s="777"/>
      <c r="R61" s="777"/>
      <c r="S61" s="777"/>
      <c r="T61" s="777"/>
      <c r="U61" s="777"/>
      <c r="V61" s="777"/>
    </row>
    <row r="62" spans="1:22" x14ac:dyDescent="0.25">
      <c r="A62" s="777"/>
      <c r="B62" s="777"/>
      <c r="C62" s="777"/>
      <c r="D62" s="777"/>
      <c r="E62" s="777"/>
      <c r="F62" s="777"/>
      <c r="G62" s="777"/>
      <c r="H62" s="777"/>
      <c r="I62" s="777"/>
      <c r="J62" s="777"/>
      <c r="K62" s="777"/>
      <c r="L62" s="777"/>
      <c r="M62" s="777"/>
      <c r="N62" s="777"/>
      <c r="O62" s="777"/>
      <c r="P62" s="777"/>
      <c r="Q62" s="777"/>
      <c r="R62" s="777"/>
      <c r="S62" s="777"/>
      <c r="T62" s="777"/>
      <c r="U62" s="777"/>
      <c r="V62" s="777"/>
    </row>
    <row r="63" spans="1:22" x14ac:dyDescent="0.25">
      <c r="A63" s="777"/>
      <c r="B63" s="777"/>
      <c r="C63" s="777"/>
      <c r="D63" s="777"/>
      <c r="E63" s="777"/>
      <c r="F63" s="777"/>
      <c r="G63" s="777"/>
      <c r="H63" s="777"/>
      <c r="I63" s="777"/>
      <c r="J63" s="777"/>
      <c r="K63" s="777"/>
      <c r="L63" s="777"/>
      <c r="M63" s="777"/>
      <c r="N63" s="777"/>
      <c r="O63" s="777"/>
      <c r="P63" s="777"/>
      <c r="Q63" s="777"/>
      <c r="R63" s="777"/>
      <c r="S63" s="777"/>
      <c r="T63" s="777"/>
      <c r="U63" s="777"/>
      <c r="V63" s="777"/>
    </row>
    <row r="64" spans="1:22" x14ac:dyDescent="0.25">
      <c r="A64" s="777"/>
      <c r="B64" s="777"/>
      <c r="C64" s="777"/>
      <c r="D64" s="777"/>
      <c r="E64" s="777"/>
      <c r="F64" s="777"/>
      <c r="G64" s="777"/>
      <c r="H64" s="777"/>
      <c r="I64" s="777"/>
      <c r="J64" s="777"/>
      <c r="K64" s="777"/>
      <c r="L64" s="777"/>
      <c r="M64" s="777"/>
      <c r="N64" s="777"/>
      <c r="O64" s="777"/>
      <c r="P64" s="777"/>
      <c r="Q64" s="777"/>
      <c r="R64" s="777"/>
      <c r="S64" s="777"/>
      <c r="T64" s="777"/>
      <c r="U64" s="777"/>
      <c r="V64" s="777"/>
    </row>
    <row r="65" spans="1:22" x14ac:dyDescent="0.25">
      <c r="A65" s="777"/>
      <c r="B65" s="777"/>
      <c r="C65" s="777"/>
      <c r="D65" s="777"/>
      <c r="E65" s="777"/>
      <c r="F65" s="777"/>
      <c r="G65" s="777"/>
      <c r="H65" s="777"/>
      <c r="I65" s="777"/>
      <c r="J65" s="777"/>
      <c r="K65" s="777"/>
      <c r="L65" s="777"/>
      <c r="M65" s="777"/>
      <c r="N65" s="777"/>
      <c r="O65" s="777"/>
      <c r="P65" s="777"/>
      <c r="Q65" s="777"/>
      <c r="R65" s="777"/>
      <c r="S65" s="777"/>
      <c r="T65" s="777"/>
      <c r="U65" s="777"/>
      <c r="V65" s="777"/>
    </row>
    <row r="66" spans="1:22" x14ac:dyDescent="0.25">
      <c r="A66" s="777"/>
      <c r="B66" s="777"/>
      <c r="C66" s="777"/>
      <c r="D66" s="777"/>
      <c r="E66" s="777"/>
      <c r="F66" s="777"/>
      <c r="G66" s="777"/>
      <c r="H66" s="777"/>
      <c r="I66" s="777"/>
      <c r="J66" s="777"/>
      <c r="K66" s="777"/>
      <c r="L66" s="777"/>
      <c r="M66" s="777"/>
      <c r="N66" s="777"/>
      <c r="O66" s="777"/>
      <c r="P66" s="777"/>
      <c r="Q66" s="777"/>
      <c r="R66" s="777"/>
      <c r="S66" s="777"/>
      <c r="T66" s="777"/>
      <c r="U66" s="777"/>
      <c r="V66" s="777"/>
    </row>
    <row r="67" spans="1:22" x14ac:dyDescent="0.25">
      <c r="A67" s="777"/>
      <c r="B67" s="777"/>
      <c r="C67" s="777"/>
      <c r="D67" s="777"/>
      <c r="E67" s="777"/>
      <c r="F67" s="777"/>
      <c r="G67" s="777"/>
      <c r="H67" s="777"/>
      <c r="I67" s="777"/>
      <c r="J67" s="777"/>
      <c r="K67" s="777"/>
      <c r="L67" s="777"/>
      <c r="M67" s="777"/>
      <c r="N67" s="777"/>
      <c r="O67" s="777"/>
      <c r="P67" s="777"/>
      <c r="Q67" s="777"/>
      <c r="R67" s="777"/>
      <c r="S67" s="777"/>
      <c r="T67" s="777"/>
      <c r="U67" s="777"/>
      <c r="V67" s="777"/>
    </row>
    <row r="68" spans="1:22" x14ac:dyDescent="0.25">
      <c r="A68" s="777"/>
      <c r="B68" s="777"/>
      <c r="C68" s="777"/>
      <c r="D68" s="777"/>
      <c r="E68" s="777"/>
      <c r="F68" s="777"/>
      <c r="G68" s="777"/>
      <c r="H68" s="777"/>
      <c r="I68" s="777"/>
      <c r="J68" s="777"/>
      <c r="K68" s="777"/>
      <c r="L68" s="777"/>
      <c r="M68" s="777"/>
      <c r="N68" s="777"/>
      <c r="O68" s="777"/>
      <c r="P68" s="777"/>
      <c r="Q68" s="777"/>
      <c r="R68" s="777"/>
      <c r="S68" s="777"/>
      <c r="T68" s="777"/>
      <c r="U68" s="777"/>
      <c r="V68" s="777"/>
    </row>
    <row r="69" spans="1:22" x14ac:dyDescent="0.25">
      <c r="A69" s="777"/>
      <c r="B69" s="777"/>
      <c r="C69" s="777"/>
      <c r="D69" s="777"/>
      <c r="E69" s="777"/>
      <c r="F69" s="777"/>
      <c r="G69" s="777"/>
      <c r="H69" s="777"/>
      <c r="I69" s="777"/>
      <c r="J69" s="777"/>
      <c r="K69" s="777"/>
      <c r="L69" s="777"/>
      <c r="M69" s="777"/>
      <c r="N69" s="777"/>
      <c r="O69" s="777"/>
      <c r="P69" s="777"/>
      <c r="Q69" s="777"/>
      <c r="R69" s="777"/>
      <c r="S69" s="777"/>
      <c r="T69" s="777"/>
      <c r="U69" s="777"/>
      <c r="V69" s="777"/>
    </row>
    <row r="70" spans="1:22" x14ac:dyDescent="0.25">
      <c r="A70" s="777"/>
      <c r="B70" s="777"/>
      <c r="C70" s="777"/>
      <c r="D70" s="777"/>
      <c r="E70" s="777"/>
      <c r="F70" s="777"/>
      <c r="G70" s="777"/>
      <c r="H70" s="777"/>
      <c r="I70" s="777"/>
      <c r="J70" s="777"/>
      <c r="K70" s="777"/>
      <c r="L70" s="777"/>
      <c r="M70" s="777"/>
      <c r="N70" s="777"/>
      <c r="O70" s="777"/>
      <c r="P70" s="777"/>
      <c r="Q70" s="777"/>
      <c r="R70" s="777"/>
      <c r="S70" s="777"/>
      <c r="T70" s="777"/>
      <c r="U70" s="777"/>
      <c r="V70" s="777"/>
    </row>
    <row r="71" spans="1:22" x14ac:dyDescent="0.25">
      <c r="A71" s="777"/>
      <c r="B71" s="777"/>
      <c r="C71" s="777"/>
      <c r="D71" s="777"/>
      <c r="E71" s="777"/>
      <c r="F71" s="777"/>
      <c r="G71" s="777"/>
      <c r="H71" s="777"/>
      <c r="I71" s="777"/>
      <c r="J71" s="777"/>
      <c r="K71" s="777"/>
      <c r="L71" s="777"/>
      <c r="M71" s="777"/>
      <c r="N71" s="777"/>
      <c r="O71" s="777"/>
      <c r="P71" s="777"/>
      <c r="Q71" s="777"/>
      <c r="R71" s="777"/>
      <c r="S71" s="777"/>
      <c r="T71" s="777"/>
      <c r="U71" s="777"/>
      <c r="V71" s="777"/>
    </row>
    <row r="72" spans="1:22" x14ac:dyDescent="0.25">
      <c r="A72" s="777"/>
      <c r="B72" s="777"/>
      <c r="C72" s="777"/>
      <c r="D72" s="777"/>
      <c r="E72" s="777"/>
      <c r="F72" s="777"/>
      <c r="G72" s="777"/>
      <c r="H72" s="777"/>
      <c r="I72" s="777"/>
      <c r="J72" s="777"/>
      <c r="K72" s="777"/>
      <c r="L72" s="777"/>
      <c r="M72" s="777"/>
      <c r="N72" s="777"/>
      <c r="O72" s="777"/>
      <c r="P72" s="777"/>
      <c r="Q72" s="777"/>
      <c r="R72" s="777"/>
      <c r="S72" s="777"/>
      <c r="T72" s="777"/>
      <c r="U72" s="777"/>
      <c r="V72" s="777"/>
    </row>
    <row r="73" spans="1:22" x14ac:dyDescent="0.25">
      <c r="A73" s="777"/>
      <c r="B73" s="777"/>
      <c r="C73" s="777"/>
      <c r="D73" s="777"/>
      <c r="E73" s="777"/>
      <c r="F73" s="777"/>
      <c r="G73" s="777"/>
      <c r="H73" s="777"/>
      <c r="I73" s="777"/>
      <c r="J73" s="777"/>
      <c r="K73" s="777"/>
      <c r="L73" s="777"/>
      <c r="M73" s="777"/>
      <c r="N73" s="777"/>
      <c r="O73" s="777"/>
      <c r="P73" s="777"/>
      <c r="Q73" s="777"/>
      <c r="R73" s="777"/>
      <c r="S73" s="777"/>
      <c r="T73" s="777"/>
      <c r="U73" s="777"/>
      <c r="V73" s="777"/>
    </row>
    <row r="74" spans="1:22" x14ac:dyDescent="0.25">
      <c r="A74" s="777"/>
      <c r="B74" s="777"/>
      <c r="C74" s="777"/>
      <c r="D74" s="777"/>
      <c r="E74" s="777"/>
      <c r="F74" s="777"/>
      <c r="G74" s="777"/>
      <c r="H74" s="777"/>
      <c r="I74" s="777"/>
      <c r="J74" s="777"/>
      <c r="K74" s="777"/>
      <c r="L74" s="777"/>
      <c r="M74" s="777"/>
      <c r="N74" s="777"/>
      <c r="O74" s="777"/>
      <c r="P74" s="777"/>
      <c r="Q74" s="777"/>
      <c r="R74" s="777"/>
      <c r="S74" s="777"/>
      <c r="T74" s="777"/>
      <c r="U74" s="777"/>
      <c r="V74" s="777"/>
    </row>
    <row r="75" spans="1:22" x14ac:dyDescent="0.25">
      <c r="A75" s="777"/>
      <c r="B75" s="777"/>
      <c r="C75" s="777"/>
      <c r="D75" s="777"/>
      <c r="E75" s="777"/>
      <c r="F75" s="777"/>
      <c r="G75" s="777"/>
      <c r="H75" s="777"/>
      <c r="I75" s="777"/>
      <c r="J75" s="777"/>
      <c r="K75" s="777"/>
      <c r="L75" s="777"/>
      <c r="M75" s="777"/>
      <c r="N75" s="777"/>
      <c r="O75" s="777"/>
      <c r="P75" s="777"/>
      <c r="Q75" s="777"/>
      <c r="R75" s="777"/>
      <c r="S75" s="777"/>
      <c r="T75" s="777"/>
      <c r="U75" s="777"/>
      <c r="V75" s="777"/>
    </row>
    <row r="76" spans="1:22" x14ac:dyDescent="0.25">
      <c r="A76" s="777"/>
      <c r="B76" s="777"/>
      <c r="C76" s="777"/>
      <c r="D76" s="777"/>
      <c r="E76" s="777"/>
      <c r="F76" s="777"/>
      <c r="G76" s="777"/>
      <c r="H76" s="777"/>
      <c r="I76" s="777"/>
      <c r="J76" s="777"/>
      <c r="K76" s="777"/>
      <c r="L76" s="777"/>
      <c r="M76" s="777"/>
      <c r="N76" s="777"/>
      <c r="O76" s="777"/>
      <c r="P76" s="777"/>
      <c r="Q76" s="777"/>
      <c r="R76" s="777"/>
      <c r="S76" s="777"/>
      <c r="T76" s="777"/>
      <c r="U76" s="777"/>
      <c r="V76" s="777"/>
    </row>
    <row r="77" spans="1:22" x14ac:dyDescent="0.25">
      <c r="A77" s="777"/>
      <c r="B77" s="777"/>
      <c r="C77" s="777"/>
      <c r="D77" s="777"/>
      <c r="E77" s="777"/>
      <c r="F77" s="777"/>
      <c r="G77" s="777"/>
      <c r="H77" s="777"/>
      <c r="I77" s="777"/>
      <c r="J77" s="777"/>
      <c r="K77" s="777"/>
      <c r="L77" s="777"/>
      <c r="M77" s="777"/>
      <c r="N77" s="777"/>
      <c r="O77" s="777"/>
      <c r="P77" s="777"/>
      <c r="Q77" s="777"/>
      <c r="R77" s="777"/>
      <c r="S77" s="777"/>
      <c r="T77" s="777"/>
      <c r="U77" s="777"/>
      <c r="V77" s="777"/>
    </row>
    <row r="78" spans="1:22" x14ac:dyDescent="0.25">
      <c r="A78" s="777"/>
      <c r="B78" s="777"/>
      <c r="C78" s="777"/>
      <c r="D78" s="777"/>
      <c r="E78" s="777"/>
      <c r="F78" s="777"/>
      <c r="G78" s="777"/>
      <c r="H78" s="777"/>
      <c r="I78" s="777"/>
      <c r="J78" s="777"/>
      <c r="K78" s="777"/>
      <c r="L78" s="777"/>
      <c r="M78" s="777"/>
      <c r="N78" s="777"/>
      <c r="O78" s="777"/>
      <c r="P78" s="777"/>
      <c r="Q78" s="777"/>
      <c r="R78" s="777"/>
      <c r="S78" s="777"/>
      <c r="T78" s="777"/>
      <c r="U78" s="777"/>
      <c r="V78" s="777"/>
    </row>
    <row r="79" spans="1:22" x14ac:dyDescent="0.25">
      <c r="A79" s="777"/>
      <c r="B79" s="777"/>
      <c r="C79" s="777"/>
      <c r="D79" s="777"/>
      <c r="E79" s="777"/>
      <c r="F79" s="777"/>
      <c r="G79" s="777"/>
      <c r="H79" s="777"/>
      <c r="I79" s="777"/>
      <c r="J79" s="777"/>
      <c r="K79" s="777"/>
      <c r="L79" s="777"/>
      <c r="M79" s="777"/>
      <c r="N79" s="777"/>
      <c r="O79" s="777"/>
      <c r="P79" s="777"/>
      <c r="Q79" s="777"/>
      <c r="R79" s="777"/>
      <c r="S79" s="777"/>
      <c r="T79" s="777"/>
      <c r="U79" s="777"/>
      <c r="V79" s="777"/>
    </row>
    <row r="80" spans="1:22" x14ac:dyDescent="0.25">
      <c r="A80" s="777"/>
      <c r="B80" s="777"/>
      <c r="C80" s="777"/>
      <c r="D80" s="777"/>
      <c r="E80" s="777"/>
      <c r="F80" s="777"/>
      <c r="G80" s="777"/>
      <c r="H80" s="777"/>
      <c r="I80" s="777"/>
      <c r="J80" s="777"/>
      <c r="K80" s="777"/>
      <c r="L80" s="777"/>
      <c r="M80" s="777"/>
      <c r="N80" s="777"/>
      <c r="O80" s="777"/>
      <c r="P80" s="777"/>
      <c r="Q80" s="777"/>
      <c r="R80" s="777"/>
      <c r="S80" s="777"/>
      <c r="T80" s="777"/>
      <c r="U80" s="777"/>
      <c r="V80" s="777"/>
    </row>
    <row r="81" spans="1:22" x14ac:dyDescent="0.25">
      <c r="A81" s="777"/>
      <c r="B81" s="777"/>
      <c r="C81" s="777"/>
      <c r="D81" s="777"/>
      <c r="E81" s="777"/>
      <c r="F81" s="777"/>
      <c r="G81" s="777"/>
      <c r="H81" s="777"/>
      <c r="I81" s="777"/>
      <c r="J81" s="777"/>
      <c r="K81" s="777"/>
      <c r="L81" s="777"/>
      <c r="M81" s="777"/>
      <c r="N81" s="777"/>
      <c r="O81" s="777"/>
      <c r="P81" s="777"/>
      <c r="Q81" s="777"/>
      <c r="R81" s="777"/>
      <c r="S81" s="777"/>
      <c r="T81" s="777"/>
      <c r="U81" s="777"/>
      <c r="V81" s="777"/>
    </row>
    <row r="82" spans="1:22" x14ac:dyDescent="0.25">
      <c r="A82" s="777"/>
      <c r="B82" s="777"/>
      <c r="C82" s="777"/>
      <c r="D82" s="777"/>
      <c r="E82" s="777"/>
      <c r="F82" s="777"/>
      <c r="G82" s="777"/>
      <c r="H82" s="777"/>
      <c r="I82" s="777"/>
      <c r="J82" s="777"/>
      <c r="K82" s="777"/>
      <c r="L82" s="777"/>
      <c r="M82" s="777"/>
      <c r="N82" s="777"/>
      <c r="O82" s="777"/>
      <c r="P82" s="777"/>
      <c r="Q82" s="777"/>
      <c r="R82" s="777"/>
      <c r="S82" s="777"/>
      <c r="T82" s="777"/>
      <c r="U82" s="777"/>
      <c r="V82" s="777"/>
    </row>
    <row r="83" spans="1:22" x14ac:dyDescent="0.25">
      <c r="A83" s="777"/>
      <c r="B83" s="777"/>
      <c r="C83" s="777"/>
      <c r="D83" s="777"/>
      <c r="E83" s="777"/>
      <c r="F83" s="777"/>
      <c r="G83" s="777"/>
      <c r="H83" s="777"/>
      <c r="I83" s="777"/>
      <c r="J83" s="777"/>
      <c r="K83" s="777"/>
      <c r="L83" s="777"/>
      <c r="M83" s="777"/>
      <c r="N83" s="777"/>
      <c r="O83" s="777"/>
      <c r="P83" s="777"/>
      <c r="Q83" s="777"/>
      <c r="R83" s="777"/>
      <c r="S83" s="777"/>
      <c r="T83" s="777"/>
      <c r="U83" s="777"/>
      <c r="V83" s="777"/>
    </row>
    <row r="84" spans="1:22" x14ac:dyDescent="0.25">
      <c r="A84" s="777"/>
      <c r="B84" s="777"/>
      <c r="C84" s="777"/>
      <c r="D84" s="777"/>
      <c r="E84" s="777"/>
      <c r="F84" s="777"/>
      <c r="G84" s="777"/>
      <c r="H84" s="777"/>
      <c r="I84" s="777"/>
      <c r="J84" s="777"/>
      <c r="K84" s="777"/>
      <c r="L84" s="777"/>
      <c r="M84" s="777"/>
      <c r="N84" s="777"/>
      <c r="O84" s="777"/>
      <c r="P84" s="777"/>
      <c r="Q84" s="777"/>
      <c r="R84" s="777"/>
      <c r="S84" s="777"/>
      <c r="T84" s="777"/>
      <c r="U84" s="777"/>
      <c r="V84" s="777"/>
    </row>
    <row r="85" spans="1:22" x14ac:dyDescent="0.25">
      <c r="A85" s="777"/>
      <c r="B85" s="777"/>
      <c r="C85" s="777"/>
      <c r="D85" s="777"/>
      <c r="E85" s="777"/>
      <c r="F85" s="777"/>
      <c r="G85" s="777"/>
      <c r="H85" s="777"/>
      <c r="I85" s="777"/>
      <c r="J85" s="777"/>
      <c r="K85" s="777"/>
      <c r="L85" s="777"/>
      <c r="M85" s="777"/>
      <c r="N85" s="777"/>
      <c r="O85" s="777"/>
      <c r="P85" s="777"/>
      <c r="Q85" s="777"/>
      <c r="R85" s="777"/>
      <c r="S85" s="777"/>
      <c r="T85" s="777"/>
      <c r="U85" s="777"/>
      <c r="V85" s="777"/>
    </row>
    <row r="86" spans="1:22" x14ac:dyDescent="0.25">
      <c r="A86" s="777"/>
      <c r="B86" s="777"/>
      <c r="C86" s="777"/>
      <c r="D86" s="777"/>
      <c r="E86" s="777"/>
      <c r="F86" s="777"/>
      <c r="G86" s="777"/>
      <c r="H86" s="777"/>
      <c r="I86" s="777"/>
      <c r="J86" s="777"/>
      <c r="K86" s="777"/>
      <c r="L86" s="777"/>
      <c r="M86" s="777"/>
      <c r="N86" s="777"/>
      <c r="O86" s="777"/>
      <c r="P86" s="777"/>
      <c r="Q86" s="777"/>
      <c r="R86" s="777"/>
      <c r="S86" s="777"/>
      <c r="T86" s="777"/>
      <c r="U86" s="777"/>
      <c r="V86" s="777"/>
    </row>
    <row r="87" spans="1:22" x14ac:dyDescent="0.25">
      <c r="A87" s="777"/>
      <c r="B87" s="777"/>
      <c r="C87" s="777"/>
      <c r="D87" s="777"/>
      <c r="E87" s="777"/>
      <c r="F87" s="777"/>
      <c r="G87" s="777"/>
      <c r="H87" s="777"/>
      <c r="I87" s="777"/>
      <c r="J87" s="777"/>
      <c r="K87" s="777"/>
      <c r="L87" s="777"/>
      <c r="M87" s="777"/>
      <c r="N87" s="777"/>
      <c r="O87" s="777"/>
      <c r="P87" s="777"/>
      <c r="Q87" s="777"/>
      <c r="R87" s="777"/>
      <c r="S87" s="777"/>
      <c r="T87" s="777"/>
      <c r="U87" s="777"/>
      <c r="V87" s="777"/>
    </row>
    <row r="88" spans="1:22" x14ac:dyDescent="0.25">
      <c r="A88" s="777"/>
      <c r="B88" s="777"/>
      <c r="C88" s="777"/>
      <c r="D88" s="777"/>
      <c r="E88" s="777"/>
      <c r="F88" s="777"/>
      <c r="G88" s="777"/>
      <c r="H88" s="777"/>
      <c r="I88" s="777"/>
      <c r="J88" s="777"/>
      <c r="K88" s="777"/>
      <c r="L88" s="777"/>
      <c r="M88" s="777"/>
      <c r="N88" s="777"/>
      <c r="O88" s="777"/>
      <c r="P88" s="777"/>
      <c r="Q88" s="777"/>
      <c r="R88" s="777"/>
      <c r="S88" s="777"/>
      <c r="T88" s="777"/>
      <c r="U88" s="777"/>
      <c r="V88" s="777"/>
    </row>
    <row r="89" spans="1:22" x14ac:dyDescent="0.25">
      <c r="A89" s="777"/>
      <c r="B89" s="777"/>
      <c r="C89" s="777"/>
      <c r="D89" s="777"/>
      <c r="E89" s="777"/>
      <c r="F89" s="777"/>
      <c r="G89" s="777"/>
      <c r="H89" s="777"/>
      <c r="I89" s="777"/>
      <c r="J89" s="777"/>
      <c r="K89" s="777"/>
      <c r="L89" s="777"/>
      <c r="M89" s="777"/>
      <c r="N89" s="777"/>
      <c r="O89" s="777"/>
      <c r="P89" s="777"/>
      <c r="Q89" s="777"/>
      <c r="R89" s="777"/>
      <c r="S89" s="777"/>
      <c r="T89" s="777"/>
      <c r="U89" s="777"/>
      <c r="V89" s="777"/>
    </row>
    <row r="90" spans="1:22" x14ac:dyDescent="0.25">
      <c r="A90" s="777"/>
      <c r="B90" s="777"/>
      <c r="C90" s="777"/>
      <c r="D90" s="777"/>
      <c r="E90" s="777"/>
      <c r="F90" s="777"/>
      <c r="G90" s="777"/>
      <c r="H90" s="777"/>
      <c r="I90" s="777"/>
      <c r="J90" s="777"/>
      <c r="K90" s="777"/>
      <c r="L90" s="777"/>
      <c r="M90" s="777"/>
      <c r="N90" s="777"/>
      <c r="O90" s="777"/>
      <c r="P90" s="777"/>
      <c r="Q90" s="777"/>
      <c r="R90" s="777"/>
      <c r="S90" s="777"/>
      <c r="T90" s="777"/>
      <c r="U90" s="777"/>
      <c r="V90" s="777"/>
    </row>
    <row r="91" spans="1:22" x14ac:dyDescent="0.25">
      <c r="A91" s="777"/>
      <c r="B91" s="777"/>
      <c r="C91" s="777"/>
      <c r="D91" s="777"/>
      <c r="E91" s="777"/>
      <c r="F91" s="777"/>
      <c r="G91" s="777"/>
      <c r="H91" s="777"/>
      <c r="I91" s="777"/>
      <c r="J91" s="777"/>
      <c r="K91" s="777"/>
      <c r="L91" s="777"/>
      <c r="M91" s="777"/>
      <c r="N91" s="777"/>
      <c r="O91" s="777"/>
      <c r="P91" s="777"/>
      <c r="Q91" s="777"/>
      <c r="R91" s="777"/>
      <c r="S91" s="777"/>
      <c r="T91" s="777"/>
      <c r="U91" s="777"/>
      <c r="V91" s="777"/>
    </row>
    <row r="92" spans="1:22" x14ac:dyDescent="0.25">
      <c r="A92" s="777"/>
      <c r="B92" s="777"/>
      <c r="C92" s="777"/>
      <c r="D92" s="777"/>
      <c r="E92" s="777"/>
      <c r="F92" s="777"/>
      <c r="G92" s="777"/>
      <c r="H92" s="777"/>
      <c r="I92" s="777"/>
      <c r="J92" s="777"/>
      <c r="K92" s="777"/>
      <c r="L92" s="777"/>
      <c r="M92" s="777"/>
      <c r="N92" s="777"/>
      <c r="O92" s="777"/>
      <c r="P92" s="777"/>
      <c r="Q92" s="777"/>
      <c r="R92" s="777"/>
      <c r="S92" s="777"/>
      <c r="T92" s="777"/>
      <c r="U92" s="777"/>
      <c r="V92" s="777"/>
    </row>
    <row r="93" spans="1:22" x14ac:dyDescent="0.25">
      <c r="A93" s="777"/>
      <c r="B93" s="777"/>
      <c r="C93" s="777"/>
      <c r="D93" s="777"/>
      <c r="E93" s="777"/>
      <c r="F93" s="777"/>
      <c r="G93" s="777"/>
      <c r="H93" s="777"/>
      <c r="I93" s="777"/>
      <c r="J93" s="777"/>
      <c r="K93" s="777"/>
      <c r="L93" s="777"/>
      <c r="M93" s="777"/>
      <c r="N93" s="777"/>
      <c r="O93" s="777"/>
      <c r="P93" s="777"/>
      <c r="Q93" s="777"/>
      <c r="R93" s="777"/>
      <c r="S93" s="777"/>
      <c r="T93" s="777"/>
      <c r="U93" s="777"/>
      <c r="V93" s="777"/>
    </row>
    <row r="94" spans="1:22" x14ac:dyDescent="0.25">
      <c r="A94" s="777"/>
      <c r="B94" s="777"/>
      <c r="C94" s="777"/>
      <c r="D94" s="777"/>
      <c r="E94" s="777"/>
      <c r="F94" s="777"/>
      <c r="G94" s="777"/>
      <c r="H94" s="777"/>
      <c r="I94" s="777"/>
      <c r="J94" s="777"/>
      <c r="K94" s="777"/>
      <c r="L94" s="777"/>
      <c r="M94" s="777"/>
      <c r="N94" s="777"/>
      <c r="O94" s="777"/>
      <c r="P94" s="777"/>
      <c r="Q94" s="777"/>
      <c r="R94" s="777"/>
      <c r="S94" s="777"/>
      <c r="T94" s="777"/>
      <c r="U94" s="777"/>
      <c r="V94" s="777"/>
    </row>
    <row r="95" spans="1:22" x14ac:dyDescent="0.25">
      <c r="A95" s="777"/>
      <c r="B95" s="777"/>
      <c r="C95" s="777"/>
      <c r="D95" s="777"/>
      <c r="E95" s="777"/>
      <c r="F95" s="777"/>
      <c r="G95" s="777"/>
      <c r="H95" s="777"/>
      <c r="I95" s="777"/>
      <c r="J95" s="777"/>
      <c r="K95" s="777"/>
      <c r="L95" s="777"/>
      <c r="M95" s="777"/>
      <c r="N95" s="777"/>
      <c r="O95" s="777"/>
      <c r="P95" s="777"/>
      <c r="Q95" s="777"/>
      <c r="R95" s="777"/>
      <c r="S95" s="777"/>
      <c r="T95" s="777"/>
      <c r="U95" s="777"/>
      <c r="V95" s="777"/>
    </row>
    <row r="96" spans="1:22" x14ac:dyDescent="0.25">
      <c r="A96" s="777"/>
      <c r="B96" s="777"/>
      <c r="C96" s="777"/>
      <c r="D96" s="777"/>
      <c r="E96" s="777"/>
      <c r="F96" s="777"/>
      <c r="G96" s="777"/>
      <c r="H96" s="777"/>
      <c r="I96" s="777"/>
      <c r="J96" s="777"/>
      <c r="K96" s="777"/>
      <c r="L96" s="777"/>
      <c r="M96" s="777"/>
      <c r="N96" s="777"/>
      <c r="O96" s="777"/>
      <c r="P96" s="777"/>
      <c r="Q96" s="777"/>
      <c r="R96" s="777"/>
      <c r="S96" s="777"/>
      <c r="T96" s="777"/>
      <c r="U96" s="777"/>
      <c r="V96" s="777"/>
    </row>
    <row r="97" spans="1:22" x14ac:dyDescent="0.25">
      <c r="A97" s="777"/>
      <c r="B97" s="777"/>
      <c r="C97" s="777"/>
      <c r="D97" s="777"/>
      <c r="E97" s="777"/>
      <c r="F97" s="777"/>
      <c r="G97" s="777"/>
      <c r="H97" s="777"/>
      <c r="I97" s="777"/>
      <c r="J97" s="777"/>
      <c r="K97" s="777"/>
      <c r="L97" s="777"/>
      <c r="M97" s="777"/>
      <c r="N97" s="777"/>
      <c r="O97" s="777"/>
      <c r="P97" s="777"/>
      <c r="Q97" s="777"/>
      <c r="R97" s="777"/>
      <c r="S97" s="777"/>
      <c r="T97" s="777"/>
      <c r="U97" s="777"/>
      <c r="V97" s="777"/>
    </row>
    <row r="98" spans="1:22" x14ac:dyDescent="0.25">
      <c r="A98" s="777"/>
      <c r="B98" s="777"/>
      <c r="C98" s="777"/>
      <c r="D98" s="777"/>
      <c r="E98" s="777"/>
      <c r="F98" s="777"/>
      <c r="G98" s="777"/>
      <c r="H98" s="777"/>
      <c r="I98" s="777"/>
      <c r="J98" s="777"/>
      <c r="K98" s="777"/>
      <c r="L98" s="777"/>
      <c r="M98" s="777"/>
      <c r="N98" s="777"/>
      <c r="O98" s="777"/>
      <c r="P98" s="777"/>
      <c r="Q98" s="777"/>
      <c r="R98" s="777"/>
      <c r="S98" s="777"/>
      <c r="T98" s="777"/>
      <c r="U98" s="777"/>
      <c r="V98" s="777"/>
    </row>
    <row r="99" spans="1:22" x14ac:dyDescent="0.25">
      <c r="A99" s="777"/>
      <c r="B99" s="777"/>
      <c r="C99" s="777"/>
      <c r="D99" s="777"/>
      <c r="E99" s="777"/>
      <c r="F99" s="777"/>
      <c r="G99" s="777"/>
      <c r="H99" s="777"/>
      <c r="I99" s="777"/>
      <c r="J99" s="777"/>
      <c r="K99" s="777"/>
      <c r="L99" s="777"/>
      <c r="M99" s="777"/>
      <c r="N99" s="777"/>
      <c r="O99" s="777"/>
      <c r="P99" s="777"/>
      <c r="Q99" s="777"/>
      <c r="R99" s="777"/>
      <c r="S99" s="777"/>
      <c r="T99" s="777"/>
      <c r="U99" s="777"/>
      <c r="V99" s="777"/>
    </row>
    <row r="100" spans="1:22" x14ac:dyDescent="0.25">
      <c r="A100" s="777"/>
      <c r="B100" s="777"/>
      <c r="C100" s="777"/>
      <c r="D100" s="777"/>
      <c r="E100" s="777"/>
      <c r="F100" s="777"/>
      <c r="G100" s="777"/>
      <c r="H100" s="777"/>
      <c r="I100" s="777"/>
      <c r="J100" s="777"/>
      <c r="K100" s="777"/>
      <c r="L100" s="777"/>
      <c r="M100" s="777"/>
      <c r="N100" s="777"/>
      <c r="O100" s="777"/>
      <c r="P100" s="777"/>
      <c r="Q100" s="777"/>
      <c r="R100" s="777"/>
      <c r="S100" s="777"/>
      <c r="T100" s="777"/>
      <c r="U100" s="777"/>
      <c r="V100" s="777"/>
    </row>
    <row r="101" spans="1:22" x14ac:dyDescent="0.25">
      <c r="A101" s="777"/>
      <c r="B101" s="777"/>
      <c r="C101" s="777"/>
      <c r="D101" s="777"/>
      <c r="E101" s="777"/>
      <c r="F101" s="777"/>
      <c r="G101" s="777"/>
      <c r="H101" s="777"/>
      <c r="I101" s="777"/>
      <c r="J101" s="777"/>
      <c r="K101" s="777"/>
      <c r="L101" s="777"/>
      <c r="M101" s="777"/>
      <c r="N101" s="777"/>
      <c r="O101" s="777"/>
      <c r="P101" s="777"/>
      <c r="Q101" s="777"/>
      <c r="R101" s="777"/>
      <c r="S101" s="777"/>
      <c r="T101" s="777"/>
      <c r="U101" s="777"/>
      <c r="V101" s="777"/>
    </row>
    <row r="102" spans="1:22" x14ac:dyDescent="0.25">
      <c r="A102" s="777"/>
      <c r="B102" s="777"/>
      <c r="C102" s="777"/>
      <c r="D102" s="777"/>
      <c r="E102" s="777"/>
      <c r="F102" s="777"/>
      <c r="G102" s="777"/>
      <c r="H102" s="777"/>
      <c r="I102" s="777"/>
      <c r="J102" s="777"/>
      <c r="K102" s="777"/>
      <c r="L102" s="777"/>
      <c r="M102" s="777"/>
      <c r="N102" s="777"/>
      <c r="O102" s="777"/>
      <c r="P102" s="777"/>
      <c r="Q102" s="777"/>
      <c r="R102" s="777"/>
      <c r="S102" s="777"/>
      <c r="T102" s="777"/>
      <c r="U102" s="777"/>
      <c r="V102" s="777"/>
    </row>
    <row r="103" spans="1:22" x14ac:dyDescent="0.25">
      <c r="A103" s="777"/>
      <c r="B103" s="777"/>
      <c r="C103" s="777"/>
      <c r="D103" s="777"/>
      <c r="E103" s="777"/>
      <c r="F103" s="777"/>
      <c r="G103" s="777"/>
      <c r="H103" s="777"/>
      <c r="I103" s="777"/>
      <c r="J103" s="777"/>
      <c r="K103" s="777"/>
      <c r="L103" s="777"/>
      <c r="M103" s="777"/>
      <c r="N103" s="777"/>
      <c r="O103" s="777"/>
      <c r="P103" s="777"/>
      <c r="Q103" s="777"/>
      <c r="R103" s="777"/>
      <c r="S103" s="777"/>
      <c r="T103" s="777"/>
      <c r="U103" s="777"/>
      <c r="V103" s="777"/>
    </row>
    <row r="104" spans="1:22" x14ac:dyDescent="0.25">
      <c r="A104" s="777"/>
      <c r="B104" s="777"/>
      <c r="C104" s="777"/>
      <c r="D104" s="777"/>
      <c r="E104" s="777"/>
      <c r="F104" s="777"/>
      <c r="G104" s="777"/>
      <c r="H104" s="777"/>
      <c r="I104" s="777"/>
      <c r="J104" s="777"/>
      <c r="K104" s="777"/>
      <c r="L104" s="777"/>
      <c r="M104" s="777"/>
      <c r="N104" s="777"/>
      <c r="O104" s="777"/>
      <c r="P104" s="777"/>
      <c r="Q104" s="777"/>
      <c r="R104" s="777"/>
      <c r="S104" s="777"/>
      <c r="T104" s="777"/>
      <c r="U104" s="777"/>
      <c r="V104" s="777"/>
    </row>
    <row r="105" spans="1:22" x14ac:dyDescent="0.25">
      <c r="A105" s="777"/>
      <c r="B105" s="777"/>
      <c r="C105" s="777"/>
      <c r="D105" s="777"/>
      <c r="E105" s="777"/>
      <c r="F105" s="777"/>
      <c r="G105" s="777"/>
      <c r="H105" s="777"/>
      <c r="I105" s="777"/>
      <c r="J105" s="777"/>
      <c r="K105" s="777"/>
      <c r="L105" s="777"/>
      <c r="M105" s="777"/>
      <c r="N105" s="777"/>
      <c r="O105" s="777"/>
      <c r="P105" s="777"/>
      <c r="Q105" s="777"/>
      <c r="R105" s="777"/>
      <c r="S105" s="777"/>
      <c r="T105" s="777"/>
      <c r="U105" s="777"/>
      <c r="V105" s="777"/>
    </row>
    <row r="106" spans="1:22" x14ac:dyDescent="0.25">
      <c r="A106" s="777"/>
      <c r="B106" s="777"/>
      <c r="C106" s="777"/>
      <c r="D106" s="777"/>
      <c r="E106" s="777"/>
      <c r="F106" s="777"/>
      <c r="G106" s="777"/>
      <c r="H106" s="777"/>
      <c r="I106" s="777"/>
      <c r="J106" s="777"/>
      <c r="K106" s="777"/>
      <c r="L106" s="777"/>
      <c r="M106" s="777"/>
      <c r="N106" s="777"/>
      <c r="O106" s="777"/>
      <c r="P106" s="777"/>
      <c r="Q106" s="777"/>
      <c r="R106" s="777"/>
      <c r="S106" s="777"/>
      <c r="T106" s="777"/>
      <c r="U106" s="777"/>
      <c r="V106" s="777"/>
    </row>
    <row r="107" spans="1:22" x14ac:dyDescent="0.25">
      <c r="A107" s="777"/>
      <c r="B107" s="777"/>
      <c r="C107" s="777"/>
      <c r="D107" s="777"/>
      <c r="E107" s="777"/>
      <c r="F107" s="777"/>
      <c r="G107" s="777"/>
      <c r="H107" s="777"/>
      <c r="I107" s="777"/>
      <c r="J107" s="777"/>
      <c r="K107" s="777"/>
      <c r="L107" s="777"/>
      <c r="M107" s="777"/>
      <c r="N107" s="777"/>
      <c r="O107" s="777"/>
      <c r="P107" s="777"/>
      <c r="Q107" s="777"/>
      <c r="R107" s="777"/>
      <c r="S107" s="777"/>
      <c r="T107" s="777"/>
      <c r="U107" s="777"/>
      <c r="V107" s="777"/>
    </row>
    <row r="108" spans="1:22" x14ac:dyDescent="0.25">
      <c r="A108" s="777"/>
      <c r="B108" s="777"/>
      <c r="C108" s="777"/>
      <c r="D108" s="777"/>
      <c r="E108" s="777"/>
      <c r="F108" s="777"/>
      <c r="G108" s="777"/>
      <c r="H108" s="777"/>
      <c r="I108" s="777"/>
      <c r="J108" s="777"/>
      <c r="K108" s="777"/>
      <c r="L108" s="777"/>
      <c r="M108" s="777"/>
      <c r="N108" s="777"/>
      <c r="O108" s="777"/>
      <c r="P108" s="777"/>
      <c r="Q108" s="777"/>
      <c r="R108" s="777"/>
      <c r="S108" s="777"/>
      <c r="T108" s="777"/>
      <c r="U108" s="777"/>
      <c r="V108" s="777"/>
    </row>
    <row r="109" spans="1:22" x14ac:dyDescent="0.25">
      <c r="A109" s="777"/>
      <c r="B109" s="777"/>
      <c r="C109" s="777"/>
      <c r="D109" s="777"/>
      <c r="E109" s="777"/>
      <c r="F109" s="777"/>
      <c r="G109" s="777"/>
      <c r="H109" s="777"/>
      <c r="I109" s="777"/>
      <c r="J109" s="777"/>
      <c r="K109" s="777"/>
      <c r="L109" s="777"/>
      <c r="M109" s="777"/>
      <c r="N109" s="777"/>
      <c r="O109" s="777"/>
      <c r="P109" s="777"/>
      <c r="Q109" s="777"/>
      <c r="R109" s="777"/>
      <c r="S109" s="777"/>
      <c r="T109" s="777"/>
      <c r="U109" s="777"/>
      <c r="V109" s="777"/>
    </row>
    <row r="110" spans="1:22" x14ac:dyDescent="0.25">
      <c r="A110" s="777"/>
      <c r="B110" s="777"/>
      <c r="C110" s="777"/>
      <c r="D110" s="777"/>
      <c r="E110" s="777"/>
      <c r="F110" s="777"/>
      <c r="G110" s="777"/>
      <c r="H110" s="777"/>
      <c r="I110" s="777"/>
      <c r="J110" s="777"/>
      <c r="K110" s="777"/>
      <c r="L110" s="777"/>
      <c r="M110" s="777"/>
      <c r="N110" s="777"/>
      <c r="O110" s="777"/>
      <c r="P110" s="777"/>
      <c r="Q110" s="777"/>
      <c r="R110" s="777"/>
      <c r="S110" s="777"/>
      <c r="T110" s="777"/>
      <c r="U110" s="777"/>
      <c r="V110" s="777"/>
    </row>
    <row r="111" spans="1:22" x14ac:dyDescent="0.25">
      <c r="A111" s="777"/>
      <c r="B111" s="777"/>
      <c r="C111" s="777"/>
      <c r="D111" s="777"/>
      <c r="E111" s="777"/>
      <c r="F111" s="777"/>
      <c r="G111" s="777"/>
      <c r="H111" s="777"/>
      <c r="I111" s="777"/>
      <c r="J111" s="777"/>
      <c r="K111" s="777"/>
      <c r="L111" s="777"/>
      <c r="M111" s="777"/>
      <c r="N111" s="777"/>
      <c r="O111" s="777"/>
      <c r="P111" s="777"/>
      <c r="Q111" s="777"/>
      <c r="R111" s="777"/>
      <c r="S111" s="777"/>
      <c r="T111" s="777"/>
      <c r="U111" s="777"/>
      <c r="V111" s="777"/>
    </row>
    <row r="112" spans="1:22" x14ac:dyDescent="0.25">
      <c r="A112" s="777"/>
      <c r="B112" s="777"/>
      <c r="C112" s="777"/>
      <c r="D112" s="777"/>
      <c r="E112" s="777"/>
      <c r="F112" s="777"/>
      <c r="G112" s="777"/>
      <c r="H112" s="777"/>
      <c r="I112" s="777"/>
      <c r="J112" s="777"/>
      <c r="K112" s="777"/>
      <c r="L112" s="777"/>
      <c r="M112" s="777"/>
      <c r="N112" s="777"/>
      <c r="O112" s="777"/>
      <c r="P112" s="777"/>
      <c r="Q112" s="777"/>
      <c r="R112" s="777"/>
      <c r="S112" s="777"/>
      <c r="T112" s="777"/>
      <c r="U112" s="777"/>
      <c r="V112" s="777"/>
    </row>
    <row r="113" spans="1:22" x14ac:dyDescent="0.25">
      <c r="A113" s="777"/>
      <c r="B113" s="777"/>
      <c r="C113" s="777"/>
      <c r="D113" s="777"/>
      <c r="E113" s="777"/>
      <c r="F113" s="777"/>
      <c r="G113" s="777"/>
      <c r="H113" s="777"/>
      <c r="I113" s="777"/>
      <c r="J113" s="777"/>
      <c r="K113" s="777"/>
      <c r="L113" s="777"/>
      <c r="M113" s="777"/>
      <c r="N113" s="777"/>
      <c r="O113" s="777"/>
      <c r="P113" s="777"/>
      <c r="Q113" s="777"/>
      <c r="R113" s="777"/>
      <c r="S113" s="777"/>
      <c r="T113" s="777"/>
      <c r="U113" s="777"/>
      <c r="V113" s="777"/>
    </row>
    <row r="114" spans="1:22" x14ac:dyDescent="0.25">
      <c r="A114" s="777"/>
      <c r="B114" s="777"/>
      <c r="C114" s="777"/>
      <c r="D114" s="777"/>
      <c r="E114" s="777"/>
      <c r="F114" s="777"/>
      <c r="G114" s="777"/>
      <c r="H114" s="777"/>
      <c r="I114" s="777"/>
      <c r="J114" s="777"/>
      <c r="K114" s="777"/>
      <c r="L114" s="777"/>
      <c r="M114" s="777"/>
      <c r="N114" s="777"/>
      <c r="O114" s="777"/>
      <c r="P114" s="777"/>
      <c r="Q114" s="777"/>
      <c r="R114" s="777"/>
      <c r="S114" s="777"/>
      <c r="T114" s="777"/>
      <c r="U114" s="777"/>
      <c r="V114" s="777"/>
    </row>
    <row r="115" spans="1:22" x14ac:dyDescent="0.25">
      <c r="A115" s="777"/>
      <c r="B115" s="777"/>
      <c r="C115" s="777"/>
      <c r="D115" s="777"/>
      <c r="E115" s="777"/>
      <c r="F115" s="777"/>
      <c r="G115" s="777"/>
      <c r="H115" s="777"/>
      <c r="I115" s="777"/>
      <c r="J115" s="777"/>
      <c r="K115" s="777"/>
      <c r="L115" s="777"/>
      <c r="M115" s="777"/>
      <c r="N115" s="777"/>
      <c r="O115" s="777"/>
      <c r="P115" s="777"/>
      <c r="Q115" s="777"/>
      <c r="R115" s="777"/>
      <c r="S115" s="777"/>
      <c r="T115" s="777"/>
      <c r="U115" s="777"/>
      <c r="V115" s="777"/>
    </row>
    <row r="116" spans="1:22" x14ac:dyDescent="0.25">
      <c r="A116" s="777"/>
      <c r="B116" s="777"/>
      <c r="C116" s="777"/>
      <c r="D116" s="777"/>
      <c r="E116" s="777"/>
      <c r="F116" s="777"/>
      <c r="G116" s="777"/>
      <c r="H116" s="777"/>
      <c r="I116" s="777"/>
      <c r="J116" s="777"/>
      <c r="K116" s="777"/>
      <c r="L116" s="777"/>
      <c r="M116" s="777"/>
      <c r="N116" s="777"/>
      <c r="O116" s="777"/>
      <c r="P116" s="777"/>
      <c r="Q116" s="777"/>
      <c r="R116" s="777"/>
      <c r="S116" s="777"/>
      <c r="T116" s="777"/>
      <c r="U116" s="777"/>
      <c r="V116" s="777"/>
    </row>
    <row r="117" spans="1:22" x14ac:dyDescent="0.25">
      <c r="A117" s="777"/>
      <c r="B117" s="777"/>
      <c r="C117" s="777"/>
      <c r="D117" s="777"/>
      <c r="E117" s="777"/>
      <c r="F117" s="777"/>
      <c r="G117" s="777"/>
      <c r="H117" s="777"/>
      <c r="I117" s="777"/>
      <c r="J117" s="777"/>
      <c r="K117" s="777"/>
      <c r="L117" s="777"/>
      <c r="M117" s="777"/>
      <c r="N117" s="777"/>
      <c r="O117" s="777"/>
      <c r="P117" s="777"/>
      <c r="Q117" s="777"/>
      <c r="R117" s="777"/>
      <c r="S117" s="777"/>
      <c r="T117" s="777"/>
      <c r="U117" s="777"/>
      <c r="V117" s="777"/>
    </row>
    <row r="118" spans="1:22" x14ac:dyDescent="0.25">
      <c r="A118" s="777"/>
      <c r="B118" s="777"/>
      <c r="C118" s="777"/>
      <c r="D118" s="777"/>
      <c r="E118" s="777"/>
      <c r="F118" s="777"/>
      <c r="G118" s="777"/>
      <c r="H118" s="777"/>
      <c r="I118" s="777"/>
      <c r="J118" s="777"/>
      <c r="K118" s="777"/>
      <c r="L118" s="777"/>
      <c r="M118" s="777"/>
      <c r="N118" s="777"/>
      <c r="O118" s="777"/>
      <c r="P118" s="777"/>
      <c r="Q118" s="777"/>
      <c r="R118" s="777"/>
      <c r="S118" s="777"/>
      <c r="T118" s="777"/>
      <c r="U118" s="777"/>
      <c r="V118" s="777"/>
    </row>
    <row r="119" spans="1:22" x14ac:dyDescent="0.25">
      <c r="A119" s="777"/>
      <c r="B119" s="777"/>
      <c r="C119" s="777"/>
      <c r="D119" s="777"/>
      <c r="E119" s="777"/>
      <c r="F119" s="777"/>
      <c r="G119" s="777"/>
      <c r="H119" s="777"/>
      <c r="I119" s="777"/>
      <c r="J119" s="777"/>
      <c r="K119" s="777"/>
      <c r="L119" s="777"/>
      <c r="M119" s="777"/>
      <c r="N119" s="777"/>
      <c r="O119" s="777"/>
      <c r="P119" s="777"/>
      <c r="Q119" s="777"/>
      <c r="R119" s="777"/>
      <c r="S119" s="777"/>
      <c r="T119" s="777"/>
      <c r="U119" s="777"/>
      <c r="V119" s="777"/>
    </row>
    <row r="120" spans="1:22" x14ac:dyDescent="0.25">
      <c r="A120" s="777"/>
      <c r="B120" s="777"/>
      <c r="C120" s="777"/>
      <c r="D120" s="777"/>
      <c r="E120" s="777"/>
      <c r="F120" s="777"/>
      <c r="G120" s="777"/>
      <c r="H120" s="777"/>
      <c r="I120" s="777"/>
      <c r="J120" s="777"/>
      <c r="K120" s="777"/>
      <c r="L120" s="777"/>
      <c r="M120" s="777"/>
      <c r="N120" s="777"/>
      <c r="O120" s="777"/>
      <c r="P120" s="777"/>
      <c r="Q120" s="777"/>
      <c r="R120" s="777"/>
      <c r="S120" s="777"/>
      <c r="T120" s="777"/>
      <c r="U120" s="777"/>
      <c r="V120" s="777"/>
    </row>
    <row r="121" spans="1:22" x14ac:dyDescent="0.25">
      <c r="A121" s="777"/>
      <c r="B121" s="777"/>
      <c r="C121" s="777"/>
      <c r="D121" s="777"/>
      <c r="E121" s="777"/>
      <c r="F121" s="777"/>
      <c r="G121" s="777"/>
      <c r="H121" s="777"/>
      <c r="I121" s="777"/>
      <c r="J121" s="777"/>
      <c r="K121" s="777"/>
      <c r="L121" s="777"/>
      <c r="M121" s="777"/>
      <c r="N121" s="777"/>
      <c r="O121" s="777"/>
      <c r="P121" s="777"/>
      <c r="Q121" s="777"/>
      <c r="R121" s="777"/>
      <c r="S121" s="777"/>
      <c r="T121" s="777"/>
      <c r="U121" s="777"/>
      <c r="V121" s="777"/>
    </row>
    <row r="122" spans="1:22" x14ac:dyDescent="0.25">
      <c r="A122" s="777"/>
      <c r="B122" s="777"/>
      <c r="C122" s="777"/>
      <c r="D122" s="777"/>
      <c r="E122" s="777"/>
      <c r="F122" s="777"/>
      <c r="G122" s="777"/>
      <c r="H122" s="777"/>
      <c r="I122" s="777"/>
      <c r="J122" s="777"/>
      <c r="K122" s="777"/>
      <c r="L122" s="777"/>
      <c r="M122" s="777"/>
      <c r="N122" s="777"/>
      <c r="O122" s="777"/>
      <c r="P122" s="777"/>
      <c r="Q122" s="777"/>
      <c r="R122" s="777"/>
      <c r="S122" s="777"/>
      <c r="T122" s="777"/>
      <c r="U122" s="777"/>
      <c r="V122" s="777"/>
    </row>
    <row r="123" spans="1:22" x14ac:dyDescent="0.25">
      <c r="A123" s="777"/>
      <c r="B123" s="777"/>
      <c r="C123" s="777"/>
      <c r="D123" s="777"/>
      <c r="E123" s="777"/>
      <c r="F123" s="777"/>
      <c r="G123" s="777"/>
      <c r="H123" s="777"/>
      <c r="I123" s="777"/>
      <c r="J123" s="777"/>
      <c r="K123" s="777"/>
      <c r="L123" s="777"/>
      <c r="M123" s="777"/>
      <c r="N123" s="777"/>
      <c r="O123" s="777"/>
      <c r="P123" s="777"/>
      <c r="Q123" s="777"/>
      <c r="R123" s="777"/>
      <c r="S123" s="777"/>
      <c r="T123" s="777"/>
      <c r="U123" s="777"/>
      <c r="V123" s="777"/>
    </row>
    <row r="124" spans="1:22" x14ac:dyDescent="0.25">
      <c r="A124" s="777"/>
      <c r="B124" s="777"/>
      <c r="C124" s="777"/>
      <c r="D124" s="777"/>
      <c r="E124" s="777"/>
      <c r="F124" s="777"/>
      <c r="G124" s="777"/>
      <c r="H124" s="777"/>
      <c r="I124" s="777"/>
      <c r="J124" s="777"/>
      <c r="K124" s="777"/>
      <c r="L124" s="777"/>
      <c r="M124" s="777"/>
      <c r="N124" s="777"/>
      <c r="O124" s="777"/>
      <c r="P124" s="777"/>
      <c r="Q124" s="777"/>
      <c r="R124" s="777"/>
      <c r="S124" s="777"/>
      <c r="T124" s="777"/>
      <c r="U124" s="777"/>
      <c r="V124" s="777"/>
    </row>
    <row r="125" spans="1:22" x14ac:dyDescent="0.25">
      <c r="A125" s="777"/>
      <c r="B125" s="777"/>
      <c r="C125" s="777"/>
      <c r="D125" s="777"/>
      <c r="E125" s="777"/>
      <c r="F125" s="777"/>
      <c r="G125" s="777"/>
      <c r="H125" s="777"/>
      <c r="I125" s="777"/>
      <c r="J125" s="777"/>
      <c r="K125" s="777"/>
      <c r="L125" s="777"/>
      <c r="M125" s="777"/>
      <c r="N125" s="777"/>
      <c r="O125" s="777"/>
      <c r="P125" s="777"/>
      <c r="Q125" s="777"/>
      <c r="R125" s="777"/>
      <c r="S125" s="777"/>
      <c r="T125" s="777"/>
      <c r="U125" s="777"/>
      <c r="V125" s="777"/>
    </row>
    <row r="126" spans="1:22" x14ac:dyDescent="0.25">
      <c r="A126" s="777"/>
      <c r="B126" s="777"/>
      <c r="C126" s="777"/>
      <c r="D126" s="777"/>
      <c r="E126" s="777"/>
      <c r="F126" s="777"/>
      <c r="G126" s="777"/>
      <c r="H126" s="777"/>
      <c r="I126" s="777"/>
      <c r="J126" s="777"/>
      <c r="K126" s="777"/>
      <c r="L126" s="777"/>
      <c r="M126" s="777"/>
      <c r="N126" s="777"/>
      <c r="O126" s="777"/>
      <c r="P126" s="777"/>
      <c r="Q126" s="777"/>
      <c r="R126" s="777"/>
      <c r="S126" s="777"/>
      <c r="T126" s="777"/>
      <c r="U126" s="777"/>
      <c r="V126" s="777"/>
    </row>
    <row r="127" spans="1:22" x14ac:dyDescent="0.25">
      <c r="A127" s="777"/>
      <c r="B127" s="777"/>
      <c r="C127" s="777"/>
      <c r="D127" s="777"/>
      <c r="E127" s="777"/>
      <c r="F127" s="777"/>
      <c r="G127" s="777"/>
      <c r="H127" s="777"/>
      <c r="I127" s="777"/>
      <c r="J127" s="777"/>
      <c r="K127" s="777"/>
      <c r="L127" s="777"/>
      <c r="M127" s="777"/>
      <c r="N127" s="777"/>
      <c r="O127" s="777"/>
      <c r="P127" s="777"/>
      <c r="Q127" s="777"/>
      <c r="R127" s="777"/>
      <c r="S127" s="777"/>
      <c r="T127" s="777"/>
      <c r="U127" s="777"/>
      <c r="V127" s="777"/>
    </row>
    <row r="128" spans="1:22" x14ac:dyDescent="0.25">
      <c r="A128" s="777"/>
      <c r="B128" s="777"/>
      <c r="C128" s="777"/>
      <c r="D128" s="777"/>
      <c r="E128" s="777"/>
      <c r="F128" s="777"/>
      <c r="G128" s="777"/>
      <c r="H128" s="777"/>
      <c r="I128" s="777"/>
      <c r="J128" s="777"/>
      <c r="K128" s="777"/>
      <c r="L128" s="777"/>
      <c r="M128" s="777"/>
      <c r="N128" s="777"/>
      <c r="O128" s="777"/>
      <c r="P128" s="777"/>
      <c r="Q128" s="777"/>
      <c r="R128" s="777"/>
      <c r="S128" s="777"/>
      <c r="T128" s="777"/>
      <c r="U128" s="777"/>
      <c r="V128" s="777"/>
    </row>
    <row r="129" spans="1:22" x14ac:dyDescent="0.25">
      <c r="A129" s="777"/>
      <c r="B129" s="777"/>
      <c r="C129" s="777"/>
      <c r="D129" s="777"/>
      <c r="E129" s="777"/>
      <c r="F129" s="777"/>
      <c r="G129" s="777"/>
      <c r="H129" s="777"/>
      <c r="I129" s="777"/>
      <c r="J129" s="777"/>
      <c r="K129" s="777"/>
      <c r="L129" s="777"/>
      <c r="M129" s="777"/>
      <c r="N129" s="777"/>
      <c r="O129" s="777"/>
      <c r="P129" s="777"/>
      <c r="Q129" s="777"/>
      <c r="R129" s="777"/>
      <c r="S129" s="777"/>
      <c r="T129" s="777"/>
      <c r="U129" s="777"/>
      <c r="V129" s="777"/>
    </row>
    <row r="130" spans="1:22" x14ac:dyDescent="0.25">
      <c r="A130" s="777"/>
      <c r="B130" s="777"/>
      <c r="C130" s="777"/>
      <c r="D130" s="777"/>
      <c r="E130" s="777"/>
      <c r="F130" s="777"/>
      <c r="G130" s="777"/>
      <c r="H130" s="777"/>
      <c r="I130" s="777"/>
      <c r="J130" s="777"/>
      <c r="K130" s="777"/>
      <c r="L130" s="777"/>
      <c r="M130" s="777"/>
      <c r="N130" s="777"/>
      <c r="O130" s="777"/>
      <c r="P130" s="777"/>
      <c r="Q130" s="777"/>
      <c r="R130" s="777"/>
      <c r="S130" s="777"/>
      <c r="T130" s="777"/>
      <c r="U130" s="777"/>
      <c r="V130" s="777"/>
    </row>
    <row r="131" spans="1:22" x14ac:dyDescent="0.25">
      <c r="A131" s="777"/>
      <c r="B131" s="777"/>
      <c r="C131" s="777"/>
      <c r="D131" s="777"/>
      <c r="E131" s="777"/>
      <c r="F131" s="777"/>
      <c r="G131" s="777"/>
      <c r="H131" s="777"/>
      <c r="I131" s="777"/>
      <c r="J131" s="777"/>
      <c r="K131" s="777"/>
      <c r="L131" s="777"/>
      <c r="M131" s="777"/>
      <c r="N131" s="777"/>
      <c r="O131" s="777"/>
      <c r="P131" s="777"/>
      <c r="Q131" s="777"/>
      <c r="R131" s="777"/>
      <c r="S131" s="777"/>
      <c r="T131" s="777"/>
      <c r="U131" s="777"/>
      <c r="V131" s="777"/>
    </row>
    <row r="132" spans="1:22" x14ac:dyDescent="0.25">
      <c r="A132" s="777"/>
      <c r="B132" s="777"/>
      <c r="C132" s="777"/>
      <c r="D132" s="777"/>
      <c r="E132" s="777"/>
      <c r="F132" s="777"/>
      <c r="G132" s="777"/>
      <c r="H132" s="777"/>
      <c r="I132" s="777"/>
      <c r="J132" s="777"/>
      <c r="K132" s="777"/>
      <c r="L132" s="777"/>
      <c r="M132" s="777"/>
      <c r="N132" s="777"/>
      <c r="O132" s="777"/>
      <c r="P132" s="777"/>
      <c r="Q132" s="777"/>
      <c r="R132" s="777"/>
      <c r="S132" s="777"/>
      <c r="T132" s="777"/>
      <c r="U132" s="777"/>
      <c r="V132" s="777"/>
    </row>
    <row r="133" spans="1:22" x14ac:dyDescent="0.25">
      <c r="A133" s="777"/>
      <c r="B133" s="777"/>
      <c r="C133" s="777"/>
      <c r="D133" s="777"/>
      <c r="E133" s="777"/>
      <c r="F133" s="777"/>
      <c r="G133" s="777"/>
      <c r="H133" s="777"/>
      <c r="I133" s="777"/>
      <c r="J133" s="777"/>
      <c r="K133" s="777"/>
      <c r="L133" s="777"/>
      <c r="M133" s="777"/>
      <c r="N133" s="777"/>
      <c r="O133" s="777"/>
      <c r="P133" s="777"/>
      <c r="Q133" s="777"/>
      <c r="R133" s="777"/>
      <c r="S133" s="777"/>
      <c r="T133" s="777"/>
      <c r="U133" s="777"/>
      <c r="V133" s="777"/>
    </row>
    <row r="134" spans="1:22" x14ac:dyDescent="0.25">
      <c r="A134" s="777"/>
      <c r="B134" s="777"/>
      <c r="C134" s="777"/>
      <c r="D134" s="777"/>
      <c r="E134" s="777"/>
      <c r="F134" s="777"/>
      <c r="G134" s="777"/>
      <c r="H134" s="777"/>
      <c r="I134" s="777"/>
      <c r="J134" s="777"/>
      <c r="K134" s="777"/>
      <c r="L134" s="777"/>
      <c r="M134" s="777"/>
      <c r="N134" s="777"/>
      <c r="O134" s="777"/>
      <c r="P134" s="777"/>
      <c r="Q134" s="777"/>
      <c r="R134" s="777"/>
      <c r="S134" s="777"/>
      <c r="T134" s="777"/>
      <c r="U134" s="777"/>
      <c r="V134" s="777"/>
    </row>
    <row r="135" spans="1:22" x14ac:dyDescent="0.25">
      <c r="A135" s="777"/>
      <c r="B135" s="777"/>
      <c r="C135" s="777"/>
      <c r="D135" s="777"/>
      <c r="E135" s="777"/>
      <c r="F135" s="777"/>
      <c r="G135" s="777"/>
      <c r="H135" s="777"/>
      <c r="I135" s="777"/>
      <c r="J135" s="777"/>
      <c r="K135" s="777"/>
      <c r="L135" s="777"/>
      <c r="M135" s="777"/>
      <c r="N135" s="777"/>
      <c r="O135" s="777"/>
      <c r="P135" s="777"/>
      <c r="Q135" s="777"/>
      <c r="R135" s="777"/>
      <c r="S135" s="777"/>
      <c r="T135" s="777"/>
      <c r="U135" s="777"/>
      <c r="V135" s="777"/>
    </row>
    <row r="136" spans="1:22" x14ac:dyDescent="0.25">
      <c r="A136" s="777"/>
      <c r="B136" s="777"/>
      <c r="C136" s="777"/>
      <c r="D136" s="777"/>
      <c r="E136" s="777"/>
      <c r="F136" s="777"/>
      <c r="G136" s="777"/>
      <c r="H136" s="777"/>
      <c r="I136" s="777"/>
      <c r="J136" s="777"/>
      <c r="K136" s="777"/>
      <c r="L136" s="777"/>
      <c r="M136" s="777"/>
      <c r="N136" s="777"/>
      <c r="O136" s="777"/>
      <c r="P136" s="777"/>
      <c r="Q136" s="777"/>
      <c r="R136" s="777"/>
      <c r="S136" s="777"/>
      <c r="T136" s="777"/>
      <c r="U136" s="777"/>
      <c r="V136" s="777"/>
    </row>
    <row r="137" spans="1:22" x14ac:dyDescent="0.25">
      <c r="A137" s="777"/>
      <c r="B137" s="777"/>
      <c r="C137" s="777"/>
      <c r="D137" s="777"/>
      <c r="E137" s="777"/>
      <c r="F137" s="777"/>
      <c r="G137" s="777"/>
      <c r="H137" s="777"/>
      <c r="I137" s="777"/>
      <c r="J137" s="777"/>
      <c r="K137" s="777"/>
      <c r="L137" s="777"/>
      <c r="M137" s="777"/>
      <c r="N137" s="777"/>
      <c r="O137" s="777"/>
      <c r="P137" s="777"/>
      <c r="Q137" s="777"/>
      <c r="R137" s="777"/>
      <c r="S137" s="777"/>
      <c r="T137" s="777"/>
      <c r="U137" s="777"/>
      <c r="V137" s="777"/>
    </row>
    <row r="138" spans="1:22" x14ac:dyDescent="0.25">
      <c r="A138" s="777"/>
      <c r="B138" s="777"/>
      <c r="C138" s="777"/>
      <c r="D138" s="777"/>
      <c r="E138" s="777"/>
      <c r="F138" s="777"/>
      <c r="G138" s="777"/>
      <c r="H138" s="777"/>
      <c r="I138" s="777"/>
      <c r="J138" s="777"/>
      <c r="K138" s="777"/>
      <c r="L138" s="777"/>
      <c r="M138" s="777"/>
      <c r="N138" s="777"/>
      <c r="O138" s="777"/>
      <c r="P138" s="777"/>
      <c r="Q138" s="777"/>
      <c r="R138" s="777"/>
      <c r="S138" s="777"/>
      <c r="T138" s="777"/>
      <c r="U138" s="777"/>
      <c r="V138" s="777"/>
    </row>
    <row r="139" spans="1:22" x14ac:dyDescent="0.25">
      <c r="A139" s="777"/>
      <c r="B139" s="777"/>
      <c r="C139" s="777"/>
      <c r="D139" s="777"/>
      <c r="E139" s="777"/>
      <c r="F139" s="777"/>
      <c r="G139" s="777"/>
      <c r="H139" s="777"/>
      <c r="I139" s="777"/>
      <c r="J139" s="777"/>
      <c r="K139" s="777"/>
      <c r="L139" s="777"/>
      <c r="M139" s="777"/>
      <c r="N139" s="777"/>
      <c r="O139" s="777"/>
      <c r="P139" s="777"/>
      <c r="Q139" s="777"/>
      <c r="R139" s="777"/>
      <c r="S139" s="777"/>
      <c r="T139" s="777"/>
      <c r="U139" s="777"/>
      <c r="V139" s="777"/>
    </row>
    <row r="140" spans="1:22" x14ac:dyDescent="0.25">
      <c r="A140" s="777"/>
      <c r="B140" s="777"/>
      <c r="C140" s="777"/>
      <c r="D140" s="777"/>
      <c r="E140" s="777"/>
      <c r="F140" s="777"/>
      <c r="G140" s="777"/>
      <c r="H140" s="777"/>
      <c r="I140" s="777"/>
      <c r="J140" s="777"/>
      <c r="K140" s="777"/>
      <c r="L140" s="777"/>
      <c r="M140" s="777"/>
      <c r="N140" s="777"/>
      <c r="O140" s="777"/>
      <c r="P140" s="777"/>
      <c r="Q140" s="777"/>
      <c r="R140" s="777"/>
      <c r="S140" s="777"/>
      <c r="T140" s="777"/>
      <c r="U140" s="777"/>
      <c r="V140" s="777"/>
    </row>
    <row r="141" spans="1:22" x14ac:dyDescent="0.25">
      <c r="A141" s="777"/>
      <c r="B141" s="777"/>
      <c r="C141" s="777"/>
      <c r="D141" s="777"/>
      <c r="E141" s="777"/>
      <c r="F141" s="777"/>
      <c r="G141" s="777"/>
      <c r="H141" s="777"/>
      <c r="I141" s="777"/>
      <c r="J141" s="777"/>
      <c r="K141" s="777"/>
      <c r="L141" s="777"/>
      <c r="M141" s="777"/>
      <c r="N141" s="777"/>
      <c r="O141" s="777"/>
      <c r="P141" s="777"/>
      <c r="Q141" s="777"/>
      <c r="R141" s="777"/>
      <c r="S141" s="777"/>
      <c r="T141" s="777"/>
      <c r="U141" s="777"/>
      <c r="V141" s="777"/>
    </row>
    <row r="142" spans="1:22" x14ac:dyDescent="0.25">
      <c r="A142" s="777"/>
      <c r="B142" s="777"/>
      <c r="C142" s="777"/>
      <c r="D142" s="777"/>
      <c r="E142" s="777"/>
      <c r="F142" s="777"/>
      <c r="G142" s="777"/>
      <c r="H142" s="777"/>
      <c r="I142" s="777"/>
      <c r="J142" s="777"/>
      <c r="K142" s="777"/>
      <c r="L142" s="777"/>
      <c r="M142" s="777"/>
      <c r="N142" s="777"/>
      <c r="O142" s="777"/>
      <c r="P142" s="777"/>
      <c r="Q142" s="777"/>
      <c r="R142" s="777"/>
      <c r="S142" s="777"/>
      <c r="T142" s="777"/>
      <c r="U142" s="777"/>
      <c r="V142" s="777"/>
    </row>
    <row r="143" spans="1:22" x14ac:dyDescent="0.25">
      <c r="A143" s="777"/>
      <c r="B143" s="777"/>
      <c r="C143" s="777"/>
      <c r="D143" s="777"/>
      <c r="E143" s="777"/>
      <c r="F143" s="777"/>
      <c r="G143" s="777"/>
      <c r="H143" s="777"/>
      <c r="I143" s="777"/>
      <c r="J143" s="777"/>
      <c r="K143" s="777"/>
      <c r="L143" s="777"/>
      <c r="M143" s="777"/>
      <c r="N143" s="777"/>
      <c r="O143" s="777"/>
      <c r="P143" s="777"/>
      <c r="Q143" s="777"/>
      <c r="R143" s="777"/>
      <c r="S143" s="777"/>
      <c r="T143" s="777"/>
      <c r="U143" s="777"/>
      <c r="V143" s="777"/>
    </row>
    <row r="144" spans="1:22" x14ac:dyDescent="0.25">
      <c r="A144" s="777"/>
      <c r="B144" s="777"/>
      <c r="C144" s="777"/>
      <c r="D144" s="777"/>
      <c r="E144" s="777"/>
      <c r="F144" s="777"/>
      <c r="G144" s="777"/>
      <c r="H144" s="777"/>
      <c r="I144" s="777"/>
      <c r="J144" s="777"/>
      <c r="K144" s="777"/>
      <c r="L144" s="777"/>
      <c r="M144" s="777"/>
      <c r="N144" s="777"/>
      <c r="O144" s="777"/>
      <c r="P144" s="777"/>
      <c r="Q144" s="777"/>
      <c r="R144" s="777"/>
      <c r="S144" s="777"/>
      <c r="T144" s="777"/>
      <c r="U144" s="777"/>
      <c r="V144" s="777"/>
    </row>
    <row r="145" spans="1:22" x14ac:dyDescent="0.25">
      <c r="A145" s="777"/>
      <c r="B145" s="777"/>
      <c r="C145" s="777"/>
      <c r="D145" s="777"/>
      <c r="E145" s="777"/>
      <c r="F145" s="777"/>
      <c r="G145" s="777"/>
      <c r="H145" s="777"/>
      <c r="I145" s="777"/>
      <c r="J145" s="777"/>
      <c r="K145" s="777"/>
      <c r="L145" s="777"/>
      <c r="M145" s="777"/>
      <c r="N145" s="777"/>
      <c r="O145" s="777"/>
      <c r="P145" s="777"/>
      <c r="Q145" s="777"/>
      <c r="R145" s="777"/>
      <c r="S145" s="777"/>
      <c r="T145" s="777"/>
      <c r="U145" s="777"/>
      <c r="V145" s="777"/>
    </row>
    <row r="146" spans="1:22" x14ac:dyDescent="0.25">
      <c r="A146" s="777"/>
      <c r="B146" s="777"/>
      <c r="C146" s="777"/>
      <c r="D146" s="777"/>
      <c r="E146" s="777"/>
      <c r="F146" s="777"/>
      <c r="G146" s="777"/>
      <c r="H146" s="777"/>
      <c r="I146" s="777"/>
      <c r="J146" s="777"/>
      <c r="K146" s="777"/>
      <c r="L146" s="777"/>
      <c r="M146" s="777"/>
      <c r="N146" s="777"/>
      <c r="O146" s="777"/>
      <c r="P146" s="777"/>
      <c r="Q146" s="777"/>
      <c r="R146" s="777"/>
      <c r="S146" s="777"/>
      <c r="T146" s="777"/>
      <c r="U146" s="777"/>
      <c r="V146" s="777"/>
    </row>
    <row r="147" spans="1:22" x14ac:dyDescent="0.25">
      <c r="A147" s="777"/>
      <c r="B147" s="777"/>
      <c r="C147" s="777"/>
      <c r="D147" s="777"/>
      <c r="E147" s="777"/>
      <c r="F147" s="777"/>
      <c r="G147" s="777"/>
      <c r="H147" s="777"/>
      <c r="I147" s="777"/>
      <c r="J147" s="777"/>
      <c r="K147" s="777"/>
      <c r="L147" s="777"/>
      <c r="M147" s="777"/>
      <c r="N147" s="777"/>
      <c r="O147" s="777"/>
      <c r="P147" s="777"/>
      <c r="Q147" s="777"/>
      <c r="R147" s="777"/>
      <c r="S147" s="777"/>
      <c r="T147" s="777"/>
      <c r="U147" s="777"/>
      <c r="V147" s="777"/>
    </row>
    <row r="148" spans="1:22" x14ac:dyDescent="0.25">
      <c r="A148" s="777"/>
      <c r="B148" s="777"/>
      <c r="C148" s="777"/>
      <c r="D148" s="777"/>
      <c r="E148" s="777"/>
      <c r="F148" s="777"/>
      <c r="G148" s="777"/>
      <c r="H148" s="777"/>
      <c r="I148" s="777"/>
      <c r="J148" s="777"/>
      <c r="K148" s="777"/>
      <c r="L148" s="777"/>
      <c r="M148" s="777"/>
      <c r="N148" s="777"/>
      <c r="O148" s="777"/>
      <c r="P148" s="777"/>
      <c r="Q148" s="777"/>
      <c r="R148" s="777"/>
      <c r="S148" s="777"/>
      <c r="T148" s="777"/>
      <c r="U148" s="777"/>
      <c r="V148" s="777"/>
    </row>
    <row r="149" spans="1:22" x14ac:dyDescent="0.25">
      <c r="A149" s="777"/>
      <c r="B149" s="777"/>
      <c r="C149" s="777"/>
      <c r="D149" s="777"/>
      <c r="E149" s="777"/>
      <c r="F149" s="777"/>
      <c r="G149" s="777"/>
      <c r="H149" s="777"/>
      <c r="I149" s="777"/>
      <c r="J149" s="777"/>
      <c r="K149" s="777"/>
      <c r="L149" s="777"/>
      <c r="M149" s="777"/>
      <c r="N149" s="777"/>
      <c r="O149" s="777"/>
      <c r="P149" s="777"/>
      <c r="Q149" s="777"/>
      <c r="R149" s="777"/>
      <c r="S149" s="777"/>
      <c r="T149" s="777"/>
      <c r="U149" s="777"/>
      <c r="V149" s="777"/>
    </row>
    <row r="150" spans="1:22" x14ac:dyDescent="0.25">
      <c r="A150" s="777"/>
      <c r="B150" s="777"/>
      <c r="C150" s="777"/>
      <c r="D150" s="777"/>
      <c r="E150" s="777"/>
      <c r="F150" s="777"/>
      <c r="G150" s="777"/>
      <c r="H150" s="777"/>
      <c r="I150" s="777"/>
      <c r="J150" s="777"/>
      <c r="K150" s="777"/>
      <c r="L150" s="777"/>
      <c r="M150" s="777"/>
      <c r="N150" s="777"/>
      <c r="O150" s="777"/>
      <c r="P150" s="777"/>
      <c r="Q150" s="777"/>
      <c r="R150" s="777"/>
      <c r="S150" s="777"/>
      <c r="T150" s="777"/>
      <c r="U150" s="777"/>
      <c r="V150" s="777"/>
    </row>
    <row r="151" spans="1:22" x14ac:dyDescent="0.25">
      <c r="A151" s="777"/>
      <c r="B151" s="777"/>
      <c r="C151" s="777"/>
      <c r="D151" s="777"/>
      <c r="E151" s="777"/>
      <c r="F151" s="777"/>
      <c r="G151" s="777"/>
      <c r="H151" s="777"/>
      <c r="I151" s="777"/>
      <c r="J151" s="777"/>
      <c r="K151" s="777"/>
      <c r="L151" s="777"/>
      <c r="M151" s="777"/>
      <c r="N151" s="777"/>
      <c r="O151" s="777"/>
      <c r="P151" s="777"/>
      <c r="Q151" s="777"/>
      <c r="R151" s="777"/>
      <c r="S151" s="777"/>
      <c r="T151" s="777"/>
      <c r="U151" s="777"/>
      <c r="V151" s="777"/>
    </row>
    <row r="152" spans="1:22" x14ac:dyDescent="0.25">
      <c r="A152" s="777"/>
      <c r="B152" s="777"/>
      <c r="C152" s="777"/>
      <c r="D152" s="777"/>
      <c r="E152" s="777"/>
      <c r="F152" s="777"/>
      <c r="G152" s="777"/>
      <c r="H152" s="777"/>
      <c r="I152" s="777"/>
      <c r="J152" s="777"/>
      <c r="K152" s="777"/>
      <c r="L152" s="777"/>
      <c r="M152" s="777"/>
      <c r="N152" s="777"/>
      <c r="O152" s="777"/>
      <c r="P152" s="777"/>
      <c r="Q152" s="777"/>
      <c r="R152" s="777"/>
      <c r="S152" s="777"/>
      <c r="T152" s="777"/>
      <c r="U152" s="777"/>
      <c r="V152" s="777"/>
    </row>
    <row r="153" spans="1:22" x14ac:dyDescent="0.25">
      <c r="A153" s="777"/>
      <c r="B153" s="777"/>
      <c r="C153" s="777"/>
      <c r="D153" s="777"/>
      <c r="E153" s="777"/>
      <c r="F153" s="777"/>
      <c r="G153" s="777"/>
      <c r="H153" s="777"/>
      <c r="I153" s="777"/>
      <c r="J153" s="777"/>
      <c r="K153" s="777"/>
      <c r="L153" s="777"/>
      <c r="M153" s="777"/>
      <c r="N153" s="777"/>
      <c r="O153" s="777"/>
      <c r="P153" s="777"/>
      <c r="Q153" s="777"/>
      <c r="R153" s="777"/>
      <c r="S153" s="777"/>
      <c r="T153" s="777"/>
      <c r="U153" s="777"/>
      <c r="V153" s="777"/>
    </row>
    <row r="154" spans="1:22" x14ac:dyDescent="0.25">
      <c r="A154" s="777"/>
      <c r="B154" s="777"/>
      <c r="C154" s="777"/>
      <c r="D154" s="777"/>
      <c r="E154" s="777"/>
      <c r="F154" s="777"/>
      <c r="G154" s="777"/>
      <c r="H154" s="777"/>
      <c r="I154" s="777"/>
      <c r="J154" s="777"/>
      <c r="K154" s="777"/>
      <c r="L154" s="777"/>
      <c r="M154" s="777"/>
      <c r="N154" s="777"/>
      <c r="O154" s="777"/>
      <c r="P154" s="777"/>
      <c r="Q154" s="777"/>
      <c r="R154" s="777"/>
      <c r="S154" s="777"/>
      <c r="T154" s="777"/>
      <c r="U154" s="777"/>
      <c r="V154" s="777"/>
    </row>
    <row r="155" spans="1:22" x14ac:dyDescent="0.25">
      <c r="A155" s="777"/>
      <c r="B155" s="777"/>
      <c r="C155" s="777"/>
      <c r="D155" s="777"/>
      <c r="E155" s="777"/>
      <c r="F155" s="777"/>
      <c r="G155" s="777"/>
      <c r="H155" s="777"/>
      <c r="I155" s="777"/>
      <c r="J155" s="777"/>
      <c r="K155" s="777"/>
      <c r="L155" s="777"/>
      <c r="M155" s="777"/>
      <c r="N155" s="777"/>
      <c r="O155" s="777"/>
      <c r="P155" s="777"/>
      <c r="Q155" s="777"/>
      <c r="R155" s="777"/>
      <c r="S155" s="777"/>
      <c r="T155" s="777"/>
      <c r="U155" s="777"/>
      <c r="V155" s="777"/>
    </row>
    <row r="156" spans="1:22" x14ac:dyDescent="0.25">
      <c r="A156" s="777"/>
      <c r="B156" s="777"/>
      <c r="C156" s="777"/>
      <c r="D156" s="777"/>
      <c r="E156" s="777"/>
      <c r="F156" s="777"/>
      <c r="G156" s="777"/>
      <c r="H156" s="777"/>
      <c r="I156" s="777"/>
      <c r="J156" s="777"/>
      <c r="K156" s="777"/>
      <c r="L156" s="777"/>
      <c r="M156" s="777"/>
      <c r="N156" s="777"/>
      <c r="O156" s="777"/>
      <c r="P156" s="777"/>
      <c r="Q156" s="777"/>
      <c r="R156" s="777"/>
      <c r="S156" s="777"/>
      <c r="T156" s="777"/>
      <c r="U156" s="777"/>
      <c r="V156" s="777"/>
    </row>
    <row r="157" spans="1:22" x14ac:dyDescent="0.25">
      <c r="A157" s="777"/>
      <c r="B157" s="777"/>
      <c r="C157" s="777"/>
      <c r="D157" s="777"/>
      <c r="E157" s="777"/>
      <c r="F157" s="777"/>
      <c r="G157" s="777"/>
      <c r="H157" s="777"/>
      <c r="I157" s="777"/>
      <c r="J157" s="777"/>
      <c r="K157" s="777"/>
      <c r="L157" s="777"/>
      <c r="M157" s="777"/>
      <c r="N157" s="777"/>
      <c r="O157" s="777"/>
      <c r="P157" s="777"/>
      <c r="Q157" s="777"/>
      <c r="R157" s="777"/>
      <c r="S157" s="777"/>
      <c r="T157" s="777"/>
      <c r="U157" s="777"/>
      <c r="V157" s="777"/>
    </row>
    <row r="158" spans="1:22" x14ac:dyDescent="0.25">
      <c r="A158" s="777"/>
      <c r="B158" s="777"/>
      <c r="C158" s="777"/>
      <c r="D158" s="777"/>
      <c r="E158" s="777"/>
      <c r="F158" s="777"/>
      <c r="G158" s="777"/>
      <c r="H158" s="777"/>
      <c r="I158" s="777"/>
      <c r="J158" s="777"/>
      <c r="K158" s="777"/>
      <c r="L158" s="777"/>
      <c r="M158" s="777"/>
      <c r="N158" s="777"/>
      <c r="O158" s="777"/>
      <c r="P158" s="777"/>
      <c r="Q158" s="777"/>
      <c r="R158" s="777"/>
      <c r="S158" s="777"/>
      <c r="T158" s="777"/>
      <c r="U158" s="777"/>
      <c r="V158" s="777"/>
    </row>
    <row r="159" spans="1:22" x14ac:dyDescent="0.25">
      <c r="A159" s="777"/>
      <c r="B159" s="777"/>
      <c r="C159" s="777"/>
      <c r="D159" s="777"/>
      <c r="E159" s="777"/>
      <c r="F159" s="777"/>
      <c r="G159" s="777"/>
      <c r="H159" s="777"/>
      <c r="I159" s="777"/>
      <c r="J159" s="777"/>
      <c r="K159" s="777"/>
      <c r="L159" s="777"/>
      <c r="M159" s="777"/>
      <c r="N159" s="777"/>
      <c r="O159" s="777"/>
      <c r="P159" s="777"/>
      <c r="Q159" s="777"/>
      <c r="R159" s="777"/>
      <c r="S159" s="777"/>
      <c r="T159" s="777"/>
      <c r="U159" s="777"/>
      <c r="V159" s="777"/>
    </row>
    <row r="160" spans="1:22" x14ac:dyDescent="0.25">
      <c r="A160" s="777"/>
      <c r="B160" s="777"/>
      <c r="C160" s="777"/>
      <c r="D160" s="777"/>
      <c r="E160" s="777"/>
      <c r="F160" s="777"/>
      <c r="G160" s="777"/>
      <c r="H160" s="777"/>
      <c r="I160" s="777"/>
      <c r="J160" s="777"/>
      <c r="K160" s="777"/>
      <c r="L160" s="777"/>
      <c r="M160" s="777"/>
      <c r="N160" s="777"/>
      <c r="O160" s="777"/>
      <c r="P160" s="777"/>
      <c r="Q160" s="777"/>
      <c r="R160" s="777"/>
      <c r="S160" s="777"/>
      <c r="T160" s="777"/>
      <c r="U160" s="777"/>
      <c r="V160" s="777"/>
    </row>
    <row r="161" spans="1:22" x14ac:dyDescent="0.25">
      <c r="A161" s="777"/>
      <c r="B161" s="777"/>
      <c r="C161" s="777"/>
      <c r="D161" s="777"/>
      <c r="E161" s="777"/>
      <c r="F161" s="777"/>
      <c r="G161" s="777"/>
      <c r="H161" s="777"/>
      <c r="I161" s="777"/>
      <c r="J161" s="777"/>
      <c r="K161" s="777"/>
      <c r="L161" s="777"/>
      <c r="M161" s="777"/>
      <c r="N161" s="777"/>
      <c r="O161" s="777"/>
      <c r="P161" s="777"/>
      <c r="Q161" s="777"/>
      <c r="R161" s="777"/>
      <c r="S161" s="777"/>
      <c r="T161" s="777"/>
      <c r="U161" s="777"/>
      <c r="V161" s="777"/>
    </row>
    <row r="162" spans="1:22" x14ac:dyDescent="0.25">
      <c r="A162" s="777"/>
      <c r="B162" s="777"/>
      <c r="C162" s="777"/>
      <c r="D162" s="777"/>
      <c r="E162" s="777"/>
      <c r="F162" s="777"/>
      <c r="G162" s="777"/>
      <c r="H162" s="777"/>
      <c r="I162" s="777"/>
      <c r="J162" s="777"/>
      <c r="K162" s="777"/>
      <c r="L162" s="777"/>
      <c r="M162" s="777"/>
      <c r="N162" s="777"/>
      <c r="O162" s="777"/>
      <c r="P162" s="777"/>
      <c r="Q162" s="777"/>
      <c r="R162" s="777"/>
      <c r="S162" s="777"/>
      <c r="T162" s="777"/>
      <c r="U162" s="777"/>
      <c r="V162" s="777"/>
    </row>
    <row r="163" spans="1:22" x14ac:dyDescent="0.25">
      <c r="A163" s="777"/>
      <c r="B163" s="777"/>
      <c r="C163" s="777"/>
      <c r="D163" s="777"/>
      <c r="E163" s="777"/>
      <c r="F163" s="777"/>
      <c r="G163" s="777"/>
      <c r="H163" s="777"/>
      <c r="I163" s="777"/>
      <c r="J163" s="777"/>
      <c r="K163" s="777"/>
      <c r="L163" s="777"/>
      <c r="M163" s="777"/>
      <c r="N163" s="777"/>
      <c r="O163" s="777"/>
      <c r="P163" s="777"/>
      <c r="Q163" s="777"/>
      <c r="R163" s="777"/>
      <c r="S163" s="777"/>
      <c r="T163" s="777"/>
      <c r="U163" s="777"/>
      <c r="V163" s="777"/>
    </row>
    <row r="164" spans="1:22" x14ac:dyDescent="0.25">
      <c r="A164" s="777"/>
      <c r="B164" s="777"/>
      <c r="C164" s="777"/>
      <c r="D164" s="777"/>
      <c r="E164" s="777"/>
      <c r="F164" s="777"/>
      <c r="G164" s="777"/>
      <c r="H164" s="777"/>
      <c r="I164" s="777"/>
      <c r="J164" s="777"/>
      <c r="K164" s="777"/>
      <c r="L164" s="777"/>
      <c r="M164" s="777"/>
      <c r="N164" s="777"/>
      <c r="O164" s="777"/>
      <c r="P164" s="777"/>
      <c r="Q164" s="777"/>
      <c r="R164" s="777"/>
      <c r="S164" s="777"/>
      <c r="T164" s="777"/>
      <c r="U164" s="777"/>
      <c r="V164" s="777"/>
    </row>
    <row r="165" spans="1:22" x14ac:dyDescent="0.25">
      <c r="A165" s="777"/>
      <c r="B165" s="777"/>
      <c r="C165" s="777"/>
      <c r="D165" s="777"/>
      <c r="E165" s="777"/>
      <c r="F165" s="777"/>
      <c r="G165" s="777"/>
      <c r="H165" s="777"/>
      <c r="I165" s="777"/>
      <c r="J165" s="777"/>
      <c r="K165" s="777"/>
      <c r="L165" s="777"/>
      <c r="M165" s="777"/>
      <c r="N165" s="777"/>
      <c r="O165" s="777"/>
      <c r="P165" s="777"/>
      <c r="Q165" s="777"/>
      <c r="R165" s="777"/>
      <c r="S165" s="777"/>
      <c r="T165" s="777"/>
      <c r="U165" s="777"/>
      <c r="V165" s="777"/>
    </row>
    <row r="166" spans="1:22" x14ac:dyDescent="0.25">
      <c r="A166" s="777"/>
      <c r="B166" s="777"/>
      <c r="C166" s="777"/>
      <c r="D166" s="777"/>
      <c r="E166" s="777"/>
      <c r="F166" s="777"/>
      <c r="G166" s="777"/>
      <c r="H166" s="777"/>
      <c r="I166" s="777"/>
      <c r="J166" s="777"/>
      <c r="K166" s="777"/>
      <c r="L166" s="777"/>
      <c r="M166" s="777"/>
      <c r="N166" s="777"/>
      <c r="O166" s="777"/>
      <c r="P166" s="777"/>
      <c r="Q166" s="777"/>
      <c r="R166" s="777"/>
      <c r="S166" s="777"/>
      <c r="T166" s="777"/>
      <c r="U166" s="777"/>
      <c r="V166" s="777"/>
    </row>
    <row r="167" spans="1:22" x14ac:dyDescent="0.25">
      <c r="A167" s="777"/>
      <c r="B167" s="777"/>
      <c r="C167" s="777"/>
      <c r="D167" s="777"/>
      <c r="E167" s="777"/>
      <c r="F167" s="777"/>
      <c r="G167" s="777"/>
      <c r="H167" s="777"/>
      <c r="I167" s="777"/>
      <c r="J167" s="777"/>
      <c r="K167" s="777"/>
      <c r="L167" s="777"/>
      <c r="M167" s="777"/>
      <c r="N167" s="777"/>
      <c r="O167" s="777"/>
      <c r="P167" s="777"/>
      <c r="Q167" s="777"/>
      <c r="R167" s="777"/>
      <c r="S167" s="777"/>
      <c r="T167" s="777"/>
      <c r="U167" s="777"/>
      <c r="V167" s="777"/>
    </row>
    <row r="168" spans="1:22" x14ac:dyDescent="0.25">
      <c r="A168" s="777"/>
      <c r="B168" s="777"/>
      <c r="C168" s="777"/>
      <c r="D168" s="777"/>
      <c r="E168" s="777"/>
      <c r="F168" s="777"/>
      <c r="G168" s="777"/>
      <c r="H168" s="777"/>
      <c r="I168" s="777"/>
      <c r="J168" s="777"/>
      <c r="K168" s="777"/>
      <c r="L168" s="777"/>
      <c r="M168" s="777"/>
      <c r="N168" s="777"/>
      <c r="O168" s="777"/>
      <c r="P168" s="777"/>
      <c r="Q168" s="777"/>
      <c r="R168" s="777"/>
      <c r="S168" s="777"/>
      <c r="T168" s="777"/>
      <c r="U168" s="777"/>
      <c r="V168" s="777"/>
    </row>
    <row r="169" spans="1:22" x14ac:dyDescent="0.25">
      <c r="A169" s="777"/>
      <c r="B169" s="777"/>
      <c r="C169" s="777"/>
      <c r="D169" s="777"/>
      <c r="E169" s="777"/>
      <c r="F169" s="777"/>
      <c r="G169" s="777"/>
      <c r="H169" s="777"/>
      <c r="I169" s="777"/>
      <c r="J169" s="777"/>
      <c r="K169" s="777"/>
      <c r="L169" s="777"/>
      <c r="M169" s="777"/>
      <c r="N169" s="777"/>
      <c r="O169" s="777"/>
      <c r="P169" s="777"/>
      <c r="Q169" s="777"/>
      <c r="R169" s="777"/>
      <c r="S169" s="777"/>
      <c r="T169" s="777"/>
      <c r="U169" s="777"/>
      <c r="V169" s="777"/>
    </row>
    <row r="170" spans="1:22" x14ac:dyDescent="0.25">
      <c r="A170" s="777"/>
      <c r="B170" s="777"/>
      <c r="C170" s="777"/>
      <c r="D170" s="777"/>
      <c r="E170" s="777"/>
      <c r="F170" s="777"/>
      <c r="G170" s="777"/>
      <c r="H170" s="777"/>
      <c r="I170" s="777"/>
      <c r="J170" s="777"/>
      <c r="K170" s="777"/>
      <c r="L170" s="777"/>
      <c r="M170" s="777"/>
      <c r="N170" s="777"/>
      <c r="O170" s="777"/>
      <c r="P170" s="777"/>
      <c r="Q170" s="777"/>
      <c r="R170" s="777"/>
      <c r="S170" s="777"/>
      <c r="T170" s="777"/>
      <c r="U170" s="777"/>
      <c r="V170" s="777"/>
    </row>
    <row r="171" spans="1:22" x14ac:dyDescent="0.25">
      <c r="A171" s="777"/>
      <c r="B171" s="777"/>
      <c r="C171" s="777"/>
      <c r="D171" s="777"/>
      <c r="E171" s="777"/>
      <c r="F171" s="777"/>
      <c r="G171" s="777"/>
      <c r="H171" s="777"/>
      <c r="I171" s="777"/>
      <c r="J171" s="777"/>
      <c r="K171" s="777"/>
      <c r="L171" s="777"/>
      <c r="M171" s="777"/>
      <c r="N171" s="777"/>
      <c r="O171" s="777"/>
      <c r="P171" s="777"/>
      <c r="Q171" s="777"/>
      <c r="R171" s="777"/>
      <c r="S171" s="777"/>
      <c r="T171" s="777"/>
      <c r="U171" s="777"/>
      <c r="V171" s="777"/>
    </row>
    <row r="172" spans="1:22" x14ac:dyDescent="0.25">
      <c r="A172" s="777"/>
      <c r="B172" s="777"/>
      <c r="C172" s="777"/>
      <c r="D172" s="777"/>
      <c r="E172" s="777"/>
      <c r="F172" s="777"/>
      <c r="G172" s="777"/>
      <c r="H172" s="777"/>
      <c r="I172" s="777"/>
      <c r="J172" s="777"/>
      <c r="K172" s="777"/>
      <c r="L172" s="777"/>
      <c r="M172" s="777"/>
      <c r="N172" s="777"/>
      <c r="O172" s="777"/>
      <c r="P172" s="777"/>
      <c r="Q172" s="777"/>
      <c r="R172" s="777"/>
      <c r="S172" s="777"/>
      <c r="T172" s="777"/>
      <c r="U172" s="777"/>
      <c r="V172" s="777"/>
    </row>
    <row r="173" spans="1:22" x14ac:dyDescent="0.25">
      <c r="A173" s="777"/>
      <c r="B173" s="777"/>
      <c r="C173" s="777"/>
      <c r="D173" s="777"/>
      <c r="E173" s="777"/>
      <c r="F173" s="777"/>
      <c r="G173" s="777"/>
      <c r="H173" s="777"/>
      <c r="I173" s="777"/>
      <c r="J173" s="777"/>
      <c r="K173" s="777"/>
      <c r="L173" s="777"/>
      <c r="M173" s="777"/>
      <c r="N173" s="777"/>
      <c r="O173" s="777"/>
      <c r="P173" s="777"/>
      <c r="Q173" s="777"/>
      <c r="R173" s="777"/>
      <c r="S173" s="777"/>
      <c r="T173" s="777"/>
      <c r="U173" s="777"/>
      <c r="V173" s="777"/>
    </row>
    <row r="174" spans="1:22" x14ac:dyDescent="0.25">
      <c r="A174" s="777"/>
      <c r="B174" s="777"/>
      <c r="C174" s="777"/>
      <c r="D174" s="777"/>
      <c r="E174" s="777"/>
      <c r="F174" s="777"/>
      <c r="G174" s="777"/>
      <c r="H174" s="777"/>
      <c r="I174" s="777"/>
      <c r="J174" s="777"/>
      <c r="K174" s="777"/>
      <c r="L174" s="777"/>
      <c r="M174" s="777"/>
      <c r="N174" s="777"/>
      <c r="O174" s="777"/>
      <c r="P174" s="777"/>
      <c r="Q174" s="777"/>
      <c r="R174" s="777"/>
      <c r="S174" s="777"/>
      <c r="T174" s="777"/>
      <c r="U174" s="777"/>
      <c r="V174" s="777"/>
    </row>
    <row r="175" spans="1:22" x14ac:dyDescent="0.25">
      <c r="A175" s="777"/>
      <c r="B175" s="777"/>
      <c r="C175" s="777"/>
      <c r="D175" s="777"/>
      <c r="E175" s="777"/>
      <c r="F175" s="777"/>
      <c r="G175" s="777"/>
      <c r="H175" s="777"/>
      <c r="I175" s="777"/>
      <c r="J175" s="777"/>
      <c r="K175" s="777"/>
      <c r="L175" s="777"/>
      <c r="M175" s="777"/>
      <c r="N175" s="777"/>
      <c r="O175" s="777"/>
      <c r="P175" s="777"/>
      <c r="Q175" s="777"/>
      <c r="R175" s="777"/>
      <c r="S175" s="777"/>
      <c r="T175" s="777"/>
      <c r="U175" s="777"/>
      <c r="V175" s="777"/>
    </row>
    <row r="176" spans="1:22" x14ac:dyDescent="0.25">
      <c r="A176" s="777"/>
      <c r="B176" s="777"/>
      <c r="C176" s="777"/>
      <c r="D176" s="777"/>
      <c r="E176" s="777"/>
      <c r="F176" s="777"/>
      <c r="G176" s="777"/>
      <c r="H176" s="777"/>
      <c r="I176" s="777"/>
      <c r="J176" s="777"/>
      <c r="K176" s="777"/>
      <c r="L176" s="777"/>
      <c r="M176" s="777"/>
      <c r="N176" s="777"/>
      <c r="O176" s="777"/>
      <c r="P176" s="777"/>
      <c r="Q176" s="777"/>
      <c r="R176" s="777"/>
      <c r="S176" s="777"/>
      <c r="T176" s="777"/>
      <c r="U176" s="777"/>
      <c r="V176" s="777"/>
    </row>
    <row r="177" spans="1:22" x14ac:dyDescent="0.25">
      <c r="A177" s="777"/>
      <c r="B177" s="777"/>
      <c r="C177" s="777"/>
      <c r="D177" s="777"/>
      <c r="E177" s="777"/>
      <c r="F177" s="777"/>
      <c r="G177" s="777"/>
      <c r="H177" s="777"/>
      <c r="I177" s="777"/>
      <c r="J177" s="777"/>
      <c r="K177" s="777"/>
      <c r="L177" s="777"/>
      <c r="M177" s="777"/>
      <c r="N177" s="777"/>
      <c r="O177" s="777"/>
      <c r="P177" s="777"/>
      <c r="Q177" s="777"/>
      <c r="R177" s="777"/>
      <c r="S177" s="777"/>
      <c r="T177" s="777"/>
      <c r="U177" s="777"/>
      <c r="V177" s="777"/>
    </row>
    <row r="178" spans="1:22" x14ac:dyDescent="0.25">
      <c r="A178" s="777"/>
      <c r="B178" s="777"/>
      <c r="C178" s="777"/>
      <c r="D178" s="777"/>
      <c r="E178" s="777"/>
      <c r="F178" s="777"/>
      <c r="G178" s="777"/>
      <c r="H178" s="777"/>
      <c r="I178" s="777"/>
      <c r="J178" s="777"/>
      <c r="K178" s="777"/>
      <c r="L178" s="777"/>
      <c r="M178" s="777"/>
      <c r="N178" s="777"/>
      <c r="O178" s="777"/>
      <c r="P178" s="777"/>
      <c r="Q178" s="777"/>
      <c r="R178" s="777"/>
      <c r="S178" s="777"/>
      <c r="T178" s="777"/>
      <c r="U178" s="777"/>
      <c r="V178" s="777"/>
    </row>
    <row r="179" spans="1:22" x14ac:dyDescent="0.25">
      <c r="A179" s="777"/>
      <c r="B179" s="777"/>
      <c r="C179" s="777"/>
      <c r="D179" s="777"/>
      <c r="E179" s="777"/>
      <c r="F179" s="777"/>
      <c r="G179" s="777"/>
      <c r="H179" s="777"/>
      <c r="I179" s="777"/>
      <c r="J179" s="777"/>
      <c r="K179" s="777"/>
      <c r="L179" s="777"/>
      <c r="M179" s="777"/>
      <c r="N179" s="777"/>
      <c r="O179" s="777"/>
      <c r="P179" s="777"/>
      <c r="Q179" s="777"/>
      <c r="R179" s="777"/>
      <c r="S179" s="777"/>
      <c r="T179" s="777"/>
      <c r="U179" s="777"/>
      <c r="V179" s="777"/>
    </row>
    <row r="180" spans="1:22" x14ac:dyDescent="0.25">
      <c r="A180" s="777"/>
      <c r="B180" s="777"/>
      <c r="C180" s="777"/>
      <c r="D180" s="777"/>
      <c r="E180" s="777"/>
      <c r="F180" s="777"/>
      <c r="G180" s="777"/>
      <c r="H180" s="777"/>
      <c r="I180" s="777"/>
      <c r="J180" s="777"/>
      <c r="K180" s="777"/>
      <c r="L180" s="777"/>
      <c r="M180" s="777"/>
      <c r="N180" s="777"/>
      <c r="O180" s="777"/>
      <c r="P180" s="777"/>
      <c r="Q180" s="777"/>
      <c r="R180" s="777"/>
      <c r="S180" s="777"/>
      <c r="T180" s="777"/>
      <c r="U180" s="777"/>
      <c r="V180" s="777"/>
    </row>
    <row r="181" spans="1:22" x14ac:dyDescent="0.25">
      <c r="A181" s="777"/>
      <c r="B181" s="777"/>
      <c r="C181" s="777"/>
      <c r="D181" s="777"/>
      <c r="E181" s="777"/>
      <c r="F181" s="777"/>
      <c r="G181" s="777"/>
      <c r="H181" s="777"/>
      <c r="I181" s="777"/>
      <c r="J181" s="777"/>
      <c r="K181" s="777"/>
      <c r="L181" s="777"/>
      <c r="M181" s="777"/>
      <c r="N181" s="777"/>
      <c r="O181" s="777"/>
      <c r="P181" s="777"/>
      <c r="Q181" s="777"/>
      <c r="R181" s="777"/>
      <c r="S181" s="777"/>
      <c r="T181" s="777"/>
      <c r="U181" s="777"/>
      <c r="V181" s="777"/>
    </row>
    <row r="182" spans="1:22" x14ac:dyDescent="0.25">
      <c r="A182" s="777"/>
      <c r="B182" s="777"/>
      <c r="C182" s="777"/>
      <c r="D182" s="777"/>
      <c r="E182" s="777"/>
      <c r="F182" s="777"/>
      <c r="G182" s="777"/>
      <c r="H182" s="777"/>
      <c r="I182" s="777"/>
      <c r="J182" s="777"/>
      <c r="K182" s="777"/>
      <c r="L182" s="777"/>
      <c r="M182" s="777"/>
      <c r="N182" s="777"/>
      <c r="O182" s="777"/>
      <c r="P182" s="777"/>
      <c r="Q182" s="777"/>
      <c r="R182" s="777"/>
      <c r="S182" s="777"/>
      <c r="T182" s="777"/>
      <c r="U182" s="777"/>
      <c r="V182" s="777"/>
    </row>
    <row r="183" spans="1:22" x14ac:dyDescent="0.25">
      <c r="A183" s="777"/>
      <c r="B183" s="777"/>
      <c r="C183" s="777"/>
      <c r="D183" s="777"/>
      <c r="E183" s="777"/>
      <c r="F183" s="777"/>
      <c r="G183" s="777"/>
      <c r="H183" s="777"/>
      <c r="I183" s="777"/>
      <c r="J183" s="777"/>
      <c r="K183" s="777"/>
      <c r="L183" s="777"/>
      <c r="M183" s="777"/>
      <c r="N183" s="777"/>
      <c r="O183" s="777"/>
      <c r="P183" s="777"/>
      <c r="Q183" s="777"/>
      <c r="R183" s="777"/>
      <c r="S183" s="777"/>
      <c r="T183" s="777"/>
      <c r="U183" s="777"/>
      <c r="V183" s="777"/>
    </row>
    <row r="184" spans="1:22" x14ac:dyDescent="0.25">
      <c r="A184" s="777"/>
      <c r="B184" s="777"/>
      <c r="C184" s="777"/>
      <c r="D184" s="777"/>
      <c r="E184" s="777"/>
      <c r="F184" s="777"/>
      <c r="G184" s="777"/>
      <c r="H184" s="777"/>
      <c r="I184" s="777"/>
      <c r="J184" s="777"/>
      <c r="K184" s="777"/>
      <c r="L184" s="777"/>
      <c r="M184" s="777"/>
      <c r="N184" s="777"/>
      <c r="O184" s="777"/>
      <c r="P184" s="777"/>
      <c r="Q184" s="777"/>
      <c r="R184" s="777"/>
      <c r="S184" s="777"/>
      <c r="T184" s="777"/>
      <c r="U184" s="777"/>
      <c r="V184" s="777"/>
    </row>
    <row r="185" spans="1:22" x14ac:dyDescent="0.25">
      <c r="A185" s="777"/>
      <c r="B185" s="777"/>
      <c r="C185" s="777"/>
      <c r="D185" s="777"/>
      <c r="E185" s="777"/>
      <c r="F185" s="777"/>
      <c r="G185" s="777"/>
      <c r="H185" s="777"/>
      <c r="I185" s="777"/>
      <c r="J185" s="777"/>
      <c r="K185" s="777"/>
      <c r="L185" s="777"/>
      <c r="M185" s="777"/>
      <c r="N185" s="777"/>
      <c r="O185" s="777"/>
      <c r="P185" s="777"/>
      <c r="Q185" s="777"/>
      <c r="R185" s="777"/>
      <c r="S185" s="777"/>
      <c r="T185" s="777"/>
      <c r="U185" s="777"/>
      <c r="V185" s="777"/>
    </row>
    <row r="186" spans="1:22" x14ac:dyDescent="0.25">
      <c r="A186" s="777"/>
      <c r="B186" s="777"/>
      <c r="C186" s="777"/>
      <c r="D186" s="777"/>
      <c r="E186" s="777"/>
      <c r="F186" s="777"/>
      <c r="G186" s="777"/>
      <c r="H186" s="777"/>
      <c r="I186" s="777"/>
      <c r="J186" s="777"/>
      <c r="K186" s="777"/>
      <c r="L186" s="777"/>
      <c r="M186" s="777"/>
      <c r="N186" s="777"/>
      <c r="O186" s="777"/>
      <c r="P186" s="777"/>
      <c r="Q186" s="777"/>
      <c r="R186" s="777"/>
      <c r="S186" s="777"/>
      <c r="T186" s="777"/>
      <c r="U186" s="777"/>
      <c r="V186" s="777"/>
    </row>
    <row r="187" spans="1:22" x14ac:dyDescent="0.25">
      <c r="A187" s="777"/>
      <c r="B187" s="777"/>
      <c r="C187" s="777"/>
      <c r="D187" s="777"/>
      <c r="E187" s="777"/>
      <c r="F187" s="777"/>
      <c r="G187" s="777"/>
      <c r="H187" s="777"/>
      <c r="I187" s="777"/>
      <c r="J187" s="777"/>
      <c r="K187" s="777"/>
      <c r="L187" s="777"/>
      <c r="M187" s="777"/>
      <c r="N187" s="777"/>
      <c r="O187" s="777"/>
      <c r="P187" s="777"/>
      <c r="Q187" s="777"/>
      <c r="R187" s="777"/>
      <c r="S187" s="777"/>
      <c r="T187" s="777"/>
      <c r="U187" s="777"/>
      <c r="V187" s="777"/>
    </row>
    <row r="188" spans="1:22" x14ac:dyDescent="0.25">
      <c r="A188" s="777"/>
      <c r="B188" s="777"/>
      <c r="C188" s="777"/>
      <c r="D188" s="777"/>
      <c r="E188" s="777"/>
      <c r="F188" s="777"/>
      <c r="G188" s="777"/>
      <c r="H188" s="777"/>
      <c r="I188" s="777"/>
      <c r="J188" s="777"/>
      <c r="K188" s="777"/>
      <c r="L188" s="777"/>
      <c r="M188" s="777"/>
      <c r="N188" s="777"/>
      <c r="O188" s="777"/>
      <c r="P188" s="777"/>
      <c r="Q188" s="777"/>
      <c r="R188" s="777"/>
      <c r="S188" s="777"/>
      <c r="T188" s="777"/>
      <c r="U188" s="777"/>
      <c r="V188" s="777"/>
    </row>
    <row r="189" spans="1:22" x14ac:dyDescent="0.25">
      <c r="A189" s="777"/>
      <c r="B189" s="777"/>
      <c r="C189" s="777"/>
      <c r="D189" s="777"/>
      <c r="E189" s="777"/>
      <c r="F189" s="777"/>
      <c r="G189" s="777"/>
      <c r="H189" s="777"/>
      <c r="I189" s="777"/>
      <c r="J189" s="777"/>
      <c r="K189" s="777"/>
      <c r="L189" s="777"/>
      <c r="M189" s="777"/>
      <c r="N189" s="777"/>
      <c r="O189" s="777"/>
      <c r="P189" s="777"/>
      <c r="Q189" s="777"/>
      <c r="R189" s="777"/>
      <c r="S189" s="777"/>
      <c r="T189" s="777"/>
      <c r="U189" s="777"/>
      <c r="V189" s="777"/>
    </row>
    <row r="190" spans="1:22" x14ac:dyDescent="0.25">
      <c r="A190" s="777"/>
      <c r="B190" s="777"/>
      <c r="C190" s="777"/>
      <c r="D190" s="777"/>
      <c r="E190" s="777"/>
      <c r="F190" s="777"/>
      <c r="G190" s="777"/>
      <c r="H190" s="777"/>
      <c r="I190" s="777"/>
      <c r="J190" s="777"/>
      <c r="K190" s="777"/>
      <c r="L190" s="777"/>
      <c r="M190" s="777"/>
      <c r="N190" s="777"/>
      <c r="O190" s="777"/>
      <c r="P190" s="777"/>
      <c r="Q190" s="777"/>
      <c r="R190" s="777"/>
      <c r="S190" s="777"/>
      <c r="T190" s="777"/>
      <c r="U190" s="777"/>
      <c r="V190" s="777"/>
    </row>
    <row r="191" spans="1:22" x14ac:dyDescent="0.25">
      <c r="A191" s="777"/>
      <c r="B191" s="777"/>
      <c r="C191" s="777"/>
      <c r="D191" s="777"/>
      <c r="E191" s="777"/>
      <c r="F191" s="777"/>
      <c r="G191" s="777"/>
      <c r="H191" s="777"/>
      <c r="I191" s="777"/>
      <c r="J191" s="777"/>
      <c r="K191" s="777"/>
      <c r="L191" s="777"/>
      <c r="M191" s="777"/>
      <c r="N191" s="777"/>
      <c r="O191" s="777"/>
      <c r="P191" s="777"/>
      <c r="Q191" s="777"/>
      <c r="R191" s="777"/>
      <c r="S191" s="777"/>
      <c r="T191" s="777"/>
      <c r="U191" s="777"/>
      <c r="V191" s="777"/>
    </row>
    <row r="192" spans="1:22" x14ac:dyDescent="0.25">
      <c r="A192" s="777"/>
      <c r="B192" s="777"/>
      <c r="C192" s="777"/>
      <c r="D192" s="777"/>
      <c r="E192" s="777"/>
      <c r="F192" s="777"/>
      <c r="G192" s="777"/>
      <c r="H192" s="777"/>
      <c r="I192" s="777"/>
      <c r="J192" s="777"/>
      <c r="K192" s="777"/>
      <c r="L192" s="777"/>
      <c r="M192" s="777"/>
      <c r="N192" s="777"/>
      <c r="O192" s="777"/>
      <c r="P192" s="777"/>
      <c r="Q192" s="777"/>
      <c r="R192" s="777"/>
      <c r="S192" s="777"/>
      <c r="T192" s="777"/>
      <c r="U192" s="777"/>
      <c r="V192" s="777"/>
    </row>
    <row r="193" spans="1:22" x14ac:dyDescent="0.25">
      <c r="A193" s="777"/>
      <c r="B193" s="777"/>
      <c r="C193" s="777"/>
      <c r="D193" s="777"/>
      <c r="E193" s="777"/>
      <c r="F193" s="777"/>
      <c r="G193" s="777"/>
      <c r="H193" s="777"/>
      <c r="I193" s="777"/>
      <c r="J193" s="777"/>
      <c r="K193" s="777"/>
      <c r="L193" s="777"/>
      <c r="M193" s="777"/>
      <c r="N193" s="777"/>
      <c r="O193" s="777"/>
      <c r="P193" s="777"/>
      <c r="Q193" s="777"/>
      <c r="R193" s="777"/>
      <c r="S193" s="777"/>
      <c r="T193" s="777"/>
      <c r="U193" s="777"/>
      <c r="V193" s="777"/>
    </row>
    <row r="194" spans="1:22" x14ac:dyDescent="0.25">
      <c r="A194" s="777"/>
      <c r="B194" s="777"/>
      <c r="C194" s="777"/>
      <c r="D194" s="777"/>
      <c r="E194" s="777"/>
      <c r="F194" s="777"/>
      <c r="G194" s="777"/>
      <c r="H194" s="777"/>
      <c r="I194" s="777"/>
      <c r="J194" s="777"/>
      <c r="K194" s="777"/>
      <c r="L194" s="777"/>
      <c r="M194" s="777"/>
      <c r="N194" s="777"/>
      <c r="O194" s="777"/>
      <c r="P194" s="777"/>
      <c r="Q194" s="777"/>
      <c r="R194" s="777"/>
      <c r="S194" s="777"/>
      <c r="T194" s="777"/>
      <c r="U194" s="777"/>
      <c r="V194" s="777"/>
    </row>
    <row r="195" spans="1:22" x14ac:dyDescent="0.25">
      <c r="A195" s="777"/>
      <c r="B195" s="777"/>
      <c r="C195" s="777"/>
      <c r="D195" s="777"/>
      <c r="E195" s="777"/>
      <c r="F195" s="777"/>
      <c r="G195" s="777"/>
      <c r="H195" s="777"/>
      <c r="I195" s="777"/>
      <c r="J195" s="777"/>
      <c r="K195" s="777"/>
      <c r="L195" s="777"/>
      <c r="M195" s="777"/>
      <c r="N195" s="777"/>
      <c r="O195" s="777"/>
      <c r="P195" s="777"/>
      <c r="Q195" s="777"/>
      <c r="R195" s="777"/>
      <c r="S195" s="777"/>
      <c r="T195" s="777"/>
      <c r="U195" s="777"/>
      <c r="V195" s="777"/>
    </row>
    <row r="196" spans="1:22" x14ac:dyDescent="0.25">
      <c r="A196" s="777"/>
      <c r="B196" s="777"/>
      <c r="C196" s="777"/>
      <c r="D196" s="777"/>
      <c r="E196" s="777"/>
      <c r="F196" s="777"/>
      <c r="G196" s="777"/>
      <c r="H196" s="777"/>
      <c r="I196" s="777"/>
      <c r="J196" s="777"/>
      <c r="K196" s="777"/>
      <c r="L196" s="777"/>
      <c r="M196" s="777"/>
      <c r="N196" s="777"/>
      <c r="O196" s="777"/>
      <c r="P196" s="777"/>
      <c r="Q196" s="777"/>
      <c r="R196" s="777"/>
      <c r="S196" s="777"/>
      <c r="T196" s="777"/>
      <c r="U196" s="777"/>
      <c r="V196" s="777"/>
    </row>
    <row r="197" spans="1:22" x14ac:dyDescent="0.25">
      <c r="A197" s="777"/>
      <c r="B197" s="777"/>
      <c r="C197" s="777"/>
      <c r="D197" s="777"/>
      <c r="E197" s="777"/>
      <c r="F197" s="777"/>
      <c r="G197" s="777"/>
      <c r="H197" s="777"/>
      <c r="I197" s="777"/>
      <c r="J197" s="777"/>
      <c r="K197" s="777"/>
      <c r="L197" s="777"/>
      <c r="M197" s="777"/>
      <c r="N197" s="777"/>
      <c r="O197" s="777"/>
      <c r="P197" s="777"/>
      <c r="Q197" s="777"/>
      <c r="R197" s="777"/>
      <c r="S197" s="777"/>
      <c r="T197" s="777"/>
      <c r="U197" s="777"/>
      <c r="V197" s="777"/>
    </row>
    <row r="198" spans="1:22" x14ac:dyDescent="0.25">
      <c r="A198" s="777"/>
      <c r="B198" s="777"/>
      <c r="C198" s="777"/>
      <c r="D198" s="777"/>
      <c r="E198" s="777"/>
      <c r="F198" s="777"/>
      <c r="G198" s="777"/>
      <c r="H198" s="777"/>
      <c r="I198" s="777"/>
      <c r="J198" s="777"/>
      <c r="K198" s="777"/>
      <c r="L198" s="777"/>
      <c r="M198" s="777"/>
      <c r="N198" s="777"/>
      <c r="O198" s="777"/>
      <c r="P198" s="777"/>
      <c r="Q198" s="777"/>
      <c r="R198" s="777"/>
      <c r="S198" s="777"/>
      <c r="T198" s="777"/>
      <c r="U198" s="777"/>
      <c r="V198" s="777"/>
    </row>
    <row r="199" spans="1:22" x14ac:dyDescent="0.25">
      <c r="A199" s="777"/>
      <c r="B199" s="777"/>
      <c r="C199" s="777"/>
      <c r="D199" s="777"/>
      <c r="E199" s="777"/>
      <c r="F199" s="777"/>
      <c r="G199" s="777"/>
      <c r="H199" s="777"/>
      <c r="I199" s="777"/>
      <c r="J199" s="777"/>
      <c r="K199" s="777"/>
      <c r="L199" s="777"/>
      <c r="M199" s="777"/>
      <c r="N199" s="777"/>
      <c r="O199" s="777"/>
      <c r="P199" s="777"/>
      <c r="Q199" s="777"/>
      <c r="R199" s="777"/>
      <c r="S199" s="777"/>
      <c r="T199" s="777"/>
      <c r="U199" s="777"/>
      <c r="V199" s="777"/>
    </row>
    <row r="200" spans="1:22" x14ac:dyDescent="0.25">
      <c r="A200" s="777"/>
      <c r="B200" s="777"/>
      <c r="C200" s="777"/>
      <c r="D200" s="777"/>
      <c r="E200" s="777"/>
      <c r="F200" s="777"/>
      <c r="G200" s="777"/>
      <c r="H200" s="777"/>
      <c r="I200" s="777"/>
      <c r="J200" s="777"/>
      <c r="K200" s="777"/>
      <c r="L200" s="777"/>
      <c r="M200" s="777"/>
      <c r="N200" s="777"/>
      <c r="O200" s="777"/>
      <c r="P200" s="777"/>
      <c r="Q200" s="777"/>
      <c r="R200" s="777"/>
      <c r="S200" s="777"/>
      <c r="T200" s="777"/>
      <c r="U200" s="777"/>
      <c r="V200" s="777"/>
    </row>
    <row r="201" spans="1:22" x14ac:dyDescent="0.25">
      <c r="A201" s="777"/>
      <c r="B201" s="777"/>
      <c r="C201" s="777"/>
      <c r="D201" s="777"/>
      <c r="E201" s="777"/>
      <c r="F201" s="777"/>
      <c r="G201" s="777"/>
      <c r="H201" s="777"/>
      <c r="I201" s="777"/>
      <c r="J201" s="777"/>
      <c r="K201" s="777"/>
      <c r="L201" s="777"/>
      <c r="M201" s="777"/>
      <c r="N201" s="777"/>
      <c r="O201" s="777"/>
      <c r="P201" s="777"/>
      <c r="Q201" s="777"/>
      <c r="R201" s="777"/>
      <c r="S201" s="777"/>
      <c r="T201" s="777"/>
      <c r="U201" s="777"/>
      <c r="V201" s="777"/>
    </row>
    <row r="202" spans="1:22" x14ac:dyDescent="0.25">
      <c r="A202" s="777"/>
      <c r="B202" s="777"/>
      <c r="C202" s="777"/>
      <c r="D202" s="777"/>
      <c r="E202" s="777"/>
      <c r="F202" s="777"/>
      <c r="G202" s="777"/>
      <c r="H202" s="777"/>
      <c r="I202" s="777"/>
      <c r="J202" s="777"/>
      <c r="K202" s="777"/>
      <c r="L202" s="777"/>
      <c r="M202" s="777"/>
      <c r="N202" s="777"/>
      <c r="O202" s="777"/>
      <c r="P202" s="777"/>
      <c r="Q202" s="777"/>
      <c r="R202" s="777"/>
      <c r="S202" s="777"/>
      <c r="T202" s="777"/>
      <c r="U202" s="777"/>
      <c r="V202" s="777"/>
    </row>
    <row r="203" spans="1:22" x14ac:dyDescent="0.25">
      <c r="A203" s="777"/>
      <c r="B203" s="777"/>
      <c r="C203" s="777"/>
      <c r="D203" s="777"/>
      <c r="E203" s="777"/>
      <c r="F203" s="777"/>
      <c r="G203" s="777"/>
      <c r="H203" s="777"/>
      <c r="I203" s="777"/>
      <c r="J203" s="777"/>
      <c r="K203" s="777"/>
      <c r="L203" s="777"/>
      <c r="M203" s="777"/>
      <c r="N203" s="777"/>
      <c r="O203" s="777"/>
      <c r="P203" s="777"/>
      <c r="Q203" s="777"/>
      <c r="R203" s="777"/>
      <c r="S203" s="777"/>
      <c r="T203" s="777"/>
      <c r="U203" s="777"/>
      <c r="V203" s="777"/>
    </row>
    <row r="204" spans="1:22" x14ac:dyDescent="0.25">
      <c r="A204" s="777"/>
      <c r="B204" s="777"/>
      <c r="C204" s="777"/>
      <c r="D204" s="777"/>
      <c r="E204" s="777"/>
      <c r="F204" s="777"/>
      <c r="G204" s="777"/>
      <c r="H204" s="777"/>
      <c r="I204" s="777"/>
      <c r="J204" s="777"/>
      <c r="K204" s="777"/>
      <c r="L204" s="777"/>
      <c r="M204" s="777"/>
      <c r="N204" s="777"/>
      <c r="O204" s="777"/>
      <c r="P204" s="777"/>
      <c r="Q204" s="777"/>
      <c r="R204" s="777"/>
      <c r="S204" s="777"/>
      <c r="T204" s="777"/>
      <c r="U204" s="777"/>
      <c r="V204" s="777"/>
    </row>
    <row r="205" spans="1:22" x14ac:dyDescent="0.25">
      <c r="A205" s="777"/>
      <c r="B205" s="777"/>
      <c r="C205" s="777"/>
      <c r="D205" s="777"/>
      <c r="E205" s="777"/>
      <c r="F205" s="777"/>
      <c r="G205" s="777"/>
      <c r="H205" s="777"/>
      <c r="I205" s="777"/>
      <c r="J205" s="777"/>
      <c r="K205" s="777"/>
      <c r="L205" s="777"/>
      <c r="M205" s="777"/>
      <c r="N205" s="777"/>
      <c r="O205" s="777"/>
      <c r="P205" s="777"/>
      <c r="Q205" s="777"/>
      <c r="R205" s="777"/>
      <c r="S205" s="777"/>
      <c r="T205" s="777"/>
      <c r="U205" s="777"/>
      <c r="V205" s="777"/>
    </row>
    <row r="206" spans="1:22" x14ac:dyDescent="0.25">
      <c r="A206" s="777"/>
      <c r="B206" s="777"/>
      <c r="C206" s="777"/>
      <c r="D206" s="777"/>
      <c r="E206" s="777"/>
      <c r="F206" s="777"/>
      <c r="G206" s="777"/>
      <c r="H206" s="777"/>
      <c r="I206" s="777"/>
      <c r="J206" s="777"/>
      <c r="K206" s="777"/>
      <c r="L206" s="777"/>
      <c r="M206" s="777"/>
      <c r="N206" s="777"/>
      <c r="O206" s="777"/>
      <c r="P206" s="777"/>
      <c r="Q206" s="777"/>
      <c r="R206" s="777"/>
      <c r="S206" s="777"/>
      <c r="T206" s="777"/>
      <c r="U206" s="777"/>
      <c r="V206" s="777"/>
    </row>
    <row r="207" spans="1:22" x14ac:dyDescent="0.25">
      <c r="A207" s="777"/>
      <c r="B207" s="777"/>
      <c r="C207" s="777"/>
      <c r="D207" s="777"/>
      <c r="E207" s="777"/>
      <c r="F207" s="777"/>
      <c r="G207" s="777"/>
      <c r="H207" s="777"/>
      <c r="I207" s="777"/>
      <c r="J207" s="777"/>
      <c r="K207" s="777"/>
      <c r="L207" s="777"/>
      <c r="M207" s="777"/>
      <c r="N207" s="777"/>
      <c r="O207" s="777"/>
      <c r="P207" s="777"/>
      <c r="Q207" s="777"/>
      <c r="R207" s="777"/>
      <c r="S207" s="777"/>
      <c r="T207" s="777"/>
      <c r="U207" s="777"/>
      <c r="V207" s="777"/>
    </row>
    <row r="208" spans="1:22" x14ac:dyDescent="0.25">
      <c r="A208" s="777"/>
      <c r="B208" s="777"/>
      <c r="C208" s="777"/>
      <c r="D208" s="777"/>
      <c r="E208" s="777"/>
      <c r="F208" s="777"/>
      <c r="G208" s="777"/>
      <c r="H208" s="777"/>
      <c r="I208" s="777"/>
      <c r="J208" s="777"/>
      <c r="K208" s="777"/>
      <c r="L208" s="777"/>
      <c r="M208" s="777"/>
      <c r="N208" s="777"/>
      <c r="O208" s="777"/>
      <c r="P208" s="777"/>
      <c r="Q208" s="777"/>
      <c r="R208" s="777"/>
      <c r="S208" s="777"/>
      <c r="T208" s="777"/>
      <c r="U208" s="777"/>
      <c r="V208" s="777"/>
    </row>
    <row r="209" spans="1:22" x14ac:dyDescent="0.25">
      <c r="A209" s="777"/>
      <c r="B209" s="777"/>
      <c r="C209" s="777"/>
      <c r="D209" s="777"/>
      <c r="E209" s="777"/>
      <c r="F209" s="777"/>
      <c r="G209" s="777"/>
      <c r="H209" s="777"/>
      <c r="I209" s="777"/>
      <c r="J209" s="777"/>
      <c r="K209" s="777"/>
      <c r="L209" s="777"/>
      <c r="M209" s="777"/>
      <c r="N209" s="777"/>
      <c r="O209" s="777"/>
      <c r="P209" s="777"/>
      <c r="Q209" s="777"/>
      <c r="R209" s="777"/>
      <c r="S209" s="777"/>
      <c r="T209" s="777"/>
      <c r="U209" s="777"/>
      <c r="V209" s="777"/>
    </row>
    <row r="210" spans="1:22" x14ac:dyDescent="0.25">
      <c r="A210" s="777"/>
      <c r="B210" s="777"/>
      <c r="C210" s="777"/>
      <c r="D210" s="777"/>
      <c r="E210" s="777"/>
      <c r="F210" s="777"/>
      <c r="G210" s="777"/>
      <c r="H210" s="777"/>
      <c r="I210" s="777"/>
      <c r="J210" s="777"/>
      <c r="K210" s="777"/>
      <c r="L210" s="777"/>
      <c r="M210" s="777"/>
      <c r="N210" s="777"/>
      <c r="O210" s="777"/>
      <c r="P210" s="777"/>
      <c r="Q210" s="777"/>
      <c r="R210" s="777"/>
      <c r="S210" s="777"/>
      <c r="T210" s="777"/>
      <c r="U210" s="777"/>
      <c r="V210" s="777"/>
    </row>
    <row r="211" spans="1:22" x14ac:dyDescent="0.25">
      <c r="A211" s="777"/>
      <c r="B211" s="777"/>
      <c r="C211" s="777"/>
      <c r="D211" s="777"/>
      <c r="E211" s="777"/>
      <c r="F211" s="777"/>
      <c r="G211" s="777"/>
      <c r="H211" s="777"/>
      <c r="I211" s="777"/>
      <c r="J211" s="777"/>
      <c r="K211" s="777"/>
      <c r="L211" s="777"/>
      <c r="M211" s="777"/>
      <c r="N211" s="777"/>
      <c r="O211" s="777"/>
      <c r="P211" s="777"/>
      <c r="Q211" s="777"/>
      <c r="R211" s="777"/>
      <c r="S211" s="777"/>
      <c r="T211" s="777"/>
      <c r="U211" s="777"/>
      <c r="V211" s="777"/>
    </row>
    <row r="212" spans="1:22" x14ac:dyDescent="0.25">
      <c r="A212" s="777"/>
      <c r="B212" s="777"/>
      <c r="C212" s="777"/>
      <c r="D212" s="777"/>
      <c r="E212" s="777"/>
      <c r="F212" s="777"/>
      <c r="G212" s="777"/>
      <c r="H212" s="777"/>
      <c r="I212" s="777"/>
      <c r="J212" s="777"/>
      <c r="K212" s="777"/>
      <c r="L212" s="777"/>
      <c r="M212" s="777"/>
      <c r="N212" s="777"/>
      <c r="O212" s="777"/>
      <c r="P212" s="777"/>
      <c r="Q212" s="777"/>
      <c r="R212" s="777"/>
      <c r="S212" s="777"/>
      <c r="T212" s="777"/>
      <c r="U212" s="777"/>
      <c r="V212" s="777"/>
    </row>
    <row r="213" spans="1:22" x14ac:dyDescent="0.25">
      <c r="A213" s="777"/>
      <c r="B213" s="777"/>
      <c r="C213" s="777"/>
      <c r="D213" s="777"/>
      <c r="E213" s="777"/>
      <c r="F213" s="777"/>
      <c r="G213" s="777"/>
      <c r="H213" s="777"/>
      <c r="I213" s="777"/>
      <c r="J213" s="777"/>
      <c r="K213" s="777"/>
      <c r="L213" s="777"/>
      <c r="M213" s="777"/>
      <c r="N213" s="777"/>
      <c r="O213" s="777"/>
      <c r="P213" s="777"/>
      <c r="Q213" s="777"/>
      <c r="R213" s="777"/>
      <c r="S213" s="777"/>
      <c r="T213" s="777"/>
      <c r="U213" s="777"/>
      <c r="V213" s="777"/>
    </row>
    <row r="214" spans="1:22" x14ac:dyDescent="0.25">
      <c r="A214" s="777"/>
      <c r="B214" s="777"/>
      <c r="C214" s="777"/>
      <c r="D214" s="777"/>
      <c r="E214" s="777"/>
      <c r="F214" s="777"/>
      <c r="G214" s="777"/>
      <c r="H214" s="777"/>
      <c r="I214" s="777"/>
      <c r="J214" s="777"/>
      <c r="K214" s="777"/>
      <c r="L214" s="777"/>
      <c r="M214" s="777"/>
      <c r="N214" s="777"/>
      <c r="O214" s="777"/>
      <c r="P214" s="777"/>
      <c r="Q214" s="777"/>
      <c r="R214" s="777"/>
      <c r="S214" s="777"/>
      <c r="T214" s="777"/>
      <c r="U214" s="777"/>
      <c r="V214" s="777"/>
    </row>
    <row r="215" spans="1:22" x14ac:dyDescent="0.25">
      <c r="A215" s="777"/>
      <c r="B215" s="777"/>
      <c r="C215" s="777"/>
      <c r="D215" s="777"/>
      <c r="E215" s="777"/>
      <c r="F215" s="777"/>
      <c r="G215" s="777"/>
      <c r="H215" s="777"/>
      <c r="I215" s="777"/>
      <c r="J215" s="777"/>
      <c r="K215" s="777"/>
      <c r="L215" s="777"/>
      <c r="M215" s="777"/>
      <c r="N215" s="777"/>
      <c r="O215" s="777"/>
      <c r="P215" s="777"/>
      <c r="Q215" s="777"/>
      <c r="R215" s="777"/>
      <c r="S215" s="777"/>
      <c r="T215" s="777"/>
      <c r="U215" s="777"/>
      <c r="V215" s="777"/>
    </row>
    <row r="216" spans="1:22" x14ac:dyDescent="0.25">
      <c r="A216" s="777"/>
      <c r="B216" s="777"/>
      <c r="C216" s="777"/>
      <c r="D216" s="777"/>
      <c r="E216" s="777"/>
      <c r="F216" s="777"/>
      <c r="G216" s="777"/>
      <c r="H216" s="777"/>
      <c r="I216" s="777"/>
      <c r="J216" s="777"/>
      <c r="K216" s="777"/>
      <c r="L216" s="777"/>
      <c r="M216" s="777"/>
      <c r="N216" s="777"/>
      <c r="O216" s="777"/>
      <c r="P216" s="777"/>
      <c r="Q216" s="777"/>
      <c r="R216" s="777"/>
      <c r="S216" s="777"/>
      <c r="T216" s="777"/>
      <c r="U216" s="777"/>
      <c r="V216" s="777"/>
    </row>
    <row r="217" spans="1:22" x14ac:dyDescent="0.25">
      <c r="A217" s="777"/>
      <c r="B217" s="777"/>
      <c r="C217" s="777"/>
      <c r="D217" s="777"/>
      <c r="E217" s="777"/>
      <c r="F217" s="777"/>
      <c r="G217" s="777"/>
      <c r="H217" s="777"/>
      <c r="I217" s="777"/>
      <c r="J217" s="777"/>
      <c r="K217" s="777"/>
      <c r="L217" s="777"/>
      <c r="M217" s="777"/>
      <c r="N217" s="777"/>
      <c r="O217" s="777"/>
      <c r="P217" s="777"/>
      <c r="Q217" s="777"/>
      <c r="R217" s="777"/>
      <c r="S217" s="777"/>
      <c r="T217" s="777"/>
      <c r="U217" s="777"/>
      <c r="V217" s="777"/>
    </row>
    <row r="218" spans="1:22" x14ac:dyDescent="0.25">
      <c r="A218" s="777"/>
      <c r="B218" s="777"/>
      <c r="C218" s="777"/>
      <c r="D218" s="777"/>
      <c r="E218" s="777"/>
      <c r="F218" s="777"/>
      <c r="G218" s="777"/>
      <c r="H218" s="777"/>
      <c r="I218" s="777"/>
      <c r="J218" s="777"/>
      <c r="K218" s="777"/>
      <c r="L218" s="777"/>
      <c r="M218" s="777"/>
      <c r="N218" s="777"/>
      <c r="O218" s="777"/>
      <c r="P218" s="777"/>
      <c r="Q218" s="777"/>
      <c r="R218" s="777"/>
      <c r="S218" s="777"/>
      <c r="T218" s="777"/>
      <c r="U218" s="777"/>
      <c r="V218" s="777"/>
    </row>
    <row r="219" spans="1:22" x14ac:dyDescent="0.25">
      <c r="A219" s="777"/>
      <c r="B219" s="777"/>
      <c r="C219" s="777"/>
      <c r="D219" s="777"/>
      <c r="E219" s="777"/>
      <c r="F219" s="777"/>
      <c r="G219" s="777"/>
      <c r="H219" s="777"/>
      <c r="I219" s="777"/>
      <c r="J219" s="777"/>
      <c r="K219" s="777"/>
      <c r="L219" s="777"/>
      <c r="M219" s="777"/>
      <c r="N219" s="777"/>
      <c r="O219" s="777"/>
      <c r="P219" s="777"/>
      <c r="Q219" s="777"/>
      <c r="R219" s="777"/>
      <c r="S219" s="777"/>
      <c r="T219" s="777"/>
      <c r="U219" s="777"/>
      <c r="V219" s="777"/>
    </row>
    <row r="220" spans="1:22" x14ac:dyDescent="0.25">
      <c r="A220" s="777"/>
      <c r="B220" s="777"/>
      <c r="C220" s="777"/>
      <c r="D220" s="777"/>
      <c r="E220" s="777"/>
      <c r="F220" s="777"/>
      <c r="G220" s="777"/>
      <c r="H220" s="777"/>
      <c r="I220" s="777"/>
      <c r="J220" s="777"/>
      <c r="K220" s="777"/>
      <c r="L220" s="777"/>
      <c r="M220" s="777"/>
      <c r="N220" s="777"/>
      <c r="O220" s="777"/>
      <c r="P220" s="777"/>
      <c r="Q220" s="777"/>
      <c r="R220" s="777"/>
      <c r="S220" s="777"/>
      <c r="T220" s="777"/>
      <c r="U220" s="777"/>
      <c r="V220" s="777"/>
    </row>
    <row r="221" spans="1:22" x14ac:dyDescent="0.25">
      <c r="A221" s="777"/>
      <c r="B221" s="777"/>
      <c r="C221" s="777"/>
      <c r="D221" s="777"/>
      <c r="E221" s="777"/>
      <c r="F221" s="777"/>
      <c r="G221" s="777"/>
      <c r="H221" s="777"/>
      <c r="I221" s="777"/>
      <c r="J221" s="777"/>
      <c r="K221" s="777"/>
      <c r="L221" s="777"/>
      <c r="M221" s="777"/>
      <c r="N221" s="777"/>
      <c r="O221" s="777"/>
      <c r="P221" s="777"/>
      <c r="Q221" s="777"/>
      <c r="R221" s="777"/>
      <c r="S221" s="777"/>
      <c r="T221" s="777"/>
      <c r="U221" s="777"/>
      <c r="V221" s="777"/>
    </row>
    <row r="222" spans="1:22" x14ac:dyDescent="0.25">
      <c r="A222" s="777"/>
      <c r="B222" s="777"/>
      <c r="C222" s="777"/>
      <c r="D222" s="777"/>
      <c r="E222" s="777"/>
      <c r="F222" s="777"/>
      <c r="G222" s="777"/>
      <c r="H222" s="777"/>
      <c r="I222" s="777"/>
      <c r="J222" s="777"/>
      <c r="K222" s="777"/>
      <c r="L222" s="777"/>
      <c r="M222" s="777"/>
      <c r="N222" s="777"/>
      <c r="O222" s="777"/>
      <c r="P222" s="777"/>
      <c r="Q222" s="777"/>
      <c r="R222" s="777"/>
      <c r="S222" s="777"/>
      <c r="T222" s="777"/>
      <c r="U222" s="777"/>
      <c r="V222" s="777"/>
    </row>
    <row r="223" spans="1:22" x14ac:dyDescent="0.25">
      <c r="A223" s="777"/>
      <c r="B223" s="777"/>
      <c r="C223" s="777"/>
      <c r="D223" s="777"/>
      <c r="E223" s="777"/>
      <c r="F223" s="777"/>
      <c r="G223" s="777"/>
      <c r="H223" s="777"/>
      <c r="I223" s="777"/>
      <c r="J223" s="777"/>
      <c r="K223" s="777"/>
      <c r="L223" s="777"/>
      <c r="M223" s="777"/>
      <c r="N223" s="777"/>
      <c r="O223" s="777"/>
      <c r="P223" s="777"/>
      <c r="Q223" s="777"/>
      <c r="R223" s="777"/>
      <c r="S223" s="777"/>
      <c r="T223" s="777"/>
      <c r="U223" s="777"/>
      <c r="V223" s="777"/>
    </row>
    <row r="224" spans="1:22" x14ac:dyDescent="0.25">
      <c r="A224" s="777"/>
      <c r="B224" s="777"/>
      <c r="C224" s="777"/>
      <c r="D224" s="777"/>
      <c r="E224" s="777"/>
      <c r="F224" s="777"/>
      <c r="G224" s="777"/>
      <c r="H224" s="777"/>
      <c r="I224" s="777"/>
      <c r="J224" s="777"/>
      <c r="K224" s="777"/>
      <c r="L224" s="777"/>
      <c r="M224" s="777"/>
      <c r="N224" s="777"/>
      <c r="O224" s="777"/>
      <c r="P224" s="777"/>
      <c r="Q224" s="777"/>
      <c r="R224" s="777"/>
      <c r="S224" s="777"/>
      <c r="T224" s="777"/>
      <c r="U224" s="777"/>
      <c r="V224" s="777"/>
    </row>
    <row r="225" spans="1:22" x14ac:dyDescent="0.25">
      <c r="A225" s="777"/>
      <c r="B225" s="777"/>
      <c r="C225" s="777"/>
      <c r="D225" s="777"/>
      <c r="E225" s="777"/>
      <c r="F225" s="777"/>
      <c r="G225" s="777"/>
      <c r="H225" s="777"/>
      <c r="I225" s="777"/>
      <c r="J225" s="777"/>
      <c r="K225" s="777"/>
      <c r="L225" s="777"/>
      <c r="M225" s="777"/>
      <c r="N225" s="777"/>
      <c r="O225" s="777"/>
      <c r="P225" s="777"/>
      <c r="Q225" s="777"/>
      <c r="R225" s="777"/>
      <c r="S225" s="777"/>
      <c r="T225" s="777"/>
      <c r="U225" s="777"/>
      <c r="V225" s="777"/>
    </row>
    <row r="226" spans="1:22" x14ac:dyDescent="0.25">
      <c r="A226" s="777"/>
      <c r="B226" s="777"/>
      <c r="C226" s="777"/>
      <c r="D226" s="777"/>
      <c r="E226" s="777"/>
      <c r="F226" s="777"/>
      <c r="G226" s="777"/>
      <c r="H226" s="777"/>
      <c r="I226" s="777"/>
      <c r="J226" s="777"/>
      <c r="K226" s="777"/>
      <c r="L226" s="777"/>
      <c r="M226" s="777"/>
      <c r="N226" s="777"/>
      <c r="O226" s="777"/>
      <c r="P226" s="777"/>
      <c r="Q226" s="777"/>
      <c r="R226" s="777"/>
      <c r="S226" s="777"/>
      <c r="T226" s="777"/>
      <c r="U226" s="777"/>
      <c r="V226" s="777"/>
    </row>
    <row r="227" spans="1:22" x14ac:dyDescent="0.25">
      <c r="A227" s="777"/>
      <c r="B227" s="777"/>
      <c r="C227" s="777"/>
      <c r="D227" s="777"/>
      <c r="E227" s="777"/>
      <c r="F227" s="777"/>
      <c r="G227" s="777"/>
      <c r="H227" s="777"/>
      <c r="I227" s="777"/>
      <c r="J227" s="777"/>
      <c r="K227" s="777"/>
      <c r="L227" s="777"/>
      <c r="M227" s="777"/>
      <c r="N227" s="777"/>
      <c r="O227" s="777"/>
      <c r="P227" s="777"/>
      <c r="Q227" s="777"/>
      <c r="R227" s="777"/>
      <c r="S227" s="777"/>
      <c r="T227" s="777"/>
      <c r="U227" s="777"/>
      <c r="V227" s="777"/>
    </row>
    <row r="228" spans="1:22" x14ac:dyDescent="0.25">
      <c r="A228" s="777"/>
      <c r="B228" s="777"/>
      <c r="C228" s="777"/>
      <c r="D228" s="777"/>
      <c r="E228" s="777"/>
      <c r="F228" s="777"/>
      <c r="G228" s="777"/>
      <c r="H228" s="777"/>
      <c r="I228" s="777"/>
      <c r="J228" s="777"/>
      <c r="K228" s="777"/>
      <c r="L228" s="777"/>
      <c r="M228" s="777"/>
      <c r="N228" s="777"/>
      <c r="O228" s="777"/>
      <c r="P228" s="777"/>
      <c r="Q228" s="777"/>
      <c r="R228" s="777"/>
      <c r="S228" s="777"/>
      <c r="T228" s="777"/>
      <c r="U228" s="777"/>
      <c r="V228" s="777"/>
    </row>
    <row r="229" spans="1:22" x14ac:dyDescent="0.25">
      <c r="A229" s="777"/>
      <c r="B229" s="777"/>
      <c r="C229" s="777"/>
      <c r="D229" s="777"/>
      <c r="E229" s="777"/>
      <c r="F229" s="777"/>
      <c r="G229" s="777"/>
      <c r="H229" s="777"/>
      <c r="I229" s="777"/>
      <c r="J229" s="777"/>
      <c r="K229" s="777"/>
      <c r="L229" s="777"/>
      <c r="M229" s="777"/>
      <c r="N229" s="777"/>
      <c r="O229" s="777"/>
      <c r="P229" s="777"/>
      <c r="Q229" s="777"/>
      <c r="R229" s="777"/>
      <c r="S229" s="777"/>
      <c r="T229" s="777"/>
      <c r="U229" s="777"/>
      <c r="V229" s="777"/>
    </row>
    <row r="230" spans="1:22" x14ac:dyDescent="0.25">
      <c r="A230" s="777"/>
      <c r="B230" s="777"/>
      <c r="C230" s="777"/>
      <c r="D230" s="777"/>
      <c r="E230" s="777"/>
      <c r="F230" s="777"/>
      <c r="G230" s="777"/>
      <c r="H230" s="777"/>
      <c r="I230" s="777"/>
      <c r="J230" s="777"/>
      <c r="K230" s="777"/>
      <c r="L230" s="777"/>
      <c r="M230" s="777"/>
      <c r="N230" s="777"/>
      <c r="O230" s="777"/>
      <c r="P230" s="777"/>
      <c r="Q230" s="777"/>
      <c r="R230" s="777"/>
      <c r="S230" s="777"/>
      <c r="T230" s="777"/>
      <c r="U230" s="777"/>
      <c r="V230" s="777"/>
    </row>
    <row r="231" spans="1:22" x14ac:dyDescent="0.25">
      <c r="A231" s="777"/>
      <c r="B231" s="777"/>
      <c r="C231" s="777"/>
      <c r="D231" s="777"/>
      <c r="E231" s="777"/>
      <c r="F231" s="777"/>
      <c r="G231" s="777"/>
      <c r="H231" s="777"/>
      <c r="I231" s="777"/>
      <c r="J231" s="777"/>
      <c r="K231" s="777"/>
      <c r="L231" s="777"/>
      <c r="M231" s="777"/>
      <c r="N231" s="777"/>
      <c r="O231" s="777"/>
      <c r="P231" s="777"/>
      <c r="Q231" s="777"/>
      <c r="R231" s="777"/>
      <c r="S231" s="777"/>
      <c r="T231" s="777"/>
      <c r="U231" s="777"/>
      <c r="V231" s="777"/>
    </row>
    <row r="232" spans="1:22" x14ac:dyDescent="0.25">
      <c r="A232" s="777"/>
      <c r="B232" s="777"/>
      <c r="C232" s="777"/>
      <c r="D232" s="777"/>
      <c r="E232" s="777"/>
      <c r="F232" s="777"/>
      <c r="G232" s="777"/>
      <c r="H232" s="777"/>
      <c r="I232" s="777"/>
      <c r="J232" s="777"/>
      <c r="K232" s="777"/>
      <c r="L232" s="777"/>
      <c r="M232" s="777"/>
      <c r="N232" s="777"/>
      <c r="O232" s="777"/>
      <c r="P232" s="777"/>
      <c r="Q232" s="777"/>
      <c r="R232" s="777"/>
      <c r="S232" s="777"/>
      <c r="T232" s="777"/>
      <c r="U232" s="777"/>
      <c r="V232" s="777"/>
    </row>
    <row r="233" spans="1:22" x14ac:dyDescent="0.25">
      <c r="A233" s="777"/>
      <c r="B233" s="777"/>
      <c r="C233" s="777"/>
      <c r="D233" s="777"/>
      <c r="E233" s="777"/>
      <c r="F233" s="777"/>
      <c r="G233" s="777"/>
      <c r="H233" s="777"/>
      <c r="I233" s="777"/>
      <c r="J233" s="777"/>
      <c r="K233" s="777"/>
      <c r="L233" s="777"/>
      <c r="M233" s="777"/>
      <c r="N233" s="777"/>
      <c r="O233" s="777"/>
      <c r="P233" s="777"/>
      <c r="Q233" s="777"/>
      <c r="R233" s="777"/>
      <c r="S233" s="777"/>
      <c r="T233" s="777"/>
      <c r="U233" s="777"/>
      <c r="V233" s="777"/>
    </row>
    <row r="234" spans="1:22" x14ac:dyDescent="0.25">
      <c r="A234" s="777"/>
      <c r="B234" s="777"/>
      <c r="C234" s="777"/>
      <c r="D234" s="777"/>
      <c r="E234" s="777"/>
      <c r="F234" s="777"/>
      <c r="G234" s="777"/>
      <c r="H234" s="777"/>
      <c r="I234" s="777"/>
      <c r="J234" s="777"/>
      <c r="K234" s="777"/>
      <c r="L234" s="777"/>
      <c r="M234" s="777"/>
      <c r="N234" s="777"/>
      <c r="O234" s="777"/>
      <c r="P234" s="777"/>
      <c r="Q234" s="777"/>
      <c r="R234" s="777"/>
      <c r="S234" s="777"/>
      <c r="T234" s="777"/>
      <c r="U234" s="777"/>
      <c r="V234" s="777"/>
    </row>
    <row r="235" spans="1:22" x14ac:dyDescent="0.25">
      <c r="A235" s="777"/>
      <c r="B235" s="777"/>
      <c r="C235" s="777"/>
      <c r="D235" s="777"/>
      <c r="E235" s="777"/>
      <c r="F235" s="777"/>
      <c r="G235" s="777"/>
      <c r="H235" s="777"/>
      <c r="I235" s="777"/>
      <c r="J235" s="777"/>
      <c r="K235" s="777"/>
      <c r="L235" s="777"/>
      <c r="M235" s="777"/>
      <c r="N235" s="777"/>
      <c r="O235" s="777"/>
      <c r="P235" s="777"/>
      <c r="Q235" s="777"/>
      <c r="R235" s="777"/>
      <c r="S235" s="777"/>
      <c r="T235" s="777"/>
      <c r="U235" s="777"/>
      <c r="V235" s="777"/>
    </row>
    <row r="236" spans="1:22" x14ac:dyDescent="0.25">
      <c r="A236" s="777"/>
      <c r="B236" s="777"/>
      <c r="C236" s="777"/>
      <c r="D236" s="777"/>
      <c r="E236" s="777"/>
      <c r="F236" s="777"/>
      <c r="G236" s="777"/>
      <c r="H236" s="777"/>
      <c r="I236" s="777"/>
      <c r="J236" s="777"/>
      <c r="K236" s="777"/>
      <c r="L236" s="777"/>
      <c r="M236" s="777"/>
      <c r="N236" s="777"/>
      <c r="O236" s="777"/>
      <c r="P236" s="777"/>
      <c r="Q236" s="777"/>
      <c r="R236" s="777"/>
      <c r="S236" s="777"/>
      <c r="T236" s="777"/>
      <c r="U236" s="777"/>
      <c r="V236" s="777"/>
    </row>
    <row r="237" spans="1:22" x14ac:dyDescent="0.25">
      <c r="A237" s="777"/>
      <c r="B237" s="777"/>
      <c r="C237" s="777"/>
      <c r="D237" s="777"/>
      <c r="E237" s="777"/>
      <c r="F237" s="777"/>
      <c r="G237" s="777"/>
      <c r="H237" s="777"/>
      <c r="I237" s="777"/>
      <c r="J237" s="777"/>
      <c r="K237" s="777"/>
      <c r="L237" s="777"/>
      <c r="M237" s="777"/>
      <c r="N237" s="777"/>
      <c r="O237" s="777"/>
      <c r="P237" s="777"/>
      <c r="Q237" s="777"/>
      <c r="R237" s="777"/>
      <c r="S237" s="777"/>
      <c r="T237" s="777"/>
      <c r="U237" s="777"/>
      <c r="V237" s="777"/>
    </row>
    <row r="238" spans="1:22" x14ac:dyDescent="0.25">
      <c r="A238" s="777"/>
      <c r="B238" s="777"/>
      <c r="C238" s="777"/>
      <c r="D238" s="777"/>
      <c r="E238" s="777"/>
      <c r="F238" s="777"/>
      <c r="G238" s="777"/>
      <c r="H238" s="777"/>
      <c r="I238" s="777"/>
      <c r="J238" s="777"/>
      <c r="K238" s="777"/>
      <c r="L238" s="777"/>
      <c r="M238" s="777"/>
      <c r="N238" s="777"/>
      <c r="O238" s="777"/>
      <c r="P238" s="777"/>
      <c r="Q238" s="777"/>
      <c r="R238" s="777"/>
      <c r="S238" s="777"/>
      <c r="T238" s="777"/>
      <c r="U238" s="777"/>
      <c r="V238" s="777"/>
    </row>
    <row r="239" spans="1:22" x14ac:dyDescent="0.25">
      <c r="A239" s="777"/>
      <c r="B239" s="777"/>
      <c r="C239" s="777"/>
      <c r="D239" s="777"/>
      <c r="E239" s="777"/>
      <c r="F239" s="777"/>
      <c r="G239" s="777"/>
      <c r="H239" s="777"/>
      <c r="I239" s="777"/>
      <c r="J239" s="777"/>
      <c r="K239" s="777"/>
      <c r="L239" s="777"/>
      <c r="M239" s="777"/>
      <c r="N239" s="777"/>
      <c r="O239" s="777"/>
      <c r="P239" s="777"/>
      <c r="Q239" s="777"/>
      <c r="R239" s="777"/>
      <c r="S239" s="777"/>
      <c r="T239" s="777"/>
      <c r="U239" s="777"/>
      <c r="V239" s="777"/>
    </row>
    <row r="240" spans="1:22" x14ac:dyDescent="0.25">
      <c r="A240" s="777"/>
      <c r="B240" s="777"/>
      <c r="C240" s="777"/>
      <c r="D240" s="777"/>
      <c r="E240" s="777"/>
      <c r="F240" s="777"/>
      <c r="G240" s="777"/>
      <c r="H240" s="777"/>
      <c r="I240" s="777"/>
      <c r="J240" s="777"/>
      <c r="K240" s="777"/>
      <c r="L240" s="777"/>
      <c r="M240" s="777"/>
      <c r="N240" s="777"/>
      <c r="O240" s="777"/>
      <c r="P240" s="777"/>
      <c r="Q240" s="777"/>
      <c r="R240" s="777"/>
      <c r="S240" s="777"/>
      <c r="T240" s="777"/>
      <c r="U240" s="777"/>
      <c r="V240" s="777"/>
    </row>
    <row r="241" spans="1:22" x14ac:dyDescent="0.25">
      <c r="A241" s="777"/>
      <c r="B241" s="777"/>
      <c r="C241" s="777"/>
      <c r="D241" s="777"/>
      <c r="E241" s="777"/>
      <c r="F241" s="777"/>
      <c r="G241" s="777"/>
      <c r="H241" s="777"/>
      <c r="I241" s="777"/>
      <c r="J241" s="777"/>
      <c r="K241" s="777"/>
      <c r="L241" s="777"/>
      <c r="M241" s="777"/>
      <c r="N241" s="777"/>
      <c r="O241" s="777"/>
      <c r="P241" s="777"/>
      <c r="Q241" s="777"/>
      <c r="R241" s="777"/>
      <c r="S241" s="777"/>
      <c r="T241" s="777"/>
      <c r="U241" s="777"/>
      <c r="V241" s="777"/>
    </row>
    <row r="242" spans="1:22" x14ac:dyDescent="0.25">
      <c r="A242" s="777"/>
      <c r="B242" s="777"/>
      <c r="C242" s="777"/>
      <c r="D242" s="777"/>
      <c r="E242" s="777"/>
      <c r="F242" s="777"/>
      <c r="G242" s="777"/>
      <c r="H242" s="777"/>
      <c r="I242" s="777"/>
      <c r="J242" s="777"/>
      <c r="K242" s="777"/>
      <c r="L242" s="777"/>
      <c r="M242" s="777"/>
      <c r="N242" s="777"/>
      <c r="O242" s="777"/>
      <c r="P242" s="777"/>
      <c r="Q242" s="777"/>
      <c r="R242" s="777"/>
      <c r="S242" s="777"/>
      <c r="T242" s="777"/>
      <c r="U242" s="777"/>
      <c r="V242" s="777"/>
    </row>
    <row r="243" spans="1:22" x14ac:dyDescent="0.25">
      <c r="A243" s="777"/>
      <c r="B243" s="777"/>
      <c r="C243" s="777"/>
      <c r="D243" s="777"/>
      <c r="E243" s="777"/>
      <c r="F243" s="777"/>
      <c r="G243" s="777"/>
      <c r="H243" s="777"/>
      <c r="I243" s="777"/>
      <c r="J243" s="777"/>
      <c r="K243" s="777"/>
      <c r="L243" s="777"/>
      <c r="M243" s="777"/>
      <c r="N243" s="777"/>
      <c r="O243" s="777"/>
      <c r="P243" s="777"/>
      <c r="Q243" s="777"/>
      <c r="R243" s="777"/>
      <c r="S243" s="777"/>
      <c r="T243" s="777"/>
      <c r="U243" s="777"/>
      <c r="V243" s="777"/>
    </row>
    <row r="244" spans="1:22" x14ac:dyDescent="0.25">
      <c r="A244" s="777"/>
      <c r="B244" s="777"/>
      <c r="C244" s="777"/>
      <c r="D244" s="777"/>
      <c r="E244" s="777"/>
      <c r="F244" s="777"/>
      <c r="G244" s="777"/>
      <c r="H244" s="777"/>
      <c r="I244" s="777"/>
      <c r="J244" s="777"/>
      <c r="K244" s="777"/>
      <c r="L244" s="777"/>
      <c r="M244" s="777"/>
      <c r="N244" s="777"/>
      <c r="O244" s="777"/>
      <c r="P244" s="777"/>
      <c r="Q244" s="777"/>
      <c r="R244" s="777"/>
      <c r="S244" s="777"/>
      <c r="T244" s="777"/>
      <c r="U244" s="777"/>
      <c r="V244" s="777"/>
    </row>
    <row r="245" spans="1:22" x14ac:dyDescent="0.25">
      <c r="A245" s="777"/>
      <c r="B245" s="777"/>
      <c r="C245" s="777"/>
      <c r="D245" s="777"/>
      <c r="E245" s="777"/>
      <c r="F245" s="777"/>
      <c r="G245" s="777"/>
      <c r="H245" s="777"/>
      <c r="I245" s="777"/>
      <c r="J245" s="777"/>
      <c r="K245" s="777"/>
      <c r="L245" s="777"/>
      <c r="M245" s="777"/>
      <c r="N245" s="777"/>
      <c r="O245" s="777"/>
      <c r="P245" s="777"/>
      <c r="Q245" s="777"/>
      <c r="R245" s="777"/>
      <c r="S245" s="777"/>
      <c r="T245" s="777"/>
      <c r="U245" s="777"/>
      <c r="V245" s="777"/>
    </row>
    <row r="246" spans="1:22" x14ac:dyDescent="0.25">
      <c r="A246" s="777"/>
      <c r="B246" s="777"/>
      <c r="C246" s="777"/>
      <c r="D246" s="777"/>
      <c r="E246" s="777"/>
      <c r="F246" s="777"/>
      <c r="G246" s="777"/>
      <c r="H246" s="777"/>
      <c r="I246" s="777"/>
      <c r="J246" s="777"/>
      <c r="K246" s="777"/>
      <c r="L246" s="777"/>
      <c r="M246" s="777"/>
      <c r="N246" s="777"/>
      <c r="O246" s="777"/>
      <c r="P246" s="777"/>
      <c r="Q246" s="777"/>
      <c r="R246" s="777"/>
      <c r="S246" s="777"/>
      <c r="T246" s="777"/>
      <c r="U246" s="777"/>
      <c r="V246" s="777"/>
    </row>
    <row r="247" spans="1:22" x14ac:dyDescent="0.25">
      <c r="A247" s="777"/>
      <c r="B247" s="777"/>
      <c r="C247" s="777"/>
      <c r="D247" s="777"/>
      <c r="E247" s="777"/>
      <c r="F247" s="777"/>
      <c r="G247" s="777"/>
      <c r="H247" s="777"/>
      <c r="I247" s="777"/>
      <c r="J247" s="777"/>
      <c r="K247" s="777"/>
      <c r="L247" s="777"/>
      <c r="M247" s="777"/>
      <c r="N247" s="777"/>
      <c r="O247" s="777"/>
      <c r="P247" s="777"/>
      <c r="Q247" s="777"/>
      <c r="R247" s="777"/>
      <c r="S247" s="777"/>
      <c r="T247" s="777"/>
      <c r="U247" s="777"/>
      <c r="V247" s="777"/>
    </row>
    <row r="248" spans="1:22" x14ac:dyDescent="0.25">
      <c r="A248" s="777"/>
      <c r="B248" s="777"/>
      <c r="C248" s="777"/>
      <c r="D248" s="777"/>
      <c r="E248" s="777"/>
      <c r="F248" s="777"/>
      <c r="G248" s="777"/>
      <c r="H248" s="777"/>
      <c r="I248" s="777"/>
      <c r="J248" s="777"/>
      <c r="K248" s="777"/>
      <c r="L248" s="777"/>
      <c r="M248" s="777"/>
      <c r="N248" s="777"/>
      <c r="O248" s="777"/>
      <c r="P248" s="777"/>
      <c r="Q248" s="777"/>
      <c r="R248" s="777"/>
      <c r="S248" s="777"/>
      <c r="T248" s="777"/>
      <c r="U248" s="777"/>
      <c r="V248" s="777"/>
    </row>
    <row r="249" spans="1:22" x14ac:dyDescent="0.25">
      <c r="A249" s="777"/>
      <c r="B249" s="777"/>
      <c r="C249" s="777"/>
      <c r="D249" s="777"/>
      <c r="E249" s="777"/>
      <c r="F249" s="777"/>
      <c r="G249" s="777"/>
      <c r="H249" s="777"/>
      <c r="I249" s="777"/>
      <c r="J249" s="777"/>
      <c r="K249" s="777"/>
      <c r="L249" s="777"/>
      <c r="M249" s="777"/>
      <c r="N249" s="777"/>
      <c r="O249" s="777"/>
      <c r="P249" s="777"/>
      <c r="Q249" s="777"/>
      <c r="R249" s="777"/>
      <c r="S249" s="777"/>
      <c r="T249" s="777"/>
      <c r="U249" s="777"/>
      <c r="V249" s="777"/>
    </row>
    <row r="250" spans="1:22" x14ac:dyDescent="0.25">
      <c r="A250" s="777"/>
      <c r="B250" s="777"/>
      <c r="C250" s="777"/>
      <c r="D250" s="777"/>
      <c r="E250" s="777"/>
      <c r="F250" s="777"/>
      <c r="G250" s="777"/>
      <c r="H250" s="777"/>
      <c r="I250" s="777"/>
      <c r="J250" s="777"/>
      <c r="K250" s="777"/>
      <c r="L250" s="777"/>
      <c r="M250" s="777"/>
      <c r="N250" s="777"/>
      <c r="O250" s="777"/>
      <c r="P250" s="777"/>
      <c r="Q250" s="777"/>
      <c r="R250" s="777"/>
      <c r="S250" s="777"/>
      <c r="T250" s="777"/>
      <c r="U250" s="777"/>
      <c r="V250" s="777"/>
    </row>
    <row r="251" spans="1:22" x14ac:dyDescent="0.25">
      <c r="A251" s="777"/>
      <c r="B251" s="777"/>
      <c r="C251" s="777"/>
      <c r="D251" s="777"/>
      <c r="E251" s="777"/>
      <c r="F251" s="777"/>
      <c r="G251" s="777"/>
      <c r="H251" s="777"/>
      <c r="I251" s="777"/>
      <c r="J251" s="777"/>
      <c r="K251" s="777"/>
      <c r="L251" s="777"/>
      <c r="M251" s="777"/>
      <c r="N251" s="777"/>
      <c r="O251" s="777"/>
      <c r="P251" s="777"/>
      <c r="Q251" s="777"/>
      <c r="R251" s="777"/>
      <c r="S251" s="777"/>
      <c r="T251" s="777"/>
      <c r="U251" s="777"/>
      <c r="V251" s="777"/>
    </row>
    <row r="252" spans="1:22" x14ac:dyDescent="0.25">
      <c r="A252" s="777"/>
      <c r="B252" s="777"/>
      <c r="C252" s="777"/>
      <c r="D252" s="777"/>
      <c r="E252" s="777"/>
      <c r="F252" s="777"/>
      <c r="G252" s="777"/>
      <c r="H252" s="777"/>
      <c r="I252" s="777"/>
      <c r="J252" s="777"/>
      <c r="K252" s="777"/>
      <c r="L252" s="777"/>
      <c r="M252" s="777"/>
      <c r="N252" s="777"/>
      <c r="O252" s="777"/>
      <c r="P252" s="777"/>
      <c r="Q252" s="777"/>
      <c r="R252" s="777"/>
      <c r="S252" s="777"/>
      <c r="T252" s="777"/>
      <c r="U252" s="777"/>
      <c r="V252" s="777"/>
    </row>
    <row r="253" spans="1:22" x14ac:dyDescent="0.25">
      <c r="A253" s="777"/>
      <c r="B253" s="777"/>
      <c r="C253" s="777"/>
      <c r="D253" s="777"/>
      <c r="E253" s="777"/>
      <c r="F253" s="777"/>
      <c r="G253" s="777"/>
      <c r="H253" s="777"/>
      <c r="I253" s="777"/>
      <c r="J253" s="777"/>
      <c r="K253" s="777"/>
      <c r="L253" s="777"/>
      <c r="M253" s="777"/>
      <c r="N253" s="777"/>
      <c r="O253" s="777"/>
      <c r="P253" s="777"/>
      <c r="Q253" s="777"/>
      <c r="R253" s="777"/>
      <c r="S253" s="777"/>
      <c r="T253" s="777"/>
      <c r="U253" s="777"/>
      <c r="V253" s="777"/>
    </row>
    <row r="254" spans="1:22" x14ac:dyDescent="0.25">
      <c r="A254" s="777"/>
      <c r="B254" s="777"/>
      <c r="C254" s="777"/>
      <c r="D254" s="777"/>
      <c r="E254" s="777"/>
      <c r="F254" s="777"/>
      <c r="G254" s="777"/>
      <c r="H254" s="777"/>
      <c r="I254" s="777"/>
      <c r="J254" s="777"/>
      <c r="K254" s="777"/>
      <c r="L254" s="777"/>
      <c r="M254" s="777"/>
      <c r="N254" s="777"/>
      <c r="O254" s="777"/>
      <c r="P254" s="777"/>
      <c r="Q254" s="777"/>
      <c r="R254" s="777"/>
      <c r="S254" s="777"/>
      <c r="T254" s="777"/>
      <c r="U254" s="777"/>
      <c r="V254" s="777"/>
    </row>
    <row r="255" spans="1:22" x14ac:dyDescent="0.25">
      <c r="A255" s="777"/>
      <c r="B255" s="777"/>
      <c r="C255" s="777"/>
      <c r="D255" s="777"/>
      <c r="E255" s="777"/>
      <c r="F255" s="777"/>
      <c r="G255" s="777"/>
      <c r="H255" s="777"/>
      <c r="I255" s="777"/>
      <c r="J255" s="777"/>
      <c r="K255" s="777"/>
      <c r="L255" s="777"/>
      <c r="M255" s="777"/>
      <c r="N255" s="777"/>
      <c r="O255" s="777"/>
      <c r="P255" s="777"/>
      <c r="Q255" s="777"/>
      <c r="R255" s="777"/>
      <c r="S255" s="777"/>
      <c r="T255" s="777"/>
      <c r="U255" s="777"/>
      <c r="V255" s="777"/>
    </row>
    <row r="256" spans="1:22" x14ac:dyDescent="0.25">
      <c r="A256" s="777"/>
      <c r="B256" s="777"/>
      <c r="C256" s="777"/>
      <c r="D256" s="777"/>
      <c r="E256" s="777"/>
      <c r="F256" s="777"/>
      <c r="G256" s="777"/>
      <c r="H256" s="777"/>
      <c r="I256" s="777"/>
      <c r="J256" s="777"/>
      <c r="K256" s="777"/>
      <c r="L256" s="777"/>
      <c r="M256" s="777"/>
      <c r="N256" s="777"/>
      <c r="O256" s="777"/>
      <c r="P256" s="777"/>
      <c r="Q256" s="777"/>
      <c r="R256" s="777"/>
      <c r="S256" s="777"/>
      <c r="T256" s="777"/>
      <c r="U256" s="777"/>
      <c r="V256" s="777"/>
    </row>
    <row r="257" spans="1:22" x14ac:dyDescent="0.25">
      <c r="A257" s="777"/>
      <c r="B257" s="777"/>
      <c r="C257" s="777"/>
      <c r="D257" s="777"/>
      <c r="E257" s="777"/>
      <c r="F257" s="777"/>
      <c r="G257" s="777"/>
      <c r="H257" s="777"/>
      <c r="I257" s="777"/>
      <c r="J257" s="777"/>
      <c r="K257" s="777"/>
      <c r="L257" s="777"/>
      <c r="M257" s="777"/>
      <c r="N257" s="777"/>
      <c r="O257" s="777"/>
      <c r="P257" s="777"/>
      <c r="Q257" s="777"/>
      <c r="R257" s="777"/>
      <c r="S257" s="777"/>
      <c r="T257" s="777"/>
      <c r="U257" s="777"/>
      <c r="V257" s="777"/>
    </row>
    <row r="258" spans="1:22" x14ac:dyDescent="0.25">
      <c r="A258" s="777"/>
      <c r="B258" s="777"/>
      <c r="C258" s="777"/>
      <c r="D258" s="777"/>
      <c r="E258" s="777"/>
      <c r="F258" s="777"/>
      <c r="G258" s="777"/>
      <c r="H258" s="777"/>
      <c r="I258" s="777"/>
      <c r="J258" s="777"/>
      <c r="K258" s="777"/>
      <c r="L258" s="777"/>
      <c r="M258" s="777"/>
      <c r="N258" s="777"/>
      <c r="O258" s="777"/>
      <c r="P258" s="777"/>
      <c r="Q258" s="777"/>
      <c r="R258" s="777"/>
      <c r="S258" s="777"/>
      <c r="T258" s="777"/>
      <c r="U258" s="777"/>
      <c r="V258" s="777"/>
    </row>
    <row r="259" spans="1:22" x14ac:dyDescent="0.25">
      <c r="A259" s="777"/>
      <c r="B259" s="777"/>
      <c r="C259" s="777"/>
      <c r="D259" s="777"/>
      <c r="E259" s="777"/>
      <c r="F259" s="777"/>
      <c r="G259" s="777"/>
      <c r="H259" s="777"/>
      <c r="I259" s="777"/>
      <c r="J259" s="777"/>
      <c r="K259" s="777"/>
      <c r="L259" s="777"/>
      <c r="M259" s="777"/>
      <c r="N259" s="777"/>
      <c r="O259" s="777"/>
      <c r="P259" s="777"/>
      <c r="Q259" s="777"/>
      <c r="R259" s="777"/>
      <c r="S259" s="777"/>
      <c r="T259" s="777"/>
      <c r="U259" s="777"/>
      <c r="V259" s="777"/>
    </row>
    <row r="260" spans="1:22" x14ac:dyDescent="0.25">
      <c r="A260" s="777"/>
      <c r="B260" s="777"/>
      <c r="C260" s="777"/>
      <c r="D260" s="777"/>
      <c r="E260" s="777"/>
      <c r="F260" s="777"/>
      <c r="G260" s="777"/>
      <c r="H260" s="777"/>
      <c r="I260" s="777"/>
      <c r="J260" s="777"/>
      <c r="K260" s="777"/>
      <c r="L260" s="777"/>
      <c r="M260" s="777"/>
      <c r="N260" s="777"/>
      <c r="O260" s="777"/>
      <c r="P260" s="777"/>
      <c r="Q260" s="777"/>
      <c r="R260" s="777"/>
      <c r="S260" s="777"/>
      <c r="T260" s="777"/>
      <c r="U260" s="777"/>
      <c r="V260" s="777"/>
    </row>
    <row r="261" spans="1:22" x14ac:dyDescent="0.25">
      <c r="A261" s="777"/>
      <c r="B261" s="777"/>
      <c r="C261" s="777"/>
      <c r="D261" s="777"/>
      <c r="E261" s="777"/>
      <c r="F261" s="777"/>
      <c r="G261" s="777"/>
      <c r="H261" s="777"/>
      <c r="I261" s="777"/>
      <c r="J261" s="777"/>
      <c r="K261" s="777"/>
      <c r="L261" s="777"/>
      <c r="M261" s="777"/>
      <c r="N261" s="777"/>
      <c r="O261" s="777"/>
      <c r="P261" s="777"/>
      <c r="Q261" s="777"/>
      <c r="R261" s="777"/>
      <c r="S261" s="777"/>
      <c r="T261" s="777"/>
      <c r="U261" s="777"/>
      <c r="V261" s="777"/>
    </row>
    <row r="262" spans="1:22" x14ac:dyDescent="0.25">
      <c r="A262" s="777"/>
      <c r="B262" s="777"/>
      <c r="C262" s="777"/>
      <c r="D262" s="777"/>
      <c r="E262" s="777"/>
      <c r="F262" s="777"/>
      <c r="G262" s="777"/>
      <c r="H262" s="777"/>
      <c r="I262" s="777"/>
      <c r="J262" s="777"/>
      <c r="K262" s="777"/>
      <c r="L262" s="777"/>
      <c r="M262" s="777"/>
      <c r="N262" s="777"/>
      <c r="O262" s="777"/>
      <c r="P262" s="777"/>
      <c r="Q262" s="777"/>
      <c r="R262" s="777"/>
      <c r="S262" s="777"/>
      <c r="T262" s="777"/>
      <c r="U262" s="777"/>
      <c r="V262" s="777"/>
    </row>
    <row r="263" spans="1:22" x14ac:dyDescent="0.25">
      <c r="A263" s="777"/>
      <c r="B263" s="777"/>
      <c r="C263" s="777"/>
      <c r="D263" s="777"/>
      <c r="E263" s="777"/>
      <c r="F263" s="777"/>
      <c r="G263" s="777"/>
      <c r="H263" s="777"/>
      <c r="I263" s="777"/>
      <c r="J263" s="777"/>
      <c r="K263" s="777"/>
      <c r="L263" s="777"/>
      <c r="M263" s="777"/>
      <c r="N263" s="777"/>
      <c r="O263" s="777"/>
      <c r="P263" s="777"/>
      <c r="Q263" s="777"/>
      <c r="R263" s="777"/>
      <c r="S263" s="777"/>
      <c r="T263" s="777"/>
      <c r="U263" s="777"/>
      <c r="V263" s="777"/>
    </row>
    <row r="264" spans="1:22" x14ac:dyDescent="0.25">
      <c r="A264" s="777"/>
      <c r="B264" s="777"/>
      <c r="C264" s="777"/>
      <c r="D264" s="777"/>
      <c r="E264" s="777"/>
      <c r="F264" s="777"/>
      <c r="G264" s="777"/>
      <c r="H264" s="777"/>
      <c r="I264" s="777"/>
      <c r="J264" s="777"/>
      <c r="K264" s="777"/>
      <c r="L264" s="777"/>
      <c r="M264" s="777"/>
      <c r="N264" s="777"/>
      <c r="O264" s="777"/>
      <c r="P264" s="777"/>
      <c r="Q264" s="777"/>
      <c r="R264" s="777"/>
      <c r="S264" s="777"/>
      <c r="T264" s="777"/>
      <c r="U264" s="777"/>
      <c r="V264" s="777"/>
    </row>
    <row r="265" spans="1:22" x14ac:dyDescent="0.25">
      <c r="A265" s="777"/>
      <c r="B265" s="777"/>
      <c r="C265" s="777"/>
      <c r="D265" s="777"/>
      <c r="E265" s="777"/>
      <c r="F265" s="777"/>
      <c r="G265" s="777"/>
      <c r="H265" s="777"/>
      <c r="I265" s="777"/>
      <c r="J265" s="777"/>
      <c r="K265" s="777"/>
      <c r="L265" s="777"/>
      <c r="M265" s="777"/>
      <c r="N265" s="777"/>
      <c r="O265" s="777"/>
      <c r="P265" s="777"/>
      <c r="Q265" s="777"/>
      <c r="R265" s="777"/>
      <c r="S265" s="777"/>
      <c r="T265" s="777"/>
      <c r="U265" s="777"/>
      <c r="V265" s="777"/>
    </row>
    <row r="266" spans="1:22" x14ac:dyDescent="0.25">
      <c r="A266" s="777"/>
      <c r="B266" s="777"/>
      <c r="C266" s="777"/>
      <c r="D266" s="777"/>
      <c r="E266" s="777"/>
      <c r="F266" s="777"/>
      <c r="G266" s="777"/>
      <c r="H266" s="777"/>
      <c r="I266" s="777"/>
      <c r="J266" s="777"/>
      <c r="K266" s="777"/>
      <c r="L266" s="777"/>
      <c r="M266" s="777"/>
      <c r="N266" s="777"/>
      <c r="O266" s="777"/>
      <c r="P266" s="777"/>
      <c r="Q266" s="777"/>
      <c r="R266" s="777"/>
      <c r="S266" s="777"/>
      <c r="T266" s="777"/>
      <c r="U266" s="777"/>
      <c r="V266" s="777"/>
    </row>
    <row r="267" spans="1:22" x14ac:dyDescent="0.25">
      <c r="A267" s="777"/>
      <c r="B267" s="777"/>
      <c r="C267" s="777"/>
      <c r="D267" s="777"/>
      <c r="E267" s="777"/>
      <c r="F267" s="777"/>
      <c r="G267" s="777"/>
      <c r="H267" s="777"/>
      <c r="I267" s="777"/>
      <c r="J267" s="777"/>
      <c r="K267" s="777"/>
      <c r="L267" s="777"/>
      <c r="M267" s="777"/>
      <c r="N267" s="777"/>
      <c r="O267" s="777"/>
      <c r="P267" s="777"/>
      <c r="Q267" s="777"/>
      <c r="R267" s="777"/>
      <c r="S267" s="777"/>
      <c r="T267" s="777"/>
      <c r="U267" s="777"/>
      <c r="V267" s="777"/>
    </row>
    <row r="268" spans="1:22" x14ac:dyDescent="0.25">
      <c r="A268" s="777"/>
      <c r="B268" s="777"/>
      <c r="C268" s="777"/>
      <c r="D268" s="777"/>
      <c r="E268" s="777"/>
      <c r="F268" s="777"/>
      <c r="G268" s="777"/>
      <c r="H268" s="777"/>
      <c r="I268" s="777"/>
      <c r="J268" s="777"/>
      <c r="K268" s="777"/>
      <c r="L268" s="777"/>
      <c r="M268" s="777"/>
      <c r="N268" s="777"/>
      <c r="O268" s="777"/>
      <c r="P268" s="777"/>
      <c r="Q268" s="777"/>
      <c r="R268" s="777"/>
      <c r="S268" s="777"/>
      <c r="T268" s="777"/>
      <c r="U268" s="777"/>
      <c r="V268" s="777"/>
    </row>
    <row r="269" spans="1:22" x14ac:dyDescent="0.25">
      <c r="A269" s="777"/>
      <c r="B269" s="777"/>
      <c r="C269" s="777"/>
      <c r="D269" s="777"/>
      <c r="E269" s="777"/>
      <c r="F269" s="777"/>
      <c r="G269" s="777"/>
      <c r="H269" s="777"/>
      <c r="I269" s="777"/>
      <c r="J269" s="777"/>
      <c r="K269" s="777"/>
      <c r="L269" s="777"/>
      <c r="M269" s="777"/>
      <c r="N269" s="777"/>
      <c r="O269" s="777"/>
      <c r="P269" s="777"/>
      <c r="Q269" s="777"/>
      <c r="R269" s="777"/>
      <c r="S269" s="777"/>
      <c r="T269" s="777"/>
      <c r="U269" s="777"/>
      <c r="V269" s="777"/>
    </row>
    <row r="270" spans="1:22" x14ac:dyDescent="0.25">
      <c r="A270" s="777"/>
      <c r="B270" s="777"/>
      <c r="C270" s="777"/>
      <c r="D270" s="777"/>
      <c r="E270" s="777"/>
      <c r="F270" s="777"/>
      <c r="G270" s="777"/>
      <c r="H270" s="777"/>
      <c r="I270" s="777"/>
      <c r="J270" s="777"/>
      <c r="K270" s="777"/>
      <c r="L270" s="777"/>
      <c r="M270" s="777"/>
      <c r="N270" s="777"/>
      <c r="O270" s="777"/>
      <c r="P270" s="777"/>
      <c r="Q270" s="777"/>
      <c r="R270" s="777"/>
      <c r="S270" s="777"/>
      <c r="T270" s="777"/>
      <c r="U270" s="777"/>
      <c r="V270" s="777"/>
    </row>
    <row r="271" spans="1:22" x14ac:dyDescent="0.25">
      <c r="A271" s="777"/>
      <c r="B271" s="777"/>
      <c r="C271" s="777"/>
      <c r="D271" s="777"/>
      <c r="E271" s="777"/>
      <c r="F271" s="777"/>
      <c r="G271" s="777"/>
      <c r="H271" s="777"/>
      <c r="I271" s="777"/>
      <c r="J271" s="777"/>
      <c r="K271" s="777"/>
      <c r="L271" s="777"/>
      <c r="M271" s="777"/>
      <c r="N271" s="777"/>
      <c r="O271" s="777"/>
      <c r="P271" s="777"/>
      <c r="Q271" s="777"/>
      <c r="R271" s="777"/>
      <c r="S271" s="777"/>
      <c r="T271" s="777"/>
      <c r="U271" s="777"/>
      <c r="V271" s="777"/>
    </row>
    <row r="272" spans="1:22" x14ac:dyDescent="0.25">
      <c r="A272" s="777"/>
      <c r="B272" s="777"/>
      <c r="C272" s="777"/>
      <c r="D272" s="777"/>
      <c r="E272" s="777"/>
      <c r="F272" s="777"/>
      <c r="G272" s="777"/>
      <c r="H272" s="777"/>
      <c r="I272" s="777"/>
      <c r="J272" s="777"/>
      <c r="K272" s="777"/>
      <c r="L272" s="777"/>
      <c r="M272" s="777"/>
      <c r="N272" s="777"/>
      <c r="O272" s="777"/>
      <c r="P272" s="777"/>
      <c r="Q272" s="777"/>
      <c r="R272" s="777"/>
      <c r="S272" s="777"/>
      <c r="T272" s="777"/>
      <c r="U272" s="777"/>
      <c r="V272" s="777"/>
    </row>
    <row r="273" spans="1:22" x14ac:dyDescent="0.25">
      <c r="A273" s="777"/>
      <c r="B273" s="777"/>
      <c r="C273" s="777"/>
      <c r="D273" s="777"/>
      <c r="E273" s="777"/>
      <c r="F273" s="777"/>
      <c r="G273" s="777"/>
      <c r="H273" s="777"/>
      <c r="I273" s="777"/>
      <c r="J273" s="777"/>
      <c r="K273" s="777"/>
      <c r="L273" s="777"/>
      <c r="M273" s="777"/>
      <c r="N273" s="777"/>
      <c r="O273" s="777"/>
      <c r="P273" s="777"/>
      <c r="Q273" s="777"/>
      <c r="R273" s="777"/>
      <c r="S273" s="777"/>
      <c r="T273" s="777"/>
      <c r="U273" s="777"/>
      <c r="V273" s="777"/>
    </row>
    <row r="274" spans="1:22" x14ac:dyDescent="0.25">
      <c r="A274" s="777"/>
      <c r="B274" s="777"/>
      <c r="C274" s="777"/>
      <c r="D274" s="777"/>
      <c r="E274" s="777"/>
      <c r="F274" s="777"/>
      <c r="G274" s="777"/>
      <c r="H274" s="777"/>
      <c r="I274" s="777"/>
      <c r="J274" s="777"/>
      <c r="K274" s="777"/>
      <c r="L274" s="777"/>
      <c r="M274" s="777"/>
      <c r="N274" s="777"/>
      <c r="O274" s="777"/>
      <c r="P274" s="777"/>
      <c r="Q274" s="777"/>
      <c r="R274" s="777"/>
      <c r="S274" s="777"/>
      <c r="T274" s="777"/>
      <c r="U274" s="777"/>
      <c r="V274" s="777"/>
    </row>
    <row r="275" spans="1:22" x14ac:dyDescent="0.25">
      <c r="A275" s="777"/>
      <c r="B275" s="777"/>
      <c r="C275" s="777"/>
      <c r="D275" s="777"/>
      <c r="E275" s="777"/>
      <c r="F275" s="777"/>
      <c r="G275" s="777"/>
      <c r="H275" s="777"/>
      <c r="I275" s="777"/>
      <c r="J275" s="777"/>
      <c r="K275" s="777"/>
      <c r="L275" s="777"/>
      <c r="M275" s="777"/>
      <c r="N275" s="777"/>
      <c r="O275" s="777"/>
      <c r="P275" s="777"/>
      <c r="Q275" s="777"/>
      <c r="R275" s="777"/>
      <c r="S275" s="777"/>
      <c r="T275" s="777"/>
      <c r="U275" s="777"/>
      <c r="V275" s="777"/>
    </row>
    <row r="276" spans="1:22" x14ac:dyDescent="0.25">
      <c r="A276" s="777"/>
      <c r="B276" s="777"/>
      <c r="C276" s="777"/>
      <c r="D276" s="777"/>
      <c r="E276" s="777"/>
      <c r="F276" s="777"/>
      <c r="G276" s="777"/>
      <c r="H276" s="777"/>
      <c r="I276" s="777"/>
      <c r="J276" s="777"/>
      <c r="K276" s="777"/>
      <c r="L276" s="777"/>
      <c r="M276" s="777"/>
      <c r="N276" s="777"/>
      <c r="O276" s="777"/>
      <c r="P276" s="777"/>
      <c r="Q276" s="777"/>
      <c r="R276" s="777"/>
      <c r="S276" s="777"/>
      <c r="T276" s="777"/>
      <c r="U276" s="777"/>
      <c r="V276" s="777"/>
    </row>
    <row r="277" spans="1:22" x14ac:dyDescent="0.25">
      <c r="A277" s="777"/>
      <c r="B277" s="777"/>
      <c r="C277" s="777"/>
      <c r="D277" s="777"/>
      <c r="E277" s="777"/>
      <c r="F277" s="777"/>
      <c r="G277" s="777"/>
      <c r="H277" s="777"/>
      <c r="I277" s="777"/>
      <c r="J277" s="777"/>
      <c r="K277" s="777"/>
      <c r="L277" s="777"/>
      <c r="M277" s="777"/>
      <c r="N277" s="777"/>
      <c r="O277" s="777"/>
      <c r="P277" s="777"/>
      <c r="Q277" s="777"/>
      <c r="R277" s="777"/>
      <c r="S277" s="777"/>
      <c r="T277" s="777"/>
      <c r="U277" s="777"/>
      <c r="V277" s="777"/>
    </row>
    <row r="278" spans="1:22" x14ac:dyDescent="0.25">
      <c r="A278" s="777"/>
      <c r="B278" s="777"/>
      <c r="C278" s="777"/>
      <c r="D278" s="777"/>
      <c r="E278" s="777"/>
      <c r="F278" s="777"/>
      <c r="G278" s="777"/>
      <c r="H278" s="777"/>
      <c r="I278" s="777"/>
      <c r="J278" s="777"/>
      <c r="K278" s="777"/>
      <c r="L278" s="777"/>
      <c r="M278" s="777"/>
      <c r="N278" s="777"/>
      <c r="O278" s="777"/>
      <c r="P278" s="777"/>
      <c r="Q278" s="777"/>
      <c r="R278" s="777"/>
      <c r="S278" s="777"/>
      <c r="T278" s="777"/>
      <c r="U278" s="777"/>
      <c r="V278" s="777"/>
    </row>
    <row r="279" spans="1:22" x14ac:dyDescent="0.25">
      <c r="A279" s="777"/>
      <c r="B279" s="777"/>
      <c r="C279" s="777"/>
      <c r="D279" s="777"/>
      <c r="E279" s="777"/>
      <c r="F279" s="777"/>
      <c r="G279" s="777"/>
      <c r="H279" s="777"/>
      <c r="I279" s="777"/>
      <c r="J279" s="777"/>
      <c r="K279" s="777"/>
      <c r="L279" s="777"/>
      <c r="M279" s="777"/>
      <c r="N279" s="777"/>
      <c r="O279" s="777"/>
      <c r="P279" s="777"/>
      <c r="Q279" s="777"/>
      <c r="R279" s="777"/>
      <c r="S279" s="777"/>
      <c r="T279" s="777"/>
      <c r="U279" s="777"/>
      <c r="V279" s="777"/>
    </row>
    <row r="280" spans="1:22" x14ac:dyDescent="0.25">
      <c r="A280" s="777"/>
      <c r="B280" s="777"/>
      <c r="C280" s="777"/>
      <c r="D280" s="777"/>
      <c r="E280" s="777"/>
      <c r="F280" s="777"/>
      <c r="G280" s="777"/>
      <c r="H280" s="777"/>
      <c r="I280" s="777"/>
      <c r="J280" s="777"/>
      <c r="K280" s="777"/>
      <c r="L280" s="777"/>
      <c r="M280" s="777"/>
      <c r="N280" s="777"/>
      <c r="O280" s="777"/>
      <c r="P280" s="777"/>
      <c r="Q280" s="777"/>
      <c r="R280" s="777"/>
      <c r="S280" s="777"/>
      <c r="T280" s="777"/>
      <c r="U280" s="777"/>
      <c r="V280" s="777"/>
    </row>
    <row r="281" spans="1:22" x14ac:dyDescent="0.25">
      <c r="A281" s="777"/>
      <c r="B281" s="777"/>
      <c r="C281" s="777"/>
      <c r="D281" s="777"/>
      <c r="E281" s="777"/>
      <c r="F281" s="777"/>
      <c r="G281" s="777"/>
      <c r="H281" s="777"/>
      <c r="I281" s="777"/>
      <c r="J281" s="777"/>
      <c r="K281" s="777"/>
      <c r="L281" s="777"/>
      <c r="M281" s="777"/>
      <c r="N281" s="777"/>
      <c r="O281" s="777"/>
      <c r="P281" s="777"/>
      <c r="Q281" s="777"/>
      <c r="R281" s="777"/>
      <c r="S281" s="777"/>
      <c r="T281" s="777"/>
      <c r="U281" s="777"/>
      <c r="V281" s="777"/>
    </row>
    <row r="282" spans="1:22" x14ac:dyDescent="0.25">
      <c r="A282" s="777"/>
      <c r="B282" s="777"/>
      <c r="C282" s="777"/>
      <c r="D282" s="777"/>
      <c r="E282" s="777"/>
      <c r="F282" s="777"/>
      <c r="G282" s="777"/>
      <c r="H282" s="777"/>
      <c r="I282" s="777"/>
      <c r="J282" s="777"/>
      <c r="K282" s="777"/>
      <c r="L282" s="777"/>
      <c r="M282" s="777"/>
      <c r="N282" s="777"/>
      <c r="O282" s="777"/>
      <c r="P282" s="777"/>
      <c r="Q282" s="777"/>
      <c r="R282" s="777"/>
      <c r="S282" s="777"/>
      <c r="T282" s="777"/>
      <c r="U282" s="777"/>
      <c r="V282" s="777"/>
    </row>
    <row r="283" spans="1:22" x14ac:dyDescent="0.25">
      <c r="A283" s="777"/>
      <c r="B283" s="777"/>
      <c r="C283" s="777"/>
      <c r="D283" s="777"/>
      <c r="E283" s="777"/>
      <c r="F283" s="777"/>
      <c r="G283" s="777"/>
      <c r="H283" s="777"/>
      <c r="I283" s="777"/>
      <c r="J283" s="777"/>
      <c r="K283" s="777"/>
      <c r="L283" s="777"/>
      <c r="M283" s="777"/>
      <c r="N283" s="777"/>
      <c r="O283" s="777"/>
      <c r="P283" s="777"/>
      <c r="Q283" s="777"/>
      <c r="R283" s="777"/>
      <c r="S283" s="777"/>
      <c r="T283" s="777"/>
      <c r="U283" s="777"/>
      <c r="V283" s="777"/>
    </row>
    <row r="284" spans="1:22" x14ac:dyDescent="0.25">
      <c r="A284" s="777"/>
      <c r="B284" s="777"/>
      <c r="C284" s="777"/>
      <c r="D284" s="777"/>
      <c r="E284" s="777"/>
      <c r="F284" s="777"/>
      <c r="G284" s="777"/>
      <c r="H284" s="777"/>
      <c r="I284" s="777"/>
      <c r="J284" s="777"/>
      <c r="K284" s="777"/>
      <c r="L284" s="777"/>
      <c r="M284" s="777"/>
      <c r="N284" s="777"/>
      <c r="O284" s="777"/>
      <c r="P284" s="777"/>
      <c r="Q284" s="777"/>
      <c r="R284" s="777"/>
      <c r="S284" s="777"/>
      <c r="T284" s="777"/>
      <c r="U284" s="777"/>
      <c r="V284" s="777"/>
    </row>
    <row r="285" spans="1:22" x14ac:dyDescent="0.25">
      <c r="A285" s="777"/>
      <c r="B285" s="777"/>
      <c r="C285" s="777"/>
      <c r="D285" s="777"/>
      <c r="E285" s="777"/>
      <c r="F285" s="777"/>
      <c r="G285" s="777"/>
      <c r="H285" s="777"/>
      <c r="I285" s="777"/>
      <c r="J285" s="777"/>
      <c r="K285" s="777"/>
      <c r="L285" s="777"/>
      <c r="M285" s="777"/>
      <c r="N285" s="777"/>
      <c r="O285" s="777"/>
      <c r="P285" s="777"/>
      <c r="Q285" s="777"/>
      <c r="R285" s="777"/>
      <c r="S285" s="777"/>
      <c r="T285" s="777"/>
      <c r="U285" s="777"/>
      <c r="V285" s="777"/>
    </row>
    <row r="286" spans="1:22" x14ac:dyDescent="0.25">
      <c r="A286" s="777"/>
      <c r="B286" s="777"/>
      <c r="C286" s="777"/>
      <c r="D286" s="777"/>
      <c r="E286" s="777"/>
      <c r="F286" s="777"/>
      <c r="G286" s="777"/>
      <c r="H286" s="777"/>
      <c r="I286" s="777"/>
      <c r="J286" s="777"/>
      <c r="K286" s="777"/>
      <c r="L286" s="777"/>
      <c r="M286" s="777"/>
      <c r="N286" s="777"/>
      <c r="O286" s="777"/>
      <c r="P286" s="777"/>
      <c r="Q286" s="777"/>
      <c r="R286" s="777"/>
      <c r="S286" s="777"/>
      <c r="T286" s="777"/>
      <c r="U286" s="777"/>
      <c r="V286" s="777"/>
    </row>
    <row r="287" spans="1:22" x14ac:dyDescent="0.25">
      <c r="A287" s="777"/>
      <c r="B287" s="777"/>
      <c r="C287" s="777"/>
      <c r="D287" s="777"/>
      <c r="E287" s="777"/>
      <c r="F287" s="777"/>
      <c r="G287" s="777"/>
      <c r="H287" s="777"/>
      <c r="I287" s="777"/>
      <c r="J287" s="777"/>
      <c r="K287" s="777"/>
      <c r="L287" s="777"/>
      <c r="M287" s="777"/>
      <c r="N287" s="777"/>
      <c r="O287" s="777"/>
      <c r="P287" s="777"/>
      <c r="Q287" s="777"/>
      <c r="R287" s="777"/>
      <c r="S287" s="777"/>
      <c r="T287" s="777"/>
      <c r="U287" s="777"/>
      <c r="V287" s="777"/>
    </row>
    <row r="288" spans="1:22" x14ac:dyDescent="0.25">
      <c r="A288" s="777"/>
      <c r="B288" s="777"/>
      <c r="C288" s="777"/>
      <c r="D288" s="777"/>
      <c r="E288" s="777"/>
      <c r="F288" s="777"/>
      <c r="G288" s="777"/>
      <c r="H288" s="777"/>
      <c r="I288" s="777"/>
      <c r="J288" s="777"/>
      <c r="K288" s="777"/>
      <c r="L288" s="777"/>
      <c r="M288" s="777"/>
      <c r="N288" s="777"/>
      <c r="O288" s="777"/>
      <c r="P288" s="777"/>
      <c r="Q288" s="777"/>
      <c r="R288" s="777"/>
      <c r="S288" s="777"/>
      <c r="T288" s="777"/>
      <c r="U288" s="777"/>
      <c r="V288" s="777"/>
    </row>
    <row r="289" spans="1:22" x14ac:dyDescent="0.25">
      <c r="A289" s="777"/>
      <c r="B289" s="777"/>
      <c r="C289" s="777"/>
      <c r="D289" s="777"/>
      <c r="E289" s="777"/>
      <c r="F289" s="777"/>
      <c r="G289" s="777"/>
      <c r="H289" s="777"/>
      <c r="I289" s="777"/>
      <c r="J289" s="777"/>
      <c r="K289" s="777"/>
      <c r="L289" s="777"/>
      <c r="M289" s="777"/>
      <c r="N289" s="777"/>
      <c r="O289" s="777"/>
      <c r="P289" s="777"/>
      <c r="Q289" s="777"/>
      <c r="R289" s="777"/>
      <c r="S289" s="777"/>
      <c r="T289" s="777"/>
      <c r="U289" s="777"/>
      <c r="V289" s="777"/>
    </row>
    <row r="290" spans="1:22" x14ac:dyDescent="0.25">
      <c r="A290" s="777"/>
      <c r="B290" s="777"/>
      <c r="C290" s="777"/>
      <c r="D290" s="777"/>
      <c r="E290" s="777"/>
      <c r="F290" s="777"/>
      <c r="G290" s="777"/>
      <c r="H290" s="777"/>
      <c r="I290" s="777"/>
      <c r="J290" s="777"/>
      <c r="K290" s="777"/>
      <c r="L290" s="777"/>
      <c r="M290" s="777"/>
      <c r="N290" s="777"/>
      <c r="O290" s="777"/>
      <c r="P290" s="777"/>
      <c r="Q290" s="777"/>
      <c r="R290" s="777"/>
      <c r="S290" s="777"/>
      <c r="T290" s="777"/>
      <c r="U290" s="777"/>
      <c r="V290" s="777"/>
    </row>
    <row r="291" spans="1:22" x14ac:dyDescent="0.25">
      <c r="A291" s="777"/>
      <c r="B291" s="777"/>
      <c r="C291" s="777"/>
      <c r="D291" s="777"/>
      <c r="E291" s="777"/>
      <c r="F291" s="777"/>
      <c r="G291" s="777"/>
      <c r="H291" s="777"/>
      <c r="I291" s="777"/>
      <c r="J291" s="777"/>
      <c r="K291" s="777"/>
      <c r="L291" s="777"/>
      <c r="M291" s="777"/>
      <c r="N291" s="777"/>
      <c r="O291" s="777"/>
      <c r="P291" s="777"/>
      <c r="Q291" s="777"/>
      <c r="R291" s="777"/>
      <c r="S291" s="777"/>
      <c r="T291" s="777"/>
      <c r="U291" s="777"/>
      <c r="V291" s="777"/>
    </row>
    <row r="292" spans="1:22" x14ac:dyDescent="0.25">
      <c r="A292" s="777"/>
      <c r="B292" s="777"/>
      <c r="C292" s="777"/>
      <c r="D292" s="777"/>
      <c r="E292" s="777"/>
      <c r="F292" s="777"/>
      <c r="G292" s="777"/>
      <c r="H292" s="777"/>
      <c r="I292" s="777"/>
      <c r="J292" s="777"/>
      <c r="K292" s="777"/>
      <c r="L292" s="777"/>
      <c r="M292" s="777"/>
      <c r="N292" s="777"/>
      <c r="O292" s="777"/>
      <c r="P292" s="777"/>
      <c r="Q292" s="777"/>
      <c r="R292" s="777"/>
      <c r="S292" s="777"/>
      <c r="T292" s="777"/>
      <c r="U292" s="777"/>
      <c r="V292" s="777"/>
    </row>
    <row r="293" spans="1:22" x14ac:dyDescent="0.25">
      <c r="A293" s="777"/>
      <c r="B293" s="777"/>
      <c r="C293" s="777"/>
      <c r="D293" s="777"/>
      <c r="E293" s="777"/>
      <c r="F293" s="777"/>
      <c r="G293" s="777"/>
      <c r="H293" s="777"/>
      <c r="I293" s="777"/>
      <c r="J293" s="777"/>
      <c r="K293" s="777"/>
      <c r="L293" s="777"/>
      <c r="M293" s="777"/>
      <c r="N293" s="777"/>
      <c r="O293" s="777"/>
      <c r="P293" s="777"/>
      <c r="Q293" s="777"/>
      <c r="R293" s="777"/>
      <c r="S293" s="777"/>
      <c r="T293" s="777"/>
      <c r="U293" s="777"/>
      <c r="V293" s="777"/>
    </row>
    <row r="294" spans="1:22" x14ac:dyDescent="0.25">
      <c r="A294" s="777"/>
      <c r="B294" s="777"/>
      <c r="C294" s="777"/>
      <c r="D294" s="777"/>
      <c r="E294" s="777"/>
      <c r="F294" s="777"/>
      <c r="G294" s="777"/>
      <c r="H294" s="777"/>
      <c r="I294" s="777"/>
      <c r="J294" s="777"/>
      <c r="K294" s="777"/>
      <c r="L294" s="777"/>
      <c r="M294" s="777"/>
      <c r="N294" s="777"/>
      <c r="O294" s="777"/>
      <c r="P294" s="777"/>
      <c r="Q294" s="777"/>
      <c r="R294" s="777"/>
      <c r="S294" s="777"/>
      <c r="T294" s="777"/>
      <c r="U294" s="777"/>
      <c r="V294" s="777"/>
    </row>
    <row r="295" spans="1:22" x14ac:dyDescent="0.25">
      <c r="A295" s="777"/>
      <c r="B295" s="777"/>
      <c r="C295" s="777"/>
      <c r="D295" s="777"/>
      <c r="E295" s="777"/>
      <c r="F295" s="777"/>
      <c r="G295" s="777"/>
      <c r="H295" s="777"/>
      <c r="I295" s="777"/>
      <c r="J295" s="777"/>
      <c r="K295" s="777"/>
      <c r="L295" s="777"/>
      <c r="M295" s="777"/>
      <c r="N295" s="777"/>
      <c r="O295" s="777"/>
      <c r="P295" s="777"/>
      <c r="Q295" s="777"/>
      <c r="R295" s="777"/>
      <c r="S295" s="777"/>
      <c r="T295" s="777"/>
      <c r="U295" s="777"/>
      <c r="V295" s="777"/>
    </row>
    <row r="296" spans="1:22" x14ac:dyDescent="0.25">
      <c r="A296" s="777"/>
      <c r="B296" s="777"/>
      <c r="C296" s="777"/>
      <c r="D296" s="777"/>
      <c r="E296" s="777"/>
      <c r="F296" s="777"/>
      <c r="G296" s="777"/>
      <c r="H296" s="777"/>
      <c r="I296" s="777"/>
      <c r="J296" s="777"/>
      <c r="K296" s="777"/>
      <c r="L296" s="777"/>
      <c r="M296" s="777"/>
      <c r="N296" s="777"/>
      <c r="O296" s="777"/>
      <c r="P296" s="777"/>
      <c r="Q296" s="777"/>
      <c r="R296" s="777"/>
      <c r="S296" s="777"/>
      <c r="T296" s="777"/>
      <c r="U296" s="777"/>
      <c r="V296" s="777"/>
    </row>
    <row r="297" spans="1:22" x14ac:dyDescent="0.25">
      <c r="A297" s="777"/>
      <c r="B297" s="777"/>
      <c r="C297" s="777"/>
      <c r="D297" s="777"/>
      <c r="E297" s="777"/>
      <c r="F297" s="777"/>
      <c r="G297" s="777"/>
      <c r="H297" s="777"/>
      <c r="I297" s="777"/>
      <c r="J297" s="777"/>
      <c r="K297" s="777"/>
      <c r="L297" s="777"/>
      <c r="M297" s="777"/>
      <c r="N297" s="777"/>
      <c r="O297" s="777"/>
      <c r="P297" s="777"/>
      <c r="Q297" s="777"/>
      <c r="R297" s="777"/>
      <c r="S297" s="777"/>
      <c r="T297" s="777"/>
      <c r="U297" s="777"/>
      <c r="V297" s="777"/>
    </row>
    <row r="298" spans="1:22" x14ac:dyDescent="0.25">
      <c r="A298" s="777"/>
      <c r="B298" s="777"/>
      <c r="C298" s="777"/>
      <c r="D298" s="777"/>
      <c r="E298" s="777"/>
      <c r="F298" s="777"/>
      <c r="G298" s="777"/>
      <c r="H298" s="777"/>
      <c r="I298" s="777"/>
      <c r="J298" s="777"/>
      <c r="K298" s="777"/>
      <c r="L298" s="777"/>
      <c r="M298" s="777"/>
      <c r="N298" s="777"/>
      <c r="O298" s="777"/>
      <c r="P298" s="777"/>
      <c r="Q298" s="777"/>
      <c r="R298" s="777"/>
      <c r="S298" s="777"/>
      <c r="T298" s="777"/>
      <c r="U298" s="777"/>
      <c r="V298" s="777"/>
    </row>
    <row r="299" spans="1:22" x14ac:dyDescent="0.25">
      <c r="A299" s="777"/>
      <c r="B299" s="777"/>
      <c r="C299" s="777"/>
      <c r="D299" s="777"/>
      <c r="E299" s="777"/>
      <c r="F299" s="777"/>
      <c r="G299" s="777"/>
      <c r="H299" s="777"/>
      <c r="I299" s="777"/>
      <c r="J299" s="777"/>
      <c r="K299" s="777"/>
      <c r="L299" s="777"/>
      <c r="M299" s="777"/>
      <c r="N299" s="777"/>
      <c r="O299" s="777"/>
      <c r="P299" s="777"/>
      <c r="Q299" s="777"/>
      <c r="R299" s="777"/>
      <c r="S299" s="777"/>
      <c r="T299" s="777"/>
      <c r="U299" s="777"/>
      <c r="V299" s="777"/>
    </row>
    <row r="300" spans="1:22" x14ac:dyDescent="0.25">
      <c r="A300" s="777"/>
      <c r="B300" s="777"/>
      <c r="C300" s="777"/>
      <c r="D300" s="777"/>
      <c r="E300" s="777"/>
      <c r="F300" s="777"/>
      <c r="G300" s="777"/>
      <c r="H300" s="777"/>
      <c r="I300" s="777"/>
      <c r="J300" s="777"/>
      <c r="K300" s="777"/>
      <c r="L300" s="777"/>
      <c r="M300" s="777"/>
      <c r="N300" s="777"/>
      <c r="O300" s="777"/>
      <c r="P300" s="777"/>
      <c r="Q300" s="777"/>
      <c r="R300" s="777"/>
      <c r="S300" s="777"/>
      <c r="T300" s="777"/>
      <c r="U300" s="777"/>
      <c r="V300" s="777"/>
    </row>
    <row r="301" spans="1:22" x14ac:dyDescent="0.25">
      <c r="A301" s="777"/>
      <c r="B301" s="777"/>
      <c r="C301" s="777"/>
      <c r="D301" s="777"/>
      <c r="E301" s="777"/>
      <c r="F301" s="777"/>
      <c r="G301" s="777"/>
      <c r="H301" s="777"/>
      <c r="I301" s="777"/>
      <c r="J301" s="777"/>
      <c r="K301" s="777"/>
      <c r="L301" s="777"/>
      <c r="M301" s="777"/>
      <c r="N301" s="777"/>
      <c r="O301" s="777"/>
      <c r="P301" s="777"/>
      <c r="Q301" s="777"/>
      <c r="R301" s="777"/>
      <c r="S301" s="777"/>
      <c r="T301" s="777"/>
      <c r="U301" s="777"/>
      <c r="V301" s="777"/>
    </row>
    <row r="302" spans="1:22" x14ac:dyDescent="0.25">
      <c r="A302" s="777"/>
      <c r="B302" s="777"/>
      <c r="C302" s="777"/>
      <c r="D302" s="777"/>
      <c r="E302" s="777"/>
      <c r="F302" s="777"/>
      <c r="G302" s="777"/>
      <c r="H302" s="777"/>
      <c r="I302" s="777"/>
      <c r="J302" s="777"/>
      <c r="K302" s="777"/>
      <c r="L302" s="777"/>
      <c r="M302" s="777"/>
      <c r="N302" s="777"/>
      <c r="O302" s="777"/>
      <c r="P302" s="777"/>
      <c r="Q302" s="777"/>
      <c r="R302" s="777"/>
      <c r="S302" s="777"/>
      <c r="T302" s="777"/>
      <c r="U302" s="777"/>
      <c r="V302" s="777"/>
    </row>
    <row r="303" spans="1:22" x14ac:dyDescent="0.25">
      <c r="A303" s="777"/>
      <c r="B303" s="777"/>
      <c r="C303" s="777"/>
      <c r="D303" s="777"/>
      <c r="E303" s="777"/>
      <c r="F303" s="777"/>
      <c r="G303" s="777"/>
      <c r="H303" s="777"/>
      <c r="I303" s="777"/>
      <c r="J303" s="777"/>
      <c r="K303" s="777"/>
      <c r="L303" s="777"/>
      <c r="M303" s="777"/>
      <c r="N303" s="777"/>
      <c r="O303" s="777"/>
      <c r="P303" s="777"/>
      <c r="Q303" s="777"/>
      <c r="R303" s="777"/>
      <c r="S303" s="777"/>
      <c r="T303" s="777"/>
      <c r="U303" s="777"/>
      <c r="V303" s="777"/>
    </row>
    <row r="304" spans="1:22" x14ac:dyDescent="0.25">
      <c r="A304" s="777"/>
      <c r="B304" s="777"/>
      <c r="C304" s="777"/>
      <c r="D304" s="777"/>
      <c r="E304" s="777"/>
      <c r="F304" s="777"/>
      <c r="G304" s="777"/>
      <c r="H304" s="777"/>
      <c r="I304" s="777"/>
      <c r="J304" s="777"/>
      <c r="K304" s="777"/>
      <c r="L304" s="777"/>
      <c r="M304" s="777"/>
      <c r="N304" s="777"/>
      <c r="O304" s="777"/>
      <c r="P304" s="777"/>
      <c r="Q304" s="777"/>
      <c r="R304" s="777"/>
      <c r="S304" s="777"/>
      <c r="T304" s="777"/>
      <c r="U304" s="777"/>
      <c r="V304" s="777"/>
    </row>
    <row r="305" spans="1:22" x14ac:dyDescent="0.25">
      <c r="A305" s="777"/>
      <c r="B305" s="777"/>
      <c r="C305" s="777"/>
      <c r="D305" s="777"/>
      <c r="E305" s="777"/>
      <c r="F305" s="777"/>
      <c r="G305" s="777"/>
      <c r="H305" s="777"/>
      <c r="I305" s="777"/>
      <c r="J305" s="777"/>
      <c r="K305" s="777"/>
      <c r="L305" s="777"/>
      <c r="M305" s="777"/>
      <c r="N305" s="777"/>
      <c r="O305" s="777"/>
      <c r="P305" s="777"/>
      <c r="Q305" s="777"/>
      <c r="R305" s="777"/>
      <c r="S305" s="777"/>
      <c r="T305" s="777"/>
      <c r="U305" s="777"/>
      <c r="V305" s="777"/>
    </row>
    <row r="306" spans="1:22" x14ac:dyDescent="0.25">
      <c r="A306" s="777"/>
      <c r="B306" s="777"/>
      <c r="C306" s="777"/>
      <c r="D306" s="777"/>
      <c r="E306" s="777"/>
      <c r="F306" s="777"/>
      <c r="G306" s="777"/>
      <c r="H306" s="777"/>
      <c r="I306" s="777"/>
      <c r="J306" s="777"/>
      <c r="K306" s="777"/>
      <c r="L306" s="777"/>
      <c r="M306" s="777"/>
      <c r="N306" s="777"/>
      <c r="O306" s="777"/>
      <c r="P306" s="777"/>
      <c r="Q306" s="777"/>
      <c r="R306" s="777"/>
      <c r="S306" s="777"/>
      <c r="T306" s="777"/>
      <c r="U306" s="777"/>
      <c r="V306" s="777"/>
    </row>
    <row r="307" spans="1:22" x14ac:dyDescent="0.25">
      <c r="A307" s="777"/>
      <c r="B307" s="777"/>
      <c r="C307" s="777"/>
      <c r="D307" s="777"/>
      <c r="E307" s="777"/>
      <c r="F307" s="777"/>
      <c r="G307" s="777"/>
      <c r="H307" s="777"/>
      <c r="I307" s="777"/>
      <c r="J307" s="777"/>
      <c r="K307" s="777"/>
      <c r="L307" s="777"/>
      <c r="M307" s="777"/>
      <c r="N307" s="777"/>
      <c r="O307" s="777"/>
      <c r="P307" s="777"/>
      <c r="Q307" s="777"/>
      <c r="R307" s="777"/>
      <c r="S307" s="777"/>
      <c r="T307" s="777"/>
      <c r="U307" s="777"/>
      <c r="V307" s="777"/>
    </row>
    <row r="308" spans="1:22" x14ac:dyDescent="0.25">
      <c r="A308" s="777"/>
      <c r="B308" s="777"/>
      <c r="C308" s="777"/>
      <c r="D308" s="777"/>
      <c r="E308" s="777"/>
      <c r="F308" s="777"/>
      <c r="G308" s="777"/>
      <c r="H308" s="777"/>
      <c r="I308" s="777"/>
      <c r="J308" s="777"/>
      <c r="K308" s="777"/>
      <c r="L308" s="777"/>
      <c r="M308" s="777"/>
      <c r="N308" s="777"/>
      <c r="O308" s="777"/>
      <c r="P308" s="777"/>
      <c r="Q308" s="777"/>
      <c r="R308" s="777"/>
      <c r="S308" s="777"/>
      <c r="T308" s="777"/>
      <c r="U308" s="777"/>
      <c r="V308" s="777"/>
    </row>
    <row r="309" spans="1:22" x14ac:dyDescent="0.25">
      <c r="A309" s="777"/>
      <c r="B309" s="777"/>
      <c r="C309" s="777"/>
      <c r="D309" s="777"/>
      <c r="E309" s="777"/>
      <c r="F309" s="777"/>
      <c r="G309" s="777"/>
      <c r="H309" s="777"/>
      <c r="I309" s="777"/>
      <c r="J309" s="777"/>
      <c r="K309" s="777"/>
      <c r="L309" s="777"/>
      <c r="M309" s="777"/>
      <c r="N309" s="777"/>
      <c r="O309" s="777"/>
      <c r="P309" s="777"/>
      <c r="Q309" s="777"/>
      <c r="R309" s="777"/>
      <c r="S309" s="777"/>
      <c r="T309" s="777"/>
      <c r="U309" s="777"/>
      <c r="V309" s="777"/>
    </row>
    <row r="310" spans="1:22" x14ac:dyDescent="0.25">
      <c r="A310" s="777"/>
      <c r="B310" s="777"/>
      <c r="C310" s="777"/>
      <c r="D310" s="777"/>
      <c r="E310" s="777"/>
      <c r="F310" s="777"/>
      <c r="G310" s="777"/>
      <c r="H310" s="777"/>
      <c r="I310" s="777"/>
      <c r="J310" s="777"/>
      <c r="K310" s="777"/>
      <c r="L310" s="777"/>
      <c r="M310" s="777"/>
      <c r="N310" s="777"/>
      <c r="O310" s="777"/>
      <c r="P310" s="777"/>
      <c r="Q310" s="777"/>
      <c r="R310" s="777"/>
      <c r="S310" s="777"/>
      <c r="T310" s="777"/>
      <c r="U310" s="777"/>
      <c r="V310" s="777"/>
    </row>
    <row r="311" spans="1:22" x14ac:dyDescent="0.25">
      <c r="A311" s="777"/>
      <c r="B311" s="777"/>
      <c r="C311" s="777"/>
      <c r="D311" s="777"/>
      <c r="E311" s="777"/>
      <c r="F311" s="777"/>
      <c r="G311" s="777"/>
      <c r="H311" s="777"/>
      <c r="I311" s="777"/>
      <c r="J311" s="777"/>
      <c r="K311" s="777"/>
      <c r="L311" s="777"/>
      <c r="M311" s="777"/>
      <c r="N311" s="777"/>
      <c r="O311" s="777"/>
      <c r="P311" s="777"/>
      <c r="Q311" s="777"/>
      <c r="R311" s="777"/>
      <c r="S311" s="777"/>
      <c r="T311" s="777"/>
      <c r="U311" s="777"/>
      <c r="V311" s="777"/>
    </row>
    <row r="312" spans="1:22" x14ac:dyDescent="0.25">
      <c r="A312" s="777"/>
      <c r="B312" s="777"/>
      <c r="C312" s="777"/>
      <c r="D312" s="777"/>
      <c r="E312" s="777"/>
      <c r="F312" s="777"/>
      <c r="G312" s="777"/>
      <c r="H312" s="777"/>
      <c r="I312" s="777"/>
      <c r="J312" s="777"/>
      <c r="K312" s="777"/>
      <c r="L312" s="777"/>
      <c r="M312" s="777"/>
      <c r="N312" s="777"/>
      <c r="O312" s="777"/>
      <c r="P312" s="777"/>
      <c r="Q312" s="777"/>
      <c r="R312" s="777"/>
      <c r="S312" s="777"/>
      <c r="T312" s="777"/>
      <c r="U312" s="777"/>
      <c r="V312" s="777"/>
    </row>
    <row r="313" spans="1:22" x14ac:dyDescent="0.25">
      <c r="A313" s="777"/>
      <c r="B313" s="777"/>
      <c r="C313" s="777"/>
      <c r="D313" s="777"/>
      <c r="E313" s="777"/>
      <c r="F313" s="777"/>
      <c r="G313" s="777"/>
      <c r="H313" s="777"/>
      <c r="I313" s="777"/>
      <c r="J313" s="777"/>
      <c r="K313" s="777"/>
      <c r="L313" s="777"/>
      <c r="M313" s="777"/>
      <c r="N313" s="777"/>
      <c r="O313" s="777"/>
      <c r="P313" s="777"/>
      <c r="Q313" s="777"/>
      <c r="R313" s="777"/>
      <c r="S313" s="777"/>
      <c r="T313" s="777"/>
      <c r="U313" s="777"/>
      <c r="V313" s="777"/>
    </row>
    <row r="314" spans="1:22" x14ac:dyDescent="0.25">
      <c r="A314" s="777"/>
      <c r="B314" s="777"/>
      <c r="C314" s="777"/>
      <c r="D314" s="777"/>
      <c r="E314" s="777"/>
      <c r="F314" s="777"/>
      <c r="G314" s="777"/>
      <c r="H314" s="777"/>
      <c r="I314" s="777"/>
      <c r="J314" s="777"/>
      <c r="K314" s="777"/>
      <c r="L314" s="777"/>
      <c r="M314" s="777"/>
      <c r="N314" s="777"/>
      <c r="O314" s="777"/>
      <c r="P314" s="777"/>
      <c r="Q314" s="777"/>
      <c r="R314" s="777"/>
      <c r="S314" s="777"/>
      <c r="T314" s="777"/>
      <c r="U314" s="777"/>
      <c r="V314" s="777"/>
    </row>
    <row r="315" spans="1:22" x14ac:dyDescent="0.25">
      <c r="A315" s="777"/>
      <c r="B315" s="777"/>
      <c r="C315" s="777"/>
      <c r="D315" s="777"/>
      <c r="E315" s="777"/>
      <c r="F315" s="777"/>
      <c r="G315" s="777"/>
      <c r="H315" s="777"/>
      <c r="I315" s="777"/>
      <c r="J315" s="777"/>
      <c r="K315" s="777"/>
      <c r="L315" s="777"/>
      <c r="M315" s="777"/>
      <c r="N315" s="777"/>
      <c r="O315" s="777"/>
      <c r="P315" s="777"/>
      <c r="Q315" s="777"/>
      <c r="R315" s="777"/>
      <c r="S315" s="777"/>
      <c r="T315" s="777"/>
      <c r="U315" s="777"/>
      <c r="V315" s="777"/>
    </row>
    <row r="316" spans="1:22" x14ac:dyDescent="0.25">
      <c r="A316" s="777"/>
      <c r="B316" s="777"/>
      <c r="C316" s="777"/>
      <c r="D316" s="777"/>
      <c r="E316" s="777"/>
      <c r="F316" s="777"/>
      <c r="G316" s="777"/>
      <c r="H316" s="777"/>
      <c r="I316" s="777"/>
      <c r="J316" s="777"/>
      <c r="K316" s="777"/>
      <c r="L316" s="777"/>
      <c r="M316" s="777"/>
      <c r="N316" s="777"/>
      <c r="O316" s="777"/>
      <c r="P316" s="777"/>
      <c r="Q316" s="777"/>
      <c r="R316" s="777"/>
      <c r="S316" s="777"/>
      <c r="T316" s="777"/>
      <c r="U316" s="777"/>
      <c r="V316" s="777"/>
    </row>
    <row r="317" spans="1:22" x14ac:dyDescent="0.25">
      <c r="A317" s="777"/>
      <c r="B317" s="777"/>
      <c r="C317" s="777"/>
      <c r="D317" s="777"/>
      <c r="E317" s="777"/>
      <c r="F317" s="777"/>
      <c r="G317" s="777"/>
      <c r="H317" s="777"/>
      <c r="I317" s="777"/>
      <c r="J317" s="777"/>
      <c r="K317" s="777"/>
      <c r="L317" s="777"/>
      <c r="M317" s="777"/>
      <c r="N317" s="777"/>
      <c r="O317" s="777"/>
      <c r="P317" s="777"/>
      <c r="Q317" s="777"/>
      <c r="R317" s="777"/>
      <c r="S317" s="777"/>
      <c r="T317" s="777"/>
      <c r="U317" s="777"/>
      <c r="V317" s="777"/>
    </row>
    <row r="318" spans="1:22" x14ac:dyDescent="0.25">
      <c r="A318" s="777"/>
      <c r="B318" s="777"/>
      <c r="C318" s="777"/>
      <c r="D318" s="777"/>
      <c r="E318" s="777"/>
      <c r="F318" s="777"/>
      <c r="G318" s="777"/>
      <c r="H318" s="777"/>
      <c r="I318" s="777"/>
      <c r="J318" s="777"/>
      <c r="K318" s="777"/>
      <c r="L318" s="777"/>
      <c r="M318" s="777"/>
      <c r="N318" s="777"/>
      <c r="O318" s="777"/>
      <c r="P318" s="777"/>
      <c r="Q318" s="777"/>
      <c r="R318" s="777"/>
      <c r="S318" s="777"/>
      <c r="T318" s="777"/>
      <c r="U318" s="777"/>
      <c r="V318" s="777"/>
    </row>
    <row r="319" spans="1:22" x14ac:dyDescent="0.25">
      <c r="A319" s="777"/>
      <c r="B319" s="777"/>
      <c r="C319" s="777"/>
      <c r="D319" s="777"/>
      <c r="E319" s="777"/>
      <c r="F319" s="777"/>
      <c r="G319" s="777"/>
      <c r="H319" s="777"/>
      <c r="I319" s="777"/>
      <c r="J319" s="777"/>
      <c r="K319" s="777"/>
      <c r="L319" s="777"/>
      <c r="M319" s="777"/>
      <c r="N319" s="777"/>
      <c r="O319" s="777"/>
      <c r="P319" s="777"/>
      <c r="Q319" s="777"/>
      <c r="R319" s="777"/>
      <c r="S319" s="777"/>
      <c r="T319" s="777"/>
      <c r="U319" s="777"/>
      <c r="V319" s="777"/>
    </row>
    <row r="320" spans="1:22" x14ac:dyDescent="0.25">
      <c r="A320" s="777"/>
      <c r="B320" s="777"/>
      <c r="C320" s="777"/>
      <c r="D320" s="777"/>
      <c r="E320" s="777"/>
      <c r="F320" s="777"/>
      <c r="G320" s="777"/>
      <c r="H320" s="777"/>
      <c r="I320" s="777"/>
      <c r="J320" s="777"/>
      <c r="K320" s="777"/>
      <c r="L320" s="777"/>
      <c r="M320" s="777"/>
      <c r="N320" s="777"/>
      <c r="O320" s="777"/>
      <c r="P320" s="777"/>
      <c r="Q320" s="777"/>
      <c r="R320" s="777"/>
      <c r="S320" s="777"/>
      <c r="T320" s="777"/>
      <c r="U320" s="777"/>
      <c r="V320" s="777"/>
    </row>
    <row r="321" spans="1:22" x14ac:dyDescent="0.25">
      <c r="A321" s="777"/>
      <c r="B321" s="777"/>
      <c r="C321" s="777"/>
      <c r="D321" s="777"/>
      <c r="E321" s="777"/>
      <c r="F321" s="777"/>
      <c r="G321" s="777"/>
      <c r="H321" s="777"/>
      <c r="I321" s="777"/>
      <c r="J321" s="777"/>
      <c r="K321" s="777"/>
      <c r="L321" s="777"/>
      <c r="M321" s="777"/>
      <c r="N321" s="777"/>
      <c r="O321" s="777"/>
      <c r="P321" s="777"/>
      <c r="Q321" s="777"/>
      <c r="R321" s="777"/>
      <c r="S321" s="777"/>
      <c r="T321" s="777"/>
      <c r="U321" s="777"/>
      <c r="V321" s="777"/>
    </row>
    <row r="322" spans="1:22" x14ac:dyDescent="0.25">
      <c r="A322" s="777"/>
      <c r="B322" s="777"/>
      <c r="C322" s="777"/>
      <c r="D322" s="777"/>
      <c r="E322" s="777"/>
      <c r="F322" s="777"/>
      <c r="G322" s="777"/>
      <c r="H322" s="777"/>
      <c r="I322" s="777"/>
      <c r="J322" s="777"/>
      <c r="K322" s="777"/>
      <c r="L322" s="777"/>
      <c r="M322" s="777"/>
      <c r="N322" s="777"/>
      <c r="O322" s="777"/>
      <c r="P322" s="777"/>
      <c r="Q322" s="777"/>
      <c r="R322" s="777"/>
      <c r="S322" s="777"/>
      <c r="T322" s="777"/>
      <c r="U322" s="777"/>
      <c r="V322" s="777"/>
    </row>
    <row r="323" spans="1:22" x14ac:dyDescent="0.25">
      <c r="A323" s="777"/>
      <c r="B323" s="777"/>
      <c r="C323" s="777"/>
      <c r="D323" s="777"/>
      <c r="E323" s="777"/>
      <c r="F323" s="777"/>
      <c r="G323" s="777"/>
      <c r="H323" s="777"/>
      <c r="I323" s="777"/>
      <c r="J323" s="777"/>
      <c r="K323" s="777"/>
      <c r="L323" s="777"/>
      <c r="M323" s="777"/>
      <c r="N323" s="777"/>
      <c r="O323" s="777"/>
      <c r="P323" s="777"/>
      <c r="Q323" s="777"/>
      <c r="R323" s="777"/>
      <c r="S323" s="777"/>
      <c r="T323" s="777"/>
      <c r="U323" s="777"/>
      <c r="V323" s="777"/>
    </row>
    <row r="324" spans="1:22" x14ac:dyDescent="0.25">
      <c r="A324" s="777"/>
      <c r="B324" s="777"/>
      <c r="C324" s="777"/>
      <c r="D324" s="777"/>
      <c r="E324" s="777"/>
      <c r="F324" s="777"/>
      <c r="G324" s="777"/>
      <c r="H324" s="777"/>
      <c r="I324" s="777"/>
      <c r="J324" s="777"/>
      <c r="K324" s="777"/>
      <c r="L324" s="777"/>
      <c r="M324" s="777"/>
      <c r="N324" s="777"/>
      <c r="O324" s="777"/>
      <c r="P324" s="777"/>
      <c r="Q324" s="777"/>
      <c r="R324" s="777"/>
      <c r="S324" s="777"/>
      <c r="T324" s="777"/>
      <c r="U324" s="777"/>
      <c r="V324" s="777"/>
    </row>
    <row r="325" spans="1:22" x14ac:dyDescent="0.25">
      <c r="A325" s="777"/>
      <c r="B325" s="777"/>
      <c r="C325" s="777"/>
      <c r="D325" s="777"/>
      <c r="E325" s="777"/>
      <c r="F325" s="777"/>
      <c r="G325" s="777"/>
      <c r="H325" s="777"/>
      <c r="I325" s="777"/>
      <c r="J325" s="777"/>
      <c r="K325" s="777"/>
      <c r="L325" s="777"/>
      <c r="M325" s="777"/>
      <c r="N325" s="777"/>
      <c r="O325" s="777"/>
      <c r="P325" s="777"/>
      <c r="Q325" s="777"/>
      <c r="R325" s="777"/>
      <c r="S325" s="777"/>
      <c r="T325" s="777"/>
      <c r="U325" s="777"/>
      <c r="V325" s="777"/>
    </row>
    <row r="326" spans="1:22" x14ac:dyDescent="0.25">
      <c r="A326" s="777"/>
      <c r="B326" s="777"/>
      <c r="C326" s="777"/>
      <c r="D326" s="777"/>
      <c r="E326" s="777"/>
      <c r="F326" s="777"/>
      <c r="G326" s="777"/>
      <c r="H326" s="777"/>
      <c r="I326" s="777"/>
      <c r="J326" s="777"/>
      <c r="K326" s="777"/>
      <c r="L326" s="777"/>
      <c r="M326" s="777"/>
      <c r="N326" s="777"/>
      <c r="O326" s="777"/>
      <c r="P326" s="777"/>
      <c r="Q326" s="777"/>
      <c r="R326" s="777"/>
      <c r="S326" s="777"/>
      <c r="T326" s="777"/>
      <c r="U326" s="777"/>
      <c r="V326" s="777"/>
    </row>
    <row r="327" spans="1:22" x14ac:dyDescent="0.25">
      <c r="A327" s="777"/>
      <c r="B327" s="777"/>
      <c r="C327" s="777"/>
      <c r="D327" s="777"/>
      <c r="E327" s="777"/>
      <c r="F327" s="777"/>
      <c r="G327" s="777"/>
      <c r="H327" s="777"/>
      <c r="I327" s="777"/>
      <c r="J327" s="777"/>
      <c r="K327" s="777"/>
      <c r="L327" s="777"/>
      <c r="M327" s="777"/>
      <c r="N327" s="777"/>
      <c r="O327" s="777"/>
      <c r="P327" s="777"/>
      <c r="Q327" s="777"/>
      <c r="R327" s="777"/>
      <c r="S327" s="777"/>
      <c r="T327" s="777"/>
      <c r="U327" s="777"/>
      <c r="V327" s="777"/>
    </row>
    <row r="328" spans="1:22" x14ac:dyDescent="0.25">
      <c r="A328" s="777"/>
      <c r="B328" s="777"/>
      <c r="C328" s="777"/>
      <c r="D328" s="777"/>
      <c r="E328" s="777"/>
      <c r="F328" s="777"/>
      <c r="G328" s="777"/>
      <c r="H328" s="777"/>
      <c r="I328" s="777"/>
      <c r="J328" s="777"/>
      <c r="K328" s="777"/>
      <c r="L328" s="777"/>
      <c r="M328" s="777"/>
      <c r="N328" s="777"/>
      <c r="O328" s="777"/>
      <c r="P328" s="777"/>
      <c r="Q328" s="777"/>
      <c r="R328" s="777"/>
      <c r="S328" s="777"/>
      <c r="T328" s="777"/>
      <c r="U328" s="777"/>
      <c r="V328" s="777"/>
    </row>
    <row r="329" spans="1:22" x14ac:dyDescent="0.25">
      <c r="A329" s="777"/>
      <c r="B329" s="777"/>
      <c r="C329" s="777"/>
      <c r="D329" s="777"/>
      <c r="E329" s="777"/>
      <c r="F329" s="777"/>
      <c r="G329" s="777"/>
      <c r="H329" s="777"/>
      <c r="I329" s="777"/>
      <c r="J329" s="777"/>
      <c r="K329" s="777"/>
      <c r="L329" s="777"/>
      <c r="M329" s="777"/>
      <c r="N329" s="777"/>
      <c r="O329" s="777"/>
      <c r="P329" s="777"/>
      <c r="Q329" s="777"/>
      <c r="R329" s="777"/>
      <c r="S329" s="777"/>
      <c r="T329" s="777"/>
      <c r="U329" s="777"/>
      <c r="V329" s="777"/>
    </row>
    <row r="330" spans="1:22" x14ac:dyDescent="0.25">
      <c r="A330" s="777"/>
      <c r="B330" s="777"/>
      <c r="C330" s="777"/>
      <c r="D330" s="777"/>
      <c r="E330" s="777"/>
      <c r="F330" s="777"/>
      <c r="G330" s="777"/>
      <c r="H330" s="777"/>
      <c r="I330" s="777"/>
      <c r="J330" s="777"/>
      <c r="K330" s="777"/>
      <c r="L330" s="777"/>
      <c r="M330" s="777"/>
      <c r="N330" s="777"/>
      <c r="O330" s="777"/>
      <c r="P330" s="777"/>
      <c r="Q330" s="777"/>
      <c r="R330" s="777"/>
      <c r="S330" s="777"/>
      <c r="T330" s="777"/>
      <c r="U330" s="777"/>
      <c r="V330" s="777"/>
    </row>
    <row r="331" spans="1:22" x14ac:dyDescent="0.25">
      <c r="A331" s="777"/>
      <c r="B331" s="777"/>
      <c r="C331" s="777"/>
      <c r="D331" s="777"/>
      <c r="E331" s="777"/>
      <c r="F331" s="777"/>
      <c r="G331" s="777"/>
      <c r="H331" s="777"/>
      <c r="I331" s="777"/>
      <c r="J331" s="777"/>
      <c r="K331" s="777"/>
      <c r="L331" s="777"/>
      <c r="M331" s="777"/>
      <c r="N331" s="777"/>
      <c r="O331" s="777"/>
      <c r="P331" s="777"/>
      <c r="Q331" s="777"/>
      <c r="R331" s="777"/>
      <c r="S331" s="777"/>
      <c r="T331" s="777"/>
      <c r="U331" s="777"/>
      <c r="V331" s="777"/>
    </row>
    <row r="332" spans="1:22" x14ac:dyDescent="0.25">
      <c r="A332" s="777"/>
      <c r="B332" s="777"/>
      <c r="C332" s="777"/>
      <c r="D332" s="777"/>
      <c r="E332" s="777"/>
      <c r="F332" s="777"/>
      <c r="G332" s="777"/>
      <c r="H332" s="777"/>
      <c r="I332" s="777"/>
      <c r="J332" s="777"/>
      <c r="K332" s="777"/>
      <c r="L332" s="777"/>
      <c r="M332" s="777"/>
      <c r="N332" s="777"/>
      <c r="O332" s="777"/>
      <c r="P332" s="777"/>
      <c r="Q332" s="777"/>
      <c r="R332" s="777"/>
      <c r="S332" s="777"/>
      <c r="T332" s="777"/>
      <c r="U332" s="777"/>
      <c r="V332" s="777"/>
    </row>
    <row r="333" spans="1:22" x14ac:dyDescent="0.25">
      <c r="A333" s="777"/>
      <c r="B333" s="777"/>
      <c r="C333" s="777"/>
      <c r="D333" s="777"/>
      <c r="E333" s="777"/>
      <c r="F333" s="777"/>
      <c r="G333" s="777"/>
      <c r="H333" s="777"/>
      <c r="I333" s="777"/>
      <c r="J333" s="777"/>
      <c r="K333" s="777"/>
      <c r="L333" s="777"/>
      <c r="M333" s="777"/>
      <c r="N333" s="777"/>
      <c r="O333" s="777"/>
      <c r="P333" s="777"/>
      <c r="Q333" s="777"/>
      <c r="R333" s="777"/>
      <c r="S333" s="777"/>
      <c r="T333" s="777"/>
      <c r="U333" s="777"/>
      <c r="V333" s="777"/>
    </row>
    <row r="334" spans="1:22" x14ac:dyDescent="0.25">
      <c r="A334" s="777"/>
      <c r="B334" s="777"/>
      <c r="C334" s="777"/>
      <c r="D334" s="777"/>
      <c r="E334" s="777"/>
      <c r="F334" s="777"/>
      <c r="G334" s="777"/>
      <c r="H334" s="777"/>
      <c r="I334" s="777"/>
      <c r="J334" s="777"/>
      <c r="K334" s="777"/>
      <c r="L334" s="777"/>
      <c r="M334" s="777"/>
      <c r="N334" s="777"/>
      <c r="O334" s="777"/>
      <c r="P334" s="777"/>
      <c r="Q334" s="777"/>
      <c r="R334" s="777"/>
      <c r="S334" s="777"/>
      <c r="T334" s="777"/>
      <c r="U334" s="777"/>
      <c r="V334" s="777"/>
    </row>
    <row r="335" spans="1:22" x14ac:dyDescent="0.25">
      <c r="A335" s="777"/>
      <c r="B335" s="777"/>
      <c r="C335" s="777"/>
      <c r="D335" s="777"/>
      <c r="E335" s="777"/>
      <c r="F335" s="777"/>
      <c r="G335" s="777"/>
      <c r="H335" s="777"/>
      <c r="I335" s="777"/>
      <c r="J335" s="777"/>
      <c r="K335" s="777"/>
      <c r="L335" s="777"/>
      <c r="M335" s="777"/>
      <c r="N335" s="777"/>
      <c r="O335" s="777"/>
      <c r="P335" s="777"/>
      <c r="Q335" s="777"/>
      <c r="R335" s="777"/>
      <c r="S335" s="777"/>
      <c r="T335" s="777"/>
      <c r="U335" s="777"/>
      <c r="V335" s="777"/>
    </row>
    <row r="336" spans="1:22" x14ac:dyDescent="0.25">
      <c r="A336" s="777"/>
      <c r="B336" s="777"/>
      <c r="C336" s="777"/>
      <c r="D336" s="777"/>
      <c r="E336" s="777"/>
      <c r="F336" s="777"/>
      <c r="G336" s="777"/>
      <c r="H336" s="777"/>
      <c r="I336" s="777"/>
      <c r="J336" s="777"/>
      <c r="K336" s="777"/>
      <c r="L336" s="777"/>
      <c r="M336" s="777"/>
      <c r="N336" s="777"/>
      <c r="O336" s="777"/>
      <c r="P336" s="777"/>
      <c r="Q336" s="777"/>
      <c r="R336" s="777"/>
      <c r="S336" s="777"/>
      <c r="T336" s="777"/>
      <c r="U336" s="777"/>
      <c r="V336" s="777"/>
    </row>
    <row r="337" spans="1:22" x14ac:dyDescent="0.25">
      <c r="A337" s="777"/>
      <c r="B337" s="777"/>
      <c r="C337" s="777"/>
      <c r="D337" s="777"/>
      <c r="E337" s="777"/>
      <c r="F337" s="777"/>
      <c r="G337" s="777"/>
      <c r="H337" s="777"/>
      <c r="I337" s="777"/>
      <c r="J337" s="777"/>
      <c r="K337" s="777"/>
      <c r="L337" s="777"/>
      <c r="M337" s="777"/>
      <c r="N337" s="777"/>
      <c r="O337" s="777"/>
      <c r="P337" s="777"/>
      <c r="Q337" s="777"/>
      <c r="R337" s="777"/>
      <c r="S337" s="777"/>
      <c r="T337" s="777"/>
      <c r="U337" s="777"/>
      <c r="V337" s="777"/>
    </row>
    <row r="338" spans="1:22" x14ac:dyDescent="0.25">
      <c r="A338" s="777"/>
      <c r="B338" s="777"/>
      <c r="C338" s="777"/>
      <c r="D338" s="777"/>
      <c r="E338" s="777"/>
      <c r="F338" s="777"/>
      <c r="G338" s="777"/>
      <c r="H338" s="777"/>
      <c r="I338" s="777"/>
      <c r="J338" s="777"/>
      <c r="K338" s="777"/>
      <c r="L338" s="777"/>
      <c r="M338" s="777"/>
      <c r="N338" s="777"/>
      <c r="O338" s="777"/>
      <c r="P338" s="777"/>
      <c r="Q338" s="777"/>
      <c r="R338" s="777"/>
      <c r="S338" s="777"/>
      <c r="T338" s="777"/>
      <c r="U338" s="777"/>
      <c r="V338" s="777"/>
    </row>
    <row r="339" spans="1:22" x14ac:dyDescent="0.25">
      <c r="A339" s="777"/>
      <c r="B339" s="777"/>
      <c r="C339" s="777"/>
      <c r="D339" s="777"/>
      <c r="E339" s="777"/>
      <c r="F339" s="777"/>
      <c r="G339" s="777"/>
      <c r="H339" s="777"/>
      <c r="I339" s="777"/>
      <c r="J339" s="777"/>
      <c r="K339" s="777"/>
      <c r="L339" s="777"/>
      <c r="M339" s="777"/>
      <c r="N339" s="777"/>
      <c r="O339" s="777"/>
      <c r="P339" s="777"/>
      <c r="Q339" s="777"/>
      <c r="R339" s="777"/>
      <c r="S339" s="777"/>
      <c r="T339" s="777"/>
      <c r="U339" s="777"/>
      <c r="V339" s="777"/>
    </row>
    <row r="340" spans="1:22" x14ac:dyDescent="0.25">
      <c r="A340" s="777"/>
      <c r="B340" s="777"/>
      <c r="C340" s="777"/>
      <c r="D340" s="777"/>
      <c r="E340" s="777"/>
      <c r="F340" s="777"/>
      <c r="G340" s="777"/>
      <c r="H340" s="777"/>
      <c r="I340" s="777"/>
      <c r="J340" s="777"/>
      <c r="K340" s="777"/>
      <c r="L340" s="777"/>
      <c r="M340" s="777"/>
      <c r="N340" s="777"/>
      <c r="O340" s="777"/>
      <c r="P340" s="777"/>
      <c r="Q340" s="777"/>
      <c r="R340" s="777"/>
      <c r="S340" s="777"/>
      <c r="T340" s="777"/>
      <c r="U340" s="777"/>
      <c r="V340" s="777"/>
    </row>
    <row r="341" spans="1:22" x14ac:dyDescent="0.25">
      <c r="A341" s="777"/>
      <c r="B341" s="777"/>
      <c r="C341" s="777"/>
      <c r="D341" s="777"/>
      <c r="E341" s="777"/>
      <c r="F341" s="777"/>
      <c r="G341" s="777"/>
      <c r="H341" s="777"/>
      <c r="I341" s="777"/>
      <c r="J341" s="777"/>
      <c r="K341" s="777"/>
      <c r="L341" s="777"/>
      <c r="M341" s="777"/>
      <c r="N341" s="777"/>
      <c r="O341" s="777"/>
      <c r="P341" s="777"/>
      <c r="Q341" s="777"/>
      <c r="R341" s="777"/>
      <c r="S341" s="777"/>
      <c r="T341" s="777"/>
      <c r="U341" s="777"/>
      <c r="V341" s="777"/>
    </row>
    <row r="342" spans="1:22" x14ac:dyDescent="0.25">
      <c r="A342" s="777"/>
      <c r="B342" s="777"/>
      <c r="C342" s="777"/>
      <c r="D342" s="777"/>
      <c r="E342" s="777"/>
      <c r="F342" s="777"/>
      <c r="G342" s="777"/>
      <c r="H342" s="777"/>
      <c r="I342" s="777"/>
      <c r="J342" s="777"/>
      <c r="K342" s="777"/>
      <c r="L342" s="777"/>
      <c r="M342" s="777"/>
      <c r="N342" s="777"/>
      <c r="O342" s="777"/>
      <c r="P342" s="777"/>
      <c r="Q342" s="777"/>
      <c r="R342" s="777"/>
      <c r="S342" s="777"/>
      <c r="T342" s="777"/>
      <c r="U342" s="777"/>
      <c r="V342" s="777"/>
    </row>
    <row r="343" spans="1:22" x14ac:dyDescent="0.25">
      <c r="A343" s="777"/>
      <c r="B343" s="777"/>
      <c r="C343" s="777"/>
      <c r="D343" s="777"/>
      <c r="E343" s="777"/>
      <c r="F343" s="777"/>
      <c r="G343" s="777"/>
      <c r="H343" s="777"/>
      <c r="I343" s="777"/>
      <c r="J343" s="777"/>
      <c r="K343" s="777"/>
      <c r="L343" s="777"/>
      <c r="M343" s="777"/>
      <c r="N343" s="777"/>
      <c r="O343" s="777"/>
      <c r="P343" s="777"/>
      <c r="Q343" s="777"/>
      <c r="R343" s="777"/>
      <c r="S343" s="777"/>
      <c r="T343" s="777"/>
      <c r="U343" s="777"/>
      <c r="V343" s="777"/>
    </row>
    <row r="344" spans="1:22" x14ac:dyDescent="0.25">
      <c r="A344" s="777"/>
      <c r="B344" s="777"/>
      <c r="C344" s="777"/>
      <c r="D344" s="777"/>
      <c r="E344" s="777"/>
      <c r="F344" s="777"/>
      <c r="G344" s="777"/>
      <c r="H344" s="777"/>
      <c r="I344" s="777"/>
      <c r="J344" s="777"/>
      <c r="K344" s="777"/>
      <c r="L344" s="777"/>
      <c r="M344" s="777"/>
      <c r="N344" s="777"/>
      <c r="O344" s="777"/>
      <c r="P344" s="777"/>
      <c r="Q344" s="777"/>
      <c r="R344" s="777"/>
      <c r="S344" s="777"/>
      <c r="T344" s="777"/>
      <c r="U344" s="777"/>
      <c r="V344" s="777"/>
    </row>
    <row r="345" spans="1:22" x14ac:dyDescent="0.25">
      <c r="A345" s="777"/>
      <c r="B345" s="777"/>
      <c r="C345" s="777"/>
      <c r="D345" s="777"/>
      <c r="E345" s="777"/>
      <c r="F345" s="777"/>
      <c r="G345" s="777"/>
      <c r="H345" s="777"/>
      <c r="I345" s="777"/>
      <c r="J345" s="777"/>
      <c r="K345" s="777"/>
      <c r="L345" s="777"/>
      <c r="M345" s="777"/>
      <c r="N345" s="777"/>
      <c r="O345" s="777"/>
      <c r="P345" s="777"/>
      <c r="Q345" s="777"/>
      <c r="R345" s="777"/>
      <c r="S345" s="777"/>
      <c r="T345" s="777"/>
      <c r="U345" s="777"/>
      <c r="V345" s="777"/>
    </row>
    <row r="346" spans="1:22" x14ac:dyDescent="0.25">
      <c r="A346" s="777"/>
      <c r="B346" s="777"/>
      <c r="C346" s="777"/>
      <c r="D346" s="777"/>
      <c r="E346" s="777"/>
      <c r="F346" s="777"/>
      <c r="G346" s="777"/>
      <c r="H346" s="777"/>
      <c r="I346" s="777"/>
      <c r="J346" s="777"/>
      <c r="K346" s="777"/>
      <c r="L346" s="777"/>
      <c r="M346" s="777"/>
      <c r="N346" s="777"/>
      <c r="O346" s="777"/>
      <c r="P346" s="777"/>
      <c r="Q346" s="777"/>
      <c r="R346" s="777"/>
      <c r="S346" s="777"/>
      <c r="T346" s="777"/>
      <c r="U346" s="777"/>
      <c r="V346" s="777"/>
    </row>
    <row r="347" spans="1:22" x14ac:dyDescent="0.25">
      <c r="A347" s="777"/>
      <c r="B347" s="777"/>
      <c r="C347" s="777"/>
      <c r="D347" s="777"/>
      <c r="E347" s="777"/>
      <c r="F347" s="777"/>
      <c r="G347" s="777"/>
      <c r="H347" s="777"/>
      <c r="I347" s="777"/>
      <c r="J347" s="777"/>
      <c r="K347" s="777"/>
      <c r="L347" s="777"/>
      <c r="M347" s="777"/>
      <c r="N347" s="777"/>
      <c r="O347" s="777"/>
      <c r="P347" s="777"/>
      <c r="Q347" s="777"/>
      <c r="R347" s="777"/>
      <c r="S347" s="777"/>
      <c r="T347" s="777"/>
      <c r="U347" s="777"/>
      <c r="V347" s="777"/>
    </row>
    <row r="348" spans="1:22" x14ac:dyDescent="0.25">
      <c r="A348" s="777"/>
      <c r="B348" s="777"/>
      <c r="C348" s="777"/>
      <c r="D348" s="777"/>
      <c r="E348" s="777"/>
      <c r="F348" s="777"/>
      <c r="G348" s="777"/>
      <c r="H348" s="777"/>
      <c r="I348" s="777"/>
      <c r="J348" s="777"/>
      <c r="K348" s="777"/>
      <c r="L348" s="777"/>
      <c r="M348" s="777"/>
      <c r="N348" s="777"/>
      <c r="O348" s="777"/>
      <c r="P348" s="777"/>
      <c r="Q348" s="777"/>
      <c r="R348" s="777"/>
      <c r="S348" s="777"/>
      <c r="T348" s="777"/>
      <c r="U348" s="777"/>
      <c r="V348" s="777"/>
    </row>
    <row r="349" spans="1:22" x14ac:dyDescent="0.25">
      <c r="A349" s="777"/>
      <c r="B349" s="777"/>
      <c r="C349" s="777"/>
      <c r="D349" s="777"/>
      <c r="E349" s="777"/>
      <c r="F349" s="777"/>
      <c r="G349" s="777"/>
      <c r="H349" s="777"/>
      <c r="I349" s="777"/>
      <c r="J349" s="777"/>
      <c r="K349" s="777"/>
      <c r="L349" s="777"/>
      <c r="M349" s="777"/>
      <c r="N349" s="777"/>
      <c r="O349" s="777"/>
      <c r="P349" s="777"/>
      <c r="Q349" s="777"/>
      <c r="R349" s="777"/>
      <c r="S349" s="777"/>
      <c r="T349" s="777"/>
      <c r="U349" s="777"/>
      <c r="V349" s="777"/>
    </row>
    <row r="350" spans="1:22" x14ac:dyDescent="0.25">
      <c r="A350" s="777"/>
      <c r="B350" s="777"/>
      <c r="C350" s="777"/>
      <c r="D350" s="777"/>
      <c r="E350" s="777"/>
      <c r="F350" s="777"/>
      <c r="G350" s="777"/>
      <c r="H350" s="777"/>
      <c r="I350" s="777"/>
      <c r="J350" s="777"/>
      <c r="K350" s="777"/>
      <c r="L350" s="777"/>
      <c r="M350" s="777"/>
      <c r="N350" s="777"/>
      <c r="O350" s="777"/>
      <c r="P350" s="777"/>
      <c r="Q350" s="777"/>
      <c r="R350" s="777"/>
      <c r="S350" s="777"/>
      <c r="T350" s="777"/>
      <c r="U350" s="777"/>
      <c r="V350" s="777"/>
    </row>
    <row r="351" spans="1:22" x14ac:dyDescent="0.25">
      <c r="A351" s="777"/>
      <c r="B351" s="777"/>
      <c r="C351" s="777"/>
      <c r="D351" s="777"/>
      <c r="E351" s="777"/>
      <c r="F351" s="777"/>
      <c r="G351" s="777"/>
      <c r="H351" s="777"/>
      <c r="I351" s="777"/>
      <c r="J351" s="777"/>
      <c r="K351" s="777"/>
      <c r="L351" s="777"/>
      <c r="M351" s="777"/>
      <c r="N351" s="777"/>
      <c r="O351" s="777"/>
      <c r="P351" s="777"/>
      <c r="Q351" s="777"/>
      <c r="R351" s="777"/>
      <c r="S351" s="777"/>
      <c r="T351" s="777"/>
      <c r="U351" s="777"/>
      <c r="V351" s="777"/>
    </row>
    <row r="352" spans="1:22" x14ac:dyDescent="0.25">
      <c r="A352" s="777"/>
      <c r="B352" s="777"/>
      <c r="C352" s="777"/>
      <c r="D352" s="777"/>
      <c r="E352" s="777"/>
      <c r="F352" s="777"/>
      <c r="G352" s="777"/>
      <c r="H352" s="777"/>
      <c r="I352" s="777"/>
      <c r="J352" s="777"/>
      <c r="K352" s="777"/>
      <c r="L352" s="777"/>
      <c r="M352" s="777"/>
      <c r="N352" s="777"/>
      <c r="O352" s="777"/>
      <c r="P352" s="777"/>
      <c r="Q352" s="777"/>
      <c r="R352" s="777"/>
      <c r="S352" s="777"/>
      <c r="T352" s="777"/>
      <c r="U352" s="777"/>
      <c r="V352" s="777"/>
    </row>
    <row r="353" spans="1:22" x14ac:dyDescent="0.25">
      <c r="A353" s="777"/>
      <c r="B353" s="777"/>
      <c r="C353" s="777"/>
      <c r="D353" s="777"/>
      <c r="E353" s="777"/>
      <c r="F353" s="777"/>
      <c r="G353" s="777"/>
      <c r="H353" s="777"/>
      <c r="I353" s="777"/>
      <c r="J353" s="777"/>
      <c r="K353" s="777"/>
      <c r="L353" s="777"/>
      <c r="M353" s="777"/>
      <c r="N353" s="777"/>
      <c r="O353" s="777"/>
      <c r="P353" s="777"/>
      <c r="Q353" s="777"/>
      <c r="R353" s="777"/>
      <c r="S353" s="777"/>
      <c r="T353" s="777"/>
      <c r="U353" s="777"/>
      <c r="V353" s="777"/>
    </row>
    <row r="354" spans="1:22" x14ac:dyDescent="0.25">
      <c r="A354" s="777"/>
      <c r="B354" s="777"/>
      <c r="C354" s="777"/>
      <c r="D354" s="777"/>
      <c r="E354" s="777"/>
      <c r="F354" s="777"/>
      <c r="G354" s="777"/>
      <c r="H354" s="777"/>
      <c r="I354" s="777"/>
      <c r="J354" s="777"/>
      <c r="K354" s="777"/>
      <c r="L354" s="777"/>
      <c r="M354" s="777"/>
      <c r="N354" s="777"/>
      <c r="O354" s="777"/>
      <c r="P354" s="777"/>
      <c r="Q354" s="777"/>
      <c r="R354" s="777"/>
      <c r="S354" s="777"/>
      <c r="T354" s="777"/>
      <c r="U354" s="777"/>
      <c r="V354" s="777"/>
    </row>
    <row r="355" spans="1:22" x14ac:dyDescent="0.25">
      <c r="A355" s="777"/>
      <c r="B355" s="777"/>
      <c r="C355" s="777"/>
      <c r="D355" s="777"/>
      <c r="E355" s="777"/>
      <c r="F355" s="777"/>
      <c r="G355" s="777"/>
      <c r="H355" s="777"/>
      <c r="I355" s="777"/>
      <c r="J355" s="777"/>
      <c r="K355" s="777"/>
      <c r="L355" s="777"/>
      <c r="M355" s="777"/>
      <c r="N355" s="777"/>
      <c r="O355" s="777"/>
      <c r="P355" s="777"/>
      <c r="Q355" s="777"/>
      <c r="R355" s="777"/>
      <c r="S355" s="777"/>
      <c r="T355" s="777"/>
      <c r="U355" s="777"/>
      <c r="V355" s="777"/>
    </row>
    <row r="356" spans="1:22" x14ac:dyDescent="0.25">
      <c r="A356" s="777"/>
      <c r="B356" s="777"/>
      <c r="C356" s="777"/>
      <c r="D356" s="777"/>
      <c r="E356" s="777"/>
      <c r="F356" s="777"/>
      <c r="G356" s="777"/>
      <c r="H356" s="777"/>
      <c r="I356" s="777"/>
      <c r="J356" s="777"/>
      <c r="K356" s="777"/>
      <c r="L356" s="777"/>
      <c r="M356" s="777"/>
      <c r="N356" s="777"/>
      <c r="O356" s="777"/>
      <c r="P356" s="777"/>
      <c r="Q356" s="777"/>
      <c r="R356" s="777"/>
      <c r="S356" s="777"/>
      <c r="T356" s="777"/>
      <c r="U356" s="777"/>
      <c r="V356" s="777"/>
    </row>
    <row r="357" spans="1:22" x14ac:dyDescent="0.25">
      <c r="A357" s="777"/>
      <c r="B357" s="777"/>
      <c r="C357" s="777"/>
      <c r="D357" s="777"/>
      <c r="E357" s="777"/>
      <c r="F357" s="777"/>
      <c r="G357" s="777"/>
      <c r="H357" s="777"/>
      <c r="I357" s="777"/>
      <c r="J357" s="777"/>
      <c r="K357" s="777"/>
      <c r="L357" s="777"/>
      <c r="M357" s="777"/>
      <c r="N357" s="777"/>
      <c r="O357" s="777"/>
      <c r="P357" s="777"/>
      <c r="Q357" s="777"/>
      <c r="R357" s="777"/>
      <c r="S357" s="777"/>
      <c r="T357" s="777"/>
      <c r="U357" s="777"/>
      <c r="V357" s="777"/>
    </row>
    <row r="358" spans="1:22" x14ac:dyDescent="0.25">
      <c r="A358" s="777"/>
      <c r="B358" s="777"/>
      <c r="C358" s="777"/>
      <c r="D358" s="777"/>
      <c r="E358" s="777"/>
      <c r="F358" s="777"/>
      <c r="G358" s="777"/>
      <c r="H358" s="777"/>
      <c r="I358" s="777"/>
      <c r="J358" s="777"/>
      <c r="K358" s="777"/>
      <c r="L358" s="777"/>
      <c r="M358" s="777"/>
      <c r="N358" s="777"/>
      <c r="O358" s="777"/>
      <c r="P358" s="777"/>
      <c r="Q358" s="777"/>
      <c r="R358" s="777"/>
      <c r="S358" s="777"/>
      <c r="T358" s="777"/>
      <c r="U358" s="777"/>
      <c r="V358" s="777"/>
    </row>
    <row r="359" spans="1:22" x14ac:dyDescent="0.25">
      <c r="A359" s="777"/>
      <c r="B359" s="777"/>
      <c r="C359" s="777"/>
      <c r="D359" s="777"/>
      <c r="E359" s="777"/>
      <c r="F359" s="777"/>
      <c r="G359" s="777"/>
      <c r="H359" s="777"/>
      <c r="I359" s="777"/>
      <c r="J359" s="777"/>
      <c r="K359" s="777"/>
      <c r="L359" s="777"/>
      <c r="M359" s="777"/>
      <c r="N359" s="777"/>
      <c r="O359" s="777"/>
      <c r="P359" s="777"/>
      <c r="Q359" s="777"/>
      <c r="R359" s="777"/>
      <c r="S359" s="777"/>
      <c r="T359" s="777"/>
      <c r="U359" s="777"/>
      <c r="V359" s="777"/>
    </row>
    <row r="360" spans="1:22" x14ac:dyDescent="0.25">
      <c r="A360" s="777"/>
      <c r="B360" s="777"/>
      <c r="C360" s="777"/>
      <c r="D360" s="777"/>
      <c r="E360" s="777"/>
      <c r="F360" s="777"/>
      <c r="G360" s="777"/>
      <c r="H360" s="777"/>
      <c r="I360" s="777"/>
      <c r="J360" s="777"/>
      <c r="K360" s="777"/>
      <c r="L360" s="777"/>
      <c r="M360" s="777"/>
      <c r="N360" s="777"/>
      <c r="O360" s="777"/>
      <c r="P360" s="777"/>
      <c r="Q360" s="777"/>
      <c r="R360" s="777"/>
      <c r="S360" s="777"/>
      <c r="T360" s="777"/>
      <c r="U360" s="777"/>
      <c r="V360" s="777"/>
    </row>
    <row r="361" spans="1:22" x14ac:dyDescent="0.25">
      <c r="A361" s="777"/>
      <c r="B361" s="777"/>
      <c r="C361" s="777"/>
      <c r="D361" s="777"/>
      <c r="E361" s="777"/>
      <c r="F361" s="777"/>
      <c r="G361" s="777"/>
      <c r="H361" s="777"/>
      <c r="I361" s="777"/>
      <c r="J361" s="777"/>
      <c r="K361" s="777"/>
      <c r="L361" s="777"/>
      <c r="M361" s="777"/>
      <c r="N361" s="777"/>
      <c r="O361" s="777"/>
      <c r="P361" s="777"/>
      <c r="Q361" s="777"/>
      <c r="R361" s="777"/>
      <c r="S361" s="777"/>
      <c r="T361" s="777"/>
      <c r="U361" s="777"/>
      <c r="V361" s="777"/>
    </row>
    <row r="362" spans="1:22" x14ac:dyDescent="0.25">
      <c r="A362" s="777"/>
      <c r="B362" s="777"/>
      <c r="C362" s="777"/>
      <c r="D362" s="777"/>
      <c r="E362" s="777"/>
      <c r="F362" s="777"/>
      <c r="G362" s="777"/>
      <c r="H362" s="777"/>
      <c r="I362" s="777"/>
      <c r="J362" s="777"/>
      <c r="K362" s="777"/>
      <c r="L362" s="777"/>
      <c r="M362" s="777"/>
      <c r="N362" s="777"/>
      <c r="O362" s="777"/>
      <c r="P362" s="777"/>
      <c r="Q362" s="777"/>
      <c r="R362" s="777"/>
      <c r="S362" s="777"/>
      <c r="T362" s="777"/>
      <c r="U362" s="777"/>
      <c r="V362" s="777"/>
    </row>
    <row r="363" spans="1:22" x14ac:dyDescent="0.25">
      <c r="A363" s="777"/>
      <c r="B363" s="777"/>
      <c r="C363" s="777"/>
      <c r="D363" s="777"/>
      <c r="E363" s="777"/>
      <c r="F363" s="777"/>
      <c r="G363" s="777"/>
      <c r="H363" s="777"/>
      <c r="I363" s="777"/>
      <c r="J363" s="777"/>
      <c r="K363" s="777"/>
      <c r="L363" s="777"/>
      <c r="M363" s="777"/>
      <c r="N363" s="777"/>
      <c r="O363" s="777"/>
      <c r="P363" s="777"/>
      <c r="Q363" s="777"/>
      <c r="R363" s="777"/>
      <c r="S363" s="777"/>
      <c r="T363" s="777"/>
      <c r="U363" s="777"/>
      <c r="V363" s="777"/>
    </row>
    <row r="364" spans="1:22" x14ac:dyDescent="0.25">
      <c r="A364" s="777"/>
      <c r="B364" s="777"/>
      <c r="C364" s="777"/>
      <c r="D364" s="777"/>
      <c r="E364" s="777"/>
      <c r="F364" s="777"/>
      <c r="G364" s="777"/>
      <c r="H364" s="777"/>
      <c r="I364" s="777"/>
      <c r="J364" s="777"/>
      <c r="K364" s="777"/>
      <c r="L364" s="777"/>
      <c r="M364" s="777"/>
      <c r="N364" s="777"/>
      <c r="O364" s="777"/>
      <c r="P364" s="777"/>
      <c r="Q364" s="777"/>
      <c r="R364" s="777"/>
      <c r="S364" s="777"/>
      <c r="T364" s="777"/>
      <c r="U364" s="777"/>
      <c r="V364" s="777"/>
    </row>
    <row r="365" spans="1:22" x14ac:dyDescent="0.25">
      <c r="A365" s="777"/>
      <c r="B365" s="777"/>
      <c r="C365" s="777"/>
      <c r="D365" s="777"/>
      <c r="E365" s="777"/>
      <c r="F365" s="777"/>
      <c r="G365" s="777"/>
      <c r="H365" s="777"/>
      <c r="I365" s="777"/>
      <c r="J365" s="777"/>
      <c r="K365" s="777"/>
      <c r="L365" s="777"/>
      <c r="M365" s="777"/>
      <c r="N365" s="777"/>
      <c r="O365" s="777"/>
      <c r="P365" s="777"/>
      <c r="Q365" s="777"/>
      <c r="R365" s="777"/>
      <c r="S365" s="777"/>
      <c r="T365" s="777"/>
      <c r="U365" s="777"/>
      <c r="V365" s="777"/>
    </row>
    <row r="366" spans="1:22" x14ac:dyDescent="0.25">
      <c r="A366" s="777"/>
      <c r="B366" s="777"/>
      <c r="C366" s="777"/>
      <c r="D366" s="777"/>
      <c r="E366" s="777"/>
      <c r="F366" s="777"/>
      <c r="G366" s="777"/>
      <c r="H366" s="777"/>
      <c r="I366" s="777"/>
      <c r="J366" s="777"/>
      <c r="K366" s="777"/>
      <c r="L366" s="777"/>
      <c r="M366" s="777"/>
      <c r="N366" s="777"/>
      <c r="O366" s="777"/>
      <c r="P366" s="777"/>
      <c r="Q366" s="777"/>
      <c r="R366" s="777"/>
      <c r="S366" s="777"/>
      <c r="T366" s="777"/>
      <c r="U366" s="777"/>
      <c r="V366" s="777"/>
    </row>
    <row r="367" spans="1:22" x14ac:dyDescent="0.25">
      <c r="A367" s="777"/>
      <c r="B367" s="777"/>
      <c r="C367" s="777"/>
      <c r="D367" s="777"/>
      <c r="E367" s="777"/>
      <c r="F367" s="777"/>
      <c r="G367" s="777"/>
      <c r="H367" s="777"/>
      <c r="I367" s="777"/>
      <c r="J367" s="777"/>
      <c r="K367" s="777"/>
      <c r="L367" s="777"/>
      <c r="M367" s="777"/>
      <c r="N367" s="777"/>
      <c r="O367" s="777"/>
      <c r="P367" s="777"/>
      <c r="Q367" s="777"/>
      <c r="R367" s="777"/>
      <c r="S367" s="777"/>
      <c r="T367" s="777"/>
      <c r="U367" s="777"/>
      <c r="V367" s="777"/>
    </row>
    <row r="368" spans="1:22" x14ac:dyDescent="0.25">
      <c r="A368" s="777"/>
      <c r="B368" s="777"/>
      <c r="C368" s="777"/>
      <c r="D368" s="777"/>
      <c r="E368" s="777"/>
      <c r="F368" s="777"/>
      <c r="G368" s="777"/>
      <c r="H368" s="777"/>
      <c r="I368" s="777"/>
      <c r="J368" s="777"/>
      <c r="K368" s="777"/>
      <c r="L368" s="777"/>
      <c r="M368" s="777"/>
      <c r="N368" s="777"/>
      <c r="O368" s="777"/>
      <c r="P368" s="777"/>
      <c r="Q368" s="777"/>
      <c r="R368" s="777"/>
      <c r="S368" s="777"/>
      <c r="T368" s="777"/>
      <c r="U368" s="777"/>
      <c r="V368" s="777"/>
    </row>
    <row r="369" spans="1:22" x14ac:dyDescent="0.25">
      <c r="A369" s="777"/>
      <c r="B369" s="777"/>
      <c r="C369" s="777"/>
      <c r="D369" s="777"/>
      <c r="E369" s="777"/>
      <c r="F369" s="777"/>
      <c r="G369" s="777"/>
      <c r="H369" s="777"/>
      <c r="I369" s="777"/>
      <c r="J369" s="777"/>
      <c r="K369" s="777"/>
      <c r="L369" s="777"/>
      <c r="M369" s="777"/>
      <c r="N369" s="777"/>
      <c r="O369" s="777"/>
      <c r="P369" s="777"/>
      <c r="Q369" s="777"/>
      <c r="R369" s="777"/>
      <c r="S369" s="777"/>
      <c r="T369" s="777"/>
      <c r="U369" s="777"/>
      <c r="V369" s="777"/>
    </row>
    <row r="370" spans="1:22" x14ac:dyDescent="0.25">
      <c r="A370" s="777"/>
      <c r="B370" s="777"/>
      <c r="C370" s="777"/>
      <c r="D370" s="777"/>
      <c r="E370" s="777"/>
      <c r="F370" s="777"/>
      <c r="G370" s="777"/>
      <c r="H370" s="777"/>
      <c r="I370" s="777"/>
      <c r="J370" s="777"/>
      <c r="K370" s="777"/>
      <c r="L370" s="777"/>
      <c r="M370" s="777"/>
      <c r="N370" s="777"/>
      <c r="O370" s="777"/>
      <c r="P370" s="777"/>
      <c r="Q370" s="777"/>
      <c r="R370" s="777"/>
      <c r="S370" s="777"/>
      <c r="T370" s="777"/>
      <c r="U370" s="777"/>
      <c r="V370" s="777"/>
    </row>
    <row r="371" spans="1:22" x14ac:dyDescent="0.25">
      <c r="A371" s="777"/>
      <c r="B371" s="777"/>
      <c r="C371" s="777"/>
      <c r="D371" s="777"/>
      <c r="E371" s="777"/>
      <c r="F371" s="777"/>
      <c r="G371" s="777"/>
      <c r="H371" s="777"/>
      <c r="I371" s="777"/>
      <c r="J371" s="777"/>
      <c r="K371" s="777"/>
      <c r="L371" s="777"/>
      <c r="M371" s="777"/>
      <c r="N371" s="777"/>
      <c r="O371" s="777"/>
      <c r="P371" s="777"/>
      <c r="Q371" s="777"/>
      <c r="R371" s="777"/>
      <c r="S371" s="777"/>
      <c r="T371" s="777"/>
      <c r="U371" s="777"/>
      <c r="V371" s="777"/>
    </row>
    <row r="372" spans="1:22" x14ac:dyDescent="0.25">
      <c r="A372" s="777"/>
      <c r="B372" s="777"/>
      <c r="C372" s="777"/>
      <c r="D372" s="777"/>
      <c r="E372" s="777"/>
      <c r="F372" s="777"/>
      <c r="G372" s="777"/>
      <c r="H372" s="777"/>
      <c r="I372" s="777"/>
      <c r="J372" s="777"/>
      <c r="K372" s="777"/>
      <c r="L372" s="777"/>
      <c r="M372" s="777"/>
      <c r="N372" s="777"/>
      <c r="O372" s="777"/>
      <c r="P372" s="777"/>
      <c r="Q372" s="777"/>
      <c r="R372" s="777"/>
      <c r="S372" s="777"/>
      <c r="T372" s="777"/>
      <c r="U372" s="777"/>
      <c r="V372" s="777"/>
    </row>
    <row r="373" spans="1:22" x14ac:dyDescent="0.25">
      <c r="A373" s="777"/>
      <c r="B373" s="777"/>
      <c r="C373" s="777"/>
      <c r="D373" s="777"/>
      <c r="E373" s="777"/>
      <c r="F373" s="777"/>
      <c r="G373" s="777"/>
      <c r="H373" s="777"/>
      <c r="I373" s="777"/>
      <c r="J373" s="777"/>
      <c r="K373" s="777"/>
      <c r="L373" s="777"/>
      <c r="M373" s="777"/>
      <c r="N373" s="777"/>
      <c r="O373" s="777"/>
      <c r="P373" s="777"/>
      <c r="Q373" s="777"/>
      <c r="R373" s="777"/>
      <c r="S373" s="777"/>
      <c r="T373" s="777"/>
      <c r="U373" s="777"/>
      <c r="V373" s="777"/>
    </row>
    <row r="374" spans="1:22" x14ac:dyDescent="0.25">
      <c r="A374" s="777"/>
      <c r="B374" s="777"/>
      <c r="C374" s="777"/>
      <c r="D374" s="777"/>
      <c r="E374" s="777"/>
      <c r="F374" s="777"/>
      <c r="G374" s="777"/>
      <c r="H374" s="777"/>
      <c r="I374" s="777"/>
      <c r="J374" s="777"/>
      <c r="K374" s="777"/>
      <c r="L374" s="777"/>
      <c r="M374" s="777"/>
      <c r="N374" s="777"/>
      <c r="O374" s="777"/>
      <c r="P374" s="777"/>
      <c r="Q374" s="777"/>
      <c r="R374" s="777"/>
      <c r="S374" s="777"/>
      <c r="T374" s="777"/>
      <c r="U374" s="777"/>
      <c r="V374" s="777"/>
    </row>
    <row r="375" spans="1:22" x14ac:dyDescent="0.25">
      <c r="A375" s="777"/>
      <c r="B375" s="777"/>
      <c r="C375" s="777"/>
      <c r="D375" s="777"/>
      <c r="E375" s="777"/>
      <c r="F375" s="777"/>
      <c r="G375" s="777"/>
      <c r="H375" s="777"/>
      <c r="I375" s="777"/>
      <c r="J375" s="777"/>
      <c r="K375" s="777"/>
      <c r="L375" s="777"/>
      <c r="M375" s="777"/>
      <c r="N375" s="777"/>
      <c r="O375" s="777"/>
      <c r="P375" s="777"/>
      <c r="Q375" s="777"/>
      <c r="R375" s="777"/>
      <c r="S375" s="777"/>
      <c r="T375" s="777"/>
      <c r="U375" s="777"/>
      <c r="V375" s="777"/>
    </row>
    <row r="376" spans="1:22" x14ac:dyDescent="0.25">
      <c r="A376" s="777"/>
      <c r="B376" s="777"/>
      <c r="C376" s="777"/>
      <c r="D376" s="777"/>
      <c r="E376" s="777"/>
      <c r="F376" s="777"/>
      <c r="G376" s="777"/>
      <c r="H376" s="777"/>
      <c r="I376" s="777"/>
      <c r="J376" s="777"/>
      <c r="K376" s="777"/>
      <c r="L376" s="777"/>
      <c r="M376" s="777"/>
      <c r="N376" s="777"/>
      <c r="O376" s="777"/>
      <c r="P376" s="777"/>
      <c r="Q376" s="777"/>
      <c r="R376" s="777"/>
      <c r="S376" s="777"/>
      <c r="T376" s="777"/>
      <c r="U376" s="777"/>
      <c r="V376" s="777"/>
    </row>
    <row r="377" spans="1:22" x14ac:dyDescent="0.25">
      <c r="A377" s="777"/>
      <c r="B377" s="777"/>
      <c r="C377" s="777"/>
      <c r="D377" s="777"/>
      <c r="E377" s="777"/>
      <c r="F377" s="777"/>
      <c r="G377" s="777"/>
      <c r="H377" s="777"/>
      <c r="I377" s="777"/>
      <c r="J377" s="777"/>
      <c r="K377" s="777"/>
      <c r="L377" s="777"/>
      <c r="M377" s="777"/>
      <c r="N377" s="777"/>
      <c r="O377" s="777"/>
      <c r="P377" s="777"/>
      <c r="Q377" s="777"/>
      <c r="R377" s="777"/>
      <c r="S377" s="777"/>
      <c r="T377" s="777"/>
      <c r="U377" s="777"/>
      <c r="V377" s="777"/>
    </row>
    <row r="378" spans="1:22" x14ac:dyDescent="0.25">
      <c r="A378" s="777"/>
      <c r="B378" s="777"/>
      <c r="C378" s="777"/>
      <c r="D378" s="777"/>
      <c r="E378" s="777"/>
      <c r="F378" s="777"/>
      <c r="G378" s="777"/>
      <c r="H378" s="777"/>
      <c r="I378" s="777"/>
      <c r="J378" s="777"/>
      <c r="K378" s="777"/>
      <c r="L378" s="777"/>
      <c r="M378" s="777"/>
      <c r="N378" s="777"/>
      <c r="O378" s="777"/>
      <c r="P378" s="777"/>
      <c r="Q378" s="777"/>
      <c r="R378" s="777"/>
      <c r="S378" s="777"/>
      <c r="T378" s="777"/>
      <c r="U378" s="777"/>
      <c r="V378" s="777"/>
    </row>
    <row r="379" spans="1:22" x14ac:dyDescent="0.25">
      <c r="A379" s="777"/>
      <c r="B379" s="777"/>
      <c r="C379" s="777"/>
      <c r="D379" s="777"/>
      <c r="E379" s="777"/>
      <c r="F379" s="777"/>
      <c r="G379" s="777"/>
      <c r="H379" s="777"/>
      <c r="I379" s="777"/>
      <c r="J379" s="777"/>
      <c r="K379" s="777"/>
      <c r="L379" s="777"/>
      <c r="M379" s="777"/>
      <c r="N379" s="777"/>
      <c r="O379" s="777"/>
      <c r="P379" s="777"/>
      <c r="Q379" s="777"/>
      <c r="R379" s="777"/>
      <c r="S379" s="777"/>
      <c r="T379" s="777"/>
      <c r="U379" s="777"/>
      <c r="V379" s="777"/>
    </row>
    <row r="380" spans="1:22" x14ac:dyDescent="0.25">
      <c r="A380" s="777"/>
      <c r="B380" s="777"/>
      <c r="C380" s="777"/>
      <c r="D380" s="777"/>
      <c r="E380" s="777"/>
      <c r="F380" s="777"/>
      <c r="G380" s="777"/>
      <c r="H380" s="777"/>
      <c r="I380" s="777"/>
      <c r="J380" s="777"/>
      <c r="K380" s="777"/>
      <c r="L380" s="777"/>
      <c r="M380" s="777"/>
      <c r="N380" s="777"/>
      <c r="O380" s="777"/>
      <c r="P380" s="777"/>
      <c r="Q380" s="777"/>
      <c r="R380" s="777"/>
      <c r="S380" s="777"/>
      <c r="T380" s="777"/>
      <c r="U380" s="777"/>
      <c r="V380" s="777"/>
    </row>
    <row r="381" spans="1:22" x14ac:dyDescent="0.25">
      <c r="A381" s="777"/>
      <c r="B381" s="777"/>
      <c r="C381" s="777"/>
      <c r="D381" s="777"/>
      <c r="E381" s="777"/>
      <c r="F381" s="777"/>
      <c r="G381" s="777"/>
      <c r="H381" s="777"/>
      <c r="I381" s="777"/>
      <c r="J381" s="777"/>
      <c r="K381" s="777"/>
      <c r="L381" s="777"/>
      <c r="M381" s="777"/>
      <c r="N381" s="777"/>
      <c r="O381" s="777"/>
      <c r="P381" s="777"/>
      <c r="Q381" s="777"/>
      <c r="R381" s="777"/>
      <c r="S381" s="777"/>
      <c r="T381" s="777"/>
      <c r="U381" s="777"/>
      <c r="V381" s="777"/>
    </row>
    <row r="382" spans="1:22" x14ac:dyDescent="0.25">
      <c r="A382" s="777"/>
      <c r="B382" s="777"/>
      <c r="C382" s="777"/>
      <c r="D382" s="777"/>
      <c r="E382" s="777"/>
      <c r="F382" s="777"/>
      <c r="G382" s="777"/>
      <c r="H382" s="777"/>
      <c r="I382" s="777"/>
      <c r="J382" s="777"/>
      <c r="K382" s="777"/>
      <c r="L382" s="777"/>
      <c r="M382" s="777"/>
      <c r="N382" s="777"/>
      <c r="O382" s="777"/>
      <c r="P382" s="777"/>
      <c r="Q382" s="777"/>
      <c r="R382" s="777"/>
      <c r="S382" s="777"/>
      <c r="T382" s="777"/>
      <c r="U382" s="777"/>
      <c r="V382" s="777"/>
    </row>
    <row r="383" spans="1:22" x14ac:dyDescent="0.25">
      <c r="A383" s="777"/>
      <c r="B383" s="777"/>
      <c r="C383" s="777"/>
      <c r="D383" s="777"/>
      <c r="E383" s="777"/>
      <c r="F383" s="777"/>
      <c r="G383" s="777"/>
      <c r="H383" s="777"/>
      <c r="I383" s="777"/>
      <c r="J383" s="777"/>
      <c r="K383" s="777"/>
      <c r="L383" s="777"/>
      <c r="M383" s="777"/>
      <c r="N383" s="777"/>
      <c r="O383" s="777"/>
      <c r="P383" s="777"/>
      <c r="Q383" s="777"/>
      <c r="R383" s="777"/>
      <c r="S383" s="777"/>
      <c r="T383" s="777"/>
      <c r="U383" s="777"/>
      <c r="V383" s="777"/>
    </row>
    <row r="384" spans="1:22" x14ac:dyDescent="0.25">
      <c r="A384" s="777"/>
      <c r="B384" s="777"/>
      <c r="C384" s="777"/>
      <c r="D384" s="777"/>
      <c r="E384" s="777"/>
      <c r="F384" s="777"/>
      <c r="G384" s="777"/>
      <c r="H384" s="777"/>
      <c r="I384" s="777"/>
      <c r="J384" s="777"/>
      <c r="K384" s="777"/>
      <c r="L384" s="777"/>
      <c r="M384" s="777"/>
      <c r="N384" s="777"/>
      <c r="O384" s="777"/>
      <c r="P384" s="777"/>
      <c r="Q384" s="777"/>
      <c r="R384" s="777"/>
      <c r="S384" s="777"/>
      <c r="T384" s="777"/>
      <c r="U384" s="777"/>
      <c r="V384" s="777"/>
    </row>
    <row r="385" spans="1:22" x14ac:dyDescent="0.25">
      <c r="A385" s="777"/>
      <c r="B385" s="777"/>
      <c r="C385" s="777"/>
      <c r="D385" s="777"/>
      <c r="E385" s="777"/>
      <c r="F385" s="777"/>
      <c r="G385" s="777"/>
      <c r="H385" s="777"/>
      <c r="I385" s="777"/>
      <c r="J385" s="777"/>
      <c r="K385" s="777"/>
      <c r="L385" s="777"/>
      <c r="M385" s="777"/>
      <c r="N385" s="777"/>
      <c r="O385" s="777"/>
      <c r="P385" s="777"/>
      <c r="Q385" s="777"/>
      <c r="R385" s="777"/>
      <c r="S385" s="777"/>
      <c r="T385" s="777"/>
      <c r="U385" s="777"/>
      <c r="V385" s="777"/>
    </row>
    <row r="386" spans="1:22" x14ac:dyDescent="0.25">
      <c r="A386" s="777"/>
      <c r="B386" s="777"/>
      <c r="C386" s="777"/>
      <c r="D386" s="777"/>
      <c r="E386" s="777"/>
      <c r="F386" s="777"/>
      <c r="G386" s="777"/>
      <c r="H386" s="777"/>
      <c r="I386" s="777"/>
      <c r="J386" s="777"/>
      <c r="K386" s="777"/>
      <c r="L386" s="777"/>
      <c r="M386" s="777"/>
      <c r="N386" s="777"/>
      <c r="O386" s="777"/>
      <c r="P386" s="777"/>
      <c r="Q386" s="777"/>
      <c r="R386" s="777"/>
      <c r="S386" s="777"/>
      <c r="T386" s="777"/>
      <c r="U386" s="777"/>
      <c r="V386" s="777"/>
    </row>
    <row r="387" spans="1:22" x14ac:dyDescent="0.25">
      <c r="A387" s="777"/>
      <c r="B387" s="777"/>
      <c r="C387" s="777"/>
      <c r="D387" s="777"/>
      <c r="E387" s="777"/>
      <c r="F387" s="777"/>
      <c r="G387" s="777"/>
      <c r="H387" s="777"/>
      <c r="I387" s="777"/>
      <c r="J387" s="777"/>
      <c r="K387" s="777"/>
      <c r="L387" s="777"/>
      <c r="M387" s="777"/>
      <c r="N387" s="777"/>
      <c r="O387" s="777"/>
      <c r="P387" s="777"/>
      <c r="Q387" s="777"/>
      <c r="R387" s="777"/>
      <c r="S387" s="777"/>
      <c r="T387" s="777"/>
      <c r="U387" s="777"/>
      <c r="V387" s="777"/>
    </row>
    <row r="388" spans="1:22" x14ac:dyDescent="0.25">
      <c r="A388" s="777"/>
      <c r="B388" s="777"/>
      <c r="C388" s="777"/>
      <c r="D388" s="777"/>
      <c r="E388" s="777"/>
      <c r="F388" s="777"/>
      <c r="G388" s="777"/>
      <c r="H388" s="777"/>
      <c r="I388" s="777"/>
      <c r="J388" s="777"/>
      <c r="K388" s="777"/>
      <c r="L388" s="777"/>
      <c r="M388" s="777"/>
      <c r="N388" s="777"/>
      <c r="O388" s="777"/>
      <c r="P388" s="777"/>
      <c r="Q388" s="777"/>
      <c r="R388" s="777"/>
      <c r="S388" s="777"/>
      <c r="T388" s="777"/>
      <c r="U388" s="777"/>
      <c r="V388" s="777"/>
    </row>
    <row r="389" spans="1:22" x14ac:dyDescent="0.25">
      <c r="A389" s="777"/>
      <c r="B389" s="777"/>
      <c r="C389" s="777"/>
      <c r="D389" s="777"/>
      <c r="E389" s="777"/>
      <c r="F389" s="777"/>
      <c r="G389" s="777"/>
      <c r="H389" s="777"/>
      <c r="I389" s="777"/>
      <c r="J389" s="777"/>
      <c r="K389" s="777"/>
      <c r="L389" s="777"/>
      <c r="M389" s="777"/>
      <c r="N389" s="777"/>
      <c r="O389" s="777"/>
      <c r="P389" s="777"/>
      <c r="Q389" s="777"/>
      <c r="R389" s="777"/>
      <c r="S389" s="777"/>
      <c r="T389" s="777"/>
      <c r="U389" s="777"/>
      <c r="V389" s="777"/>
    </row>
    <row r="390" spans="1:22" x14ac:dyDescent="0.25">
      <c r="A390" s="777"/>
      <c r="B390" s="777"/>
      <c r="C390" s="777"/>
      <c r="D390" s="777"/>
      <c r="E390" s="777"/>
      <c r="F390" s="777"/>
      <c r="G390" s="777"/>
      <c r="H390" s="777"/>
      <c r="I390" s="777"/>
      <c r="J390" s="777"/>
      <c r="K390" s="777"/>
      <c r="L390" s="777"/>
      <c r="M390" s="777"/>
      <c r="N390" s="777"/>
      <c r="O390" s="777"/>
      <c r="P390" s="777"/>
      <c r="Q390" s="777"/>
      <c r="R390" s="777"/>
      <c r="S390" s="777"/>
      <c r="T390" s="777"/>
      <c r="U390" s="777"/>
      <c r="V390" s="777"/>
    </row>
    <row r="391" spans="1:22" x14ac:dyDescent="0.25">
      <c r="A391" s="777"/>
      <c r="B391" s="777"/>
      <c r="C391" s="777"/>
      <c r="D391" s="777"/>
      <c r="E391" s="777"/>
      <c r="F391" s="777"/>
      <c r="G391" s="777"/>
      <c r="H391" s="777"/>
      <c r="I391" s="777"/>
      <c r="J391" s="777"/>
      <c r="K391" s="777"/>
      <c r="L391" s="777"/>
      <c r="M391" s="777"/>
      <c r="N391" s="777"/>
      <c r="O391" s="777"/>
      <c r="P391" s="777"/>
      <c r="Q391" s="777"/>
      <c r="R391" s="777"/>
      <c r="S391" s="777"/>
      <c r="T391" s="777"/>
      <c r="U391" s="777"/>
      <c r="V391" s="777"/>
    </row>
    <row r="392" spans="1:22" x14ac:dyDescent="0.25">
      <c r="A392" s="777"/>
      <c r="B392" s="777"/>
      <c r="C392" s="777"/>
      <c r="D392" s="777"/>
      <c r="E392" s="777"/>
      <c r="F392" s="777"/>
      <c r="G392" s="777"/>
      <c r="H392" s="777"/>
      <c r="I392" s="777"/>
      <c r="J392" s="777"/>
      <c r="K392" s="777"/>
      <c r="L392" s="777"/>
      <c r="M392" s="777"/>
      <c r="N392" s="777"/>
      <c r="O392" s="777"/>
      <c r="P392" s="777"/>
      <c r="Q392" s="777"/>
      <c r="R392" s="777"/>
      <c r="S392" s="777"/>
      <c r="T392" s="777"/>
      <c r="U392" s="777"/>
      <c r="V392" s="777"/>
    </row>
    <row r="393" spans="1:22" x14ac:dyDescent="0.25">
      <c r="A393" s="777"/>
      <c r="B393" s="777"/>
      <c r="C393" s="777"/>
      <c r="D393" s="777"/>
      <c r="E393" s="777"/>
      <c r="F393" s="777"/>
      <c r="G393" s="777"/>
      <c r="H393" s="777"/>
      <c r="I393" s="777"/>
      <c r="J393" s="777"/>
      <c r="K393" s="777"/>
      <c r="L393" s="777"/>
      <c r="M393" s="777"/>
      <c r="N393" s="777"/>
      <c r="O393" s="777"/>
      <c r="P393" s="777"/>
      <c r="Q393" s="777"/>
      <c r="R393" s="777"/>
      <c r="S393" s="777"/>
      <c r="T393" s="777"/>
      <c r="U393" s="777"/>
      <c r="V393" s="777"/>
    </row>
    <row r="394" spans="1:22" x14ac:dyDescent="0.25">
      <c r="A394" s="777"/>
      <c r="B394" s="777"/>
      <c r="C394" s="777"/>
      <c r="D394" s="777"/>
      <c r="E394" s="777"/>
      <c r="F394" s="777"/>
      <c r="G394" s="777"/>
      <c r="H394" s="777"/>
      <c r="I394" s="777"/>
      <c r="J394" s="777"/>
      <c r="K394" s="777"/>
      <c r="L394" s="777"/>
      <c r="M394" s="777"/>
      <c r="N394" s="777"/>
      <c r="O394" s="777"/>
      <c r="P394" s="777"/>
      <c r="Q394" s="777"/>
      <c r="R394" s="777"/>
      <c r="S394" s="777"/>
      <c r="T394" s="777"/>
      <c r="U394" s="777"/>
      <c r="V394" s="777"/>
    </row>
    <row r="395" spans="1:22" x14ac:dyDescent="0.25">
      <c r="A395" s="777"/>
      <c r="B395" s="777"/>
      <c r="C395" s="777"/>
      <c r="D395" s="777"/>
      <c r="E395" s="777"/>
      <c r="F395" s="777"/>
      <c r="G395" s="777"/>
      <c r="H395" s="777"/>
      <c r="I395" s="777"/>
      <c r="J395" s="777"/>
      <c r="K395" s="777"/>
      <c r="L395" s="777"/>
      <c r="M395" s="777"/>
      <c r="N395" s="777"/>
      <c r="O395" s="777"/>
      <c r="P395" s="777"/>
      <c r="Q395" s="777"/>
      <c r="R395" s="777"/>
      <c r="S395" s="777"/>
      <c r="T395" s="777"/>
      <c r="U395" s="777"/>
      <c r="V395" s="777"/>
    </row>
    <row r="396" spans="1:22" x14ac:dyDescent="0.25">
      <c r="A396" s="777"/>
      <c r="B396" s="777"/>
      <c r="C396" s="777"/>
      <c r="D396" s="777"/>
      <c r="E396" s="777"/>
      <c r="F396" s="777"/>
      <c r="G396" s="777"/>
      <c r="H396" s="777"/>
      <c r="I396" s="777"/>
      <c r="J396" s="777"/>
      <c r="K396" s="777"/>
      <c r="L396" s="777"/>
      <c r="M396" s="777"/>
      <c r="N396" s="777"/>
      <c r="O396" s="777"/>
      <c r="P396" s="777"/>
      <c r="Q396" s="777"/>
      <c r="R396" s="777"/>
      <c r="S396" s="777"/>
      <c r="T396" s="777"/>
      <c r="U396" s="777"/>
      <c r="V396" s="777"/>
    </row>
    <row r="397" spans="1:22" x14ac:dyDescent="0.25">
      <c r="A397" s="777"/>
      <c r="B397" s="777"/>
      <c r="C397" s="777"/>
      <c r="D397" s="777"/>
      <c r="E397" s="777"/>
      <c r="F397" s="777"/>
      <c r="G397" s="777"/>
      <c r="H397" s="777"/>
      <c r="I397" s="777"/>
      <c r="J397" s="777"/>
      <c r="K397" s="777"/>
      <c r="L397" s="777"/>
      <c r="M397" s="777"/>
      <c r="N397" s="777"/>
      <c r="O397" s="777"/>
      <c r="P397" s="777"/>
      <c r="Q397" s="777"/>
      <c r="R397" s="777"/>
      <c r="S397" s="777"/>
      <c r="T397" s="777"/>
      <c r="U397" s="777"/>
      <c r="V397" s="777"/>
    </row>
    <row r="398" spans="1:22" x14ac:dyDescent="0.25">
      <c r="A398" s="777"/>
      <c r="B398" s="777"/>
      <c r="C398" s="777"/>
      <c r="D398" s="777"/>
      <c r="E398" s="777"/>
      <c r="F398" s="777"/>
      <c r="G398" s="777"/>
      <c r="H398" s="777"/>
      <c r="I398" s="777"/>
      <c r="J398" s="777"/>
      <c r="K398" s="777"/>
      <c r="L398" s="777"/>
      <c r="M398" s="777"/>
      <c r="N398" s="777"/>
      <c r="O398" s="777"/>
      <c r="P398" s="777"/>
      <c r="Q398" s="777"/>
      <c r="R398" s="777"/>
      <c r="S398" s="777"/>
      <c r="T398" s="777"/>
      <c r="U398" s="777"/>
      <c r="V398" s="777"/>
    </row>
    <row r="399" spans="1:22" x14ac:dyDescent="0.25">
      <c r="A399" s="777"/>
      <c r="B399" s="777"/>
      <c r="C399" s="777"/>
      <c r="D399" s="777"/>
      <c r="E399" s="777"/>
      <c r="F399" s="777"/>
      <c r="G399" s="777"/>
      <c r="H399" s="777"/>
      <c r="I399" s="777"/>
      <c r="J399" s="777"/>
      <c r="K399" s="777"/>
      <c r="L399" s="777"/>
      <c r="M399" s="777"/>
      <c r="N399" s="777"/>
      <c r="O399" s="777"/>
      <c r="P399" s="777"/>
      <c r="Q399" s="777"/>
      <c r="R399" s="777"/>
      <c r="S399" s="777"/>
      <c r="T399" s="777"/>
      <c r="U399" s="777"/>
      <c r="V399" s="777"/>
    </row>
    <row r="400" spans="1:22" x14ac:dyDescent="0.25">
      <c r="A400" s="777"/>
      <c r="B400" s="777"/>
      <c r="C400" s="777"/>
      <c r="D400" s="777"/>
      <c r="E400" s="777"/>
      <c r="F400" s="777"/>
      <c r="G400" s="777"/>
      <c r="H400" s="777"/>
      <c r="I400" s="777"/>
      <c r="J400" s="777"/>
      <c r="K400" s="777"/>
      <c r="L400" s="777"/>
      <c r="M400" s="777"/>
      <c r="N400" s="777"/>
      <c r="O400" s="777"/>
      <c r="P400" s="777"/>
      <c r="Q400" s="777"/>
      <c r="R400" s="777"/>
      <c r="S400" s="777"/>
      <c r="T400" s="777"/>
      <c r="U400" s="777"/>
      <c r="V400" s="777"/>
    </row>
    <row r="401" spans="1:22" x14ac:dyDescent="0.25">
      <c r="A401" s="777"/>
      <c r="B401" s="777"/>
      <c r="C401" s="777"/>
      <c r="D401" s="777"/>
      <c r="E401" s="777"/>
      <c r="F401" s="777"/>
      <c r="G401" s="777"/>
      <c r="H401" s="777"/>
      <c r="I401" s="777"/>
      <c r="J401" s="777"/>
      <c r="K401" s="777"/>
      <c r="L401" s="777"/>
      <c r="M401" s="777"/>
      <c r="N401" s="777"/>
      <c r="O401" s="777"/>
      <c r="P401" s="777"/>
      <c r="Q401" s="777"/>
      <c r="R401" s="777"/>
      <c r="S401" s="777"/>
      <c r="T401" s="777"/>
      <c r="U401" s="777"/>
      <c r="V401" s="777"/>
    </row>
    <row r="402" spans="1:22" x14ac:dyDescent="0.25">
      <c r="A402" s="777"/>
      <c r="B402" s="777"/>
      <c r="C402" s="777"/>
      <c r="D402" s="777"/>
      <c r="E402" s="777"/>
      <c r="F402" s="777"/>
      <c r="G402" s="777"/>
      <c r="H402" s="777"/>
      <c r="I402" s="777"/>
      <c r="J402" s="777"/>
      <c r="K402" s="777"/>
      <c r="L402" s="777"/>
      <c r="M402" s="777"/>
      <c r="N402" s="777"/>
      <c r="O402" s="777"/>
      <c r="P402" s="777"/>
      <c r="Q402" s="777"/>
      <c r="R402" s="777"/>
      <c r="S402" s="777"/>
      <c r="T402" s="777"/>
      <c r="U402" s="777"/>
      <c r="V402" s="777"/>
    </row>
    <row r="403" spans="1:22" x14ac:dyDescent="0.25">
      <c r="A403" s="777"/>
      <c r="B403" s="777"/>
      <c r="C403" s="777"/>
      <c r="D403" s="777"/>
      <c r="E403" s="777"/>
      <c r="F403" s="777"/>
      <c r="G403" s="777"/>
      <c r="H403" s="777"/>
      <c r="I403" s="777"/>
      <c r="J403" s="777"/>
      <c r="K403" s="777"/>
      <c r="L403" s="777"/>
      <c r="M403" s="777"/>
      <c r="N403" s="777"/>
      <c r="O403" s="777"/>
      <c r="P403" s="777"/>
      <c r="Q403" s="777"/>
      <c r="R403" s="777"/>
      <c r="S403" s="777"/>
      <c r="T403" s="777"/>
      <c r="U403" s="777"/>
      <c r="V403" s="777"/>
    </row>
    <row r="404" spans="1:22" x14ac:dyDescent="0.25">
      <c r="A404" s="777"/>
      <c r="B404" s="777"/>
      <c r="C404" s="777"/>
      <c r="D404" s="777"/>
      <c r="E404" s="777"/>
      <c r="F404" s="777"/>
      <c r="G404" s="777"/>
      <c r="H404" s="777"/>
      <c r="I404" s="777"/>
      <c r="J404" s="777"/>
      <c r="K404" s="777"/>
      <c r="L404" s="777"/>
      <c r="M404" s="777"/>
      <c r="N404" s="777"/>
      <c r="O404" s="777"/>
      <c r="P404" s="777"/>
      <c r="Q404" s="777"/>
      <c r="R404" s="777"/>
      <c r="S404" s="777"/>
      <c r="T404" s="777"/>
      <c r="U404" s="777"/>
      <c r="V404" s="777"/>
    </row>
    <row r="405" spans="1:22" x14ac:dyDescent="0.25">
      <c r="A405" s="777"/>
      <c r="B405" s="777"/>
      <c r="C405" s="777"/>
      <c r="D405" s="777"/>
      <c r="E405" s="777"/>
      <c r="F405" s="777"/>
      <c r="G405" s="777"/>
      <c r="H405" s="777"/>
      <c r="I405" s="777"/>
      <c r="J405" s="777"/>
      <c r="K405" s="777"/>
      <c r="L405" s="777"/>
      <c r="M405" s="777"/>
      <c r="N405" s="777"/>
      <c r="O405" s="777"/>
      <c r="P405" s="777"/>
      <c r="Q405" s="777"/>
      <c r="R405" s="777"/>
      <c r="S405" s="777"/>
      <c r="T405" s="777"/>
      <c r="U405" s="777"/>
      <c r="V405" s="777"/>
    </row>
    <row r="406" spans="1:22" x14ac:dyDescent="0.25">
      <c r="A406" s="777"/>
      <c r="B406" s="777"/>
      <c r="C406" s="777"/>
      <c r="D406" s="777"/>
      <c r="E406" s="777"/>
      <c r="F406" s="777"/>
      <c r="G406" s="777"/>
      <c r="H406" s="777"/>
      <c r="I406" s="777"/>
      <c r="J406" s="777"/>
      <c r="K406" s="777"/>
      <c r="L406" s="777"/>
      <c r="M406" s="777"/>
      <c r="N406" s="777"/>
      <c r="O406" s="777"/>
      <c r="P406" s="777"/>
      <c r="Q406" s="777"/>
      <c r="R406" s="777"/>
      <c r="S406" s="777"/>
      <c r="T406" s="777"/>
      <c r="U406" s="777"/>
      <c r="V406" s="777"/>
    </row>
    <row r="407" spans="1:22" x14ac:dyDescent="0.25">
      <c r="A407" s="777"/>
      <c r="B407" s="777"/>
      <c r="C407" s="777"/>
      <c r="D407" s="777"/>
      <c r="E407" s="777"/>
      <c r="F407" s="777"/>
      <c r="G407" s="777"/>
      <c r="H407" s="777"/>
      <c r="I407" s="777"/>
      <c r="J407" s="777"/>
      <c r="K407" s="777"/>
      <c r="L407" s="777"/>
      <c r="M407" s="777"/>
      <c r="N407" s="777"/>
      <c r="O407" s="777"/>
      <c r="P407" s="777"/>
      <c r="Q407" s="777"/>
      <c r="R407" s="777"/>
      <c r="S407" s="777"/>
      <c r="T407" s="777"/>
      <c r="U407" s="777"/>
      <c r="V407" s="777"/>
    </row>
    <row r="408" spans="1:22" x14ac:dyDescent="0.25">
      <c r="A408" s="777"/>
      <c r="B408" s="777"/>
      <c r="C408" s="777"/>
      <c r="D408" s="777"/>
      <c r="E408" s="777"/>
      <c r="F408" s="777"/>
      <c r="G408" s="777"/>
      <c r="H408" s="777"/>
      <c r="I408" s="777"/>
      <c r="J408" s="777"/>
      <c r="K408" s="777"/>
      <c r="L408" s="777"/>
      <c r="M408" s="777"/>
      <c r="N408" s="777"/>
      <c r="O408" s="777"/>
      <c r="P408" s="777"/>
      <c r="Q408" s="777"/>
      <c r="R408" s="777"/>
      <c r="S408" s="777"/>
      <c r="T408" s="777"/>
      <c r="U408" s="777"/>
      <c r="V408" s="777"/>
    </row>
    <row r="409" spans="1:22" x14ac:dyDescent="0.25">
      <c r="A409" s="777"/>
      <c r="B409" s="777"/>
      <c r="C409" s="777"/>
      <c r="D409" s="777"/>
      <c r="E409" s="777"/>
      <c r="F409" s="777"/>
      <c r="G409" s="777"/>
      <c r="H409" s="777"/>
      <c r="I409" s="777"/>
      <c r="J409" s="777"/>
      <c r="K409" s="777"/>
      <c r="L409" s="777"/>
      <c r="M409" s="777"/>
      <c r="N409" s="777"/>
      <c r="O409" s="777"/>
      <c r="P409" s="777"/>
      <c r="Q409" s="777"/>
      <c r="R409" s="777"/>
      <c r="S409" s="777"/>
      <c r="T409" s="777"/>
      <c r="U409" s="777"/>
      <c r="V409" s="777"/>
    </row>
    <row r="410" spans="1:22" x14ac:dyDescent="0.25">
      <c r="A410" s="777"/>
      <c r="B410" s="777"/>
      <c r="C410" s="777"/>
      <c r="D410" s="777"/>
      <c r="E410" s="777"/>
      <c r="F410" s="777"/>
      <c r="G410" s="777"/>
      <c r="H410" s="777"/>
      <c r="I410" s="777"/>
      <c r="J410" s="777"/>
      <c r="K410" s="777"/>
      <c r="L410" s="777"/>
      <c r="M410" s="777"/>
      <c r="N410" s="777"/>
      <c r="O410" s="777"/>
      <c r="P410" s="777"/>
      <c r="Q410" s="777"/>
      <c r="R410" s="777"/>
      <c r="S410" s="777"/>
      <c r="T410" s="777"/>
      <c r="U410" s="777"/>
      <c r="V410" s="777"/>
    </row>
    <row r="411" spans="1:22" x14ac:dyDescent="0.25">
      <c r="A411" s="777"/>
      <c r="B411" s="777"/>
      <c r="C411" s="777"/>
      <c r="D411" s="777"/>
      <c r="E411" s="777"/>
      <c r="F411" s="777"/>
      <c r="G411" s="777"/>
      <c r="H411" s="777"/>
      <c r="I411" s="777"/>
      <c r="J411" s="777"/>
      <c r="K411" s="777"/>
      <c r="L411" s="777"/>
      <c r="M411" s="777"/>
      <c r="N411" s="777"/>
      <c r="O411" s="777"/>
      <c r="P411" s="777"/>
      <c r="Q411" s="777"/>
      <c r="R411" s="777"/>
      <c r="S411" s="777"/>
      <c r="T411" s="777"/>
      <c r="U411" s="777"/>
      <c r="V411" s="777"/>
    </row>
    <row r="412" spans="1:22" x14ac:dyDescent="0.25">
      <c r="A412" s="777"/>
      <c r="B412" s="777"/>
      <c r="C412" s="777"/>
      <c r="D412" s="777"/>
      <c r="E412" s="777"/>
      <c r="F412" s="777"/>
      <c r="G412" s="777"/>
      <c r="H412" s="777"/>
      <c r="I412" s="777"/>
      <c r="J412" s="777"/>
      <c r="K412" s="777"/>
      <c r="L412" s="777"/>
      <c r="M412" s="777"/>
      <c r="N412" s="777"/>
      <c r="O412" s="777"/>
      <c r="P412" s="777"/>
      <c r="Q412" s="777"/>
      <c r="R412" s="777"/>
      <c r="S412" s="777"/>
      <c r="T412" s="777"/>
      <c r="U412" s="777"/>
      <c r="V412" s="777"/>
    </row>
    <row r="413" spans="1:22" x14ac:dyDescent="0.25">
      <c r="A413" s="777"/>
      <c r="B413" s="777"/>
      <c r="C413" s="777"/>
      <c r="D413" s="777"/>
      <c r="E413" s="777"/>
      <c r="F413" s="777"/>
      <c r="G413" s="777"/>
      <c r="H413" s="777"/>
      <c r="I413" s="777"/>
      <c r="J413" s="777"/>
      <c r="K413" s="777"/>
      <c r="L413" s="777"/>
      <c r="M413" s="777"/>
      <c r="N413" s="777"/>
      <c r="O413" s="777"/>
      <c r="P413" s="777"/>
      <c r="Q413" s="777"/>
      <c r="R413" s="777"/>
      <c r="S413" s="777"/>
      <c r="T413" s="777"/>
      <c r="U413" s="777"/>
      <c r="V413" s="777"/>
    </row>
    <row r="414" spans="1:22" x14ac:dyDescent="0.25">
      <c r="A414" s="777"/>
      <c r="B414" s="777"/>
      <c r="C414" s="777"/>
      <c r="D414" s="777"/>
      <c r="E414" s="777"/>
      <c r="F414" s="777"/>
      <c r="G414" s="777"/>
      <c r="H414" s="777"/>
      <c r="I414" s="777"/>
      <c r="J414" s="777"/>
      <c r="K414" s="777"/>
      <c r="L414" s="777"/>
      <c r="M414" s="777"/>
      <c r="N414" s="777"/>
      <c r="O414" s="777"/>
      <c r="P414" s="777"/>
      <c r="Q414" s="777"/>
      <c r="R414" s="777"/>
      <c r="S414" s="777"/>
      <c r="T414" s="777"/>
      <c r="U414" s="777"/>
      <c r="V414" s="777"/>
    </row>
    <row r="415" spans="1:22" x14ac:dyDescent="0.25">
      <c r="A415" s="777"/>
      <c r="B415" s="777"/>
      <c r="C415" s="777"/>
      <c r="D415" s="777"/>
      <c r="E415" s="777"/>
      <c r="F415" s="777"/>
      <c r="G415" s="777"/>
      <c r="H415" s="777"/>
      <c r="I415" s="777"/>
      <c r="J415" s="777"/>
      <c r="K415" s="777"/>
      <c r="L415" s="777"/>
      <c r="M415" s="777"/>
      <c r="N415" s="777"/>
      <c r="O415" s="777"/>
      <c r="P415" s="777"/>
      <c r="Q415" s="777"/>
      <c r="R415" s="777"/>
      <c r="S415" s="777"/>
      <c r="T415" s="777"/>
      <c r="U415" s="777"/>
      <c r="V415" s="777"/>
    </row>
    <row r="416" spans="1:22" x14ac:dyDescent="0.25">
      <c r="A416" s="777"/>
      <c r="B416" s="777"/>
      <c r="C416" s="777"/>
      <c r="D416" s="777"/>
      <c r="E416" s="777"/>
      <c r="F416" s="777"/>
      <c r="G416" s="777"/>
      <c r="H416" s="777"/>
      <c r="I416" s="777"/>
      <c r="J416" s="777"/>
      <c r="K416" s="777"/>
      <c r="L416" s="777"/>
      <c r="M416" s="777"/>
      <c r="N416" s="777"/>
      <c r="O416" s="777"/>
      <c r="P416" s="777"/>
      <c r="Q416" s="777"/>
      <c r="R416" s="777"/>
      <c r="S416" s="777"/>
      <c r="T416" s="777"/>
      <c r="U416" s="777"/>
      <c r="V416" s="777"/>
    </row>
    <row r="417" spans="1:22" x14ac:dyDescent="0.25">
      <c r="A417" s="777"/>
      <c r="B417" s="777"/>
      <c r="C417" s="777"/>
      <c r="D417" s="777"/>
      <c r="E417" s="777"/>
      <c r="F417" s="777"/>
      <c r="G417" s="777"/>
      <c r="H417" s="777"/>
      <c r="I417" s="777"/>
      <c r="J417" s="777"/>
      <c r="K417" s="777"/>
      <c r="L417" s="777"/>
      <c r="M417" s="777"/>
      <c r="N417" s="777"/>
      <c r="O417" s="777"/>
      <c r="P417" s="777"/>
      <c r="Q417" s="777"/>
      <c r="R417" s="777"/>
      <c r="S417" s="777"/>
      <c r="T417" s="777"/>
      <c r="U417" s="777"/>
      <c r="V417" s="777"/>
    </row>
    <row r="418" spans="1:22" x14ac:dyDescent="0.25">
      <c r="A418" s="777"/>
      <c r="B418" s="777"/>
      <c r="C418" s="777"/>
      <c r="D418" s="777"/>
      <c r="E418" s="777"/>
      <c r="F418" s="777"/>
      <c r="G418" s="777"/>
      <c r="H418" s="777"/>
      <c r="I418" s="777"/>
      <c r="J418" s="777"/>
      <c r="K418" s="777"/>
      <c r="L418" s="777"/>
      <c r="M418" s="777"/>
      <c r="N418" s="777"/>
      <c r="O418" s="777"/>
      <c r="P418" s="777"/>
      <c r="Q418" s="777"/>
      <c r="R418" s="777"/>
      <c r="S418" s="777"/>
      <c r="T418" s="777"/>
      <c r="U418" s="777"/>
      <c r="V418" s="777"/>
    </row>
    <row r="419" spans="1:22" x14ac:dyDescent="0.25">
      <c r="A419" s="777"/>
      <c r="B419" s="777"/>
      <c r="C419" s="777"/>
      <c r="D419" s="777"/>
      <c r="E419" s="777"/>
      <c r="F419" s="777"/>
      <c r="G419" s="777"/>
      <c r="H419" s="777"/>
      <c r="I419" s="777"/>
      <c r="J419" s="777"/>
      <c r="K419" s="777"/>
      <c r="L419" s="777"/>
      <c r="M419" s="777"/>
      <c r="N419" s="777"/>
      <c r="O419" s="777"/>
      <c r="P419" s="777"/>
      <c r="Q419" s="777"/>
      <c r="R419" s="777"/>
      <c r="S419" s="777"/>
      <c r="T419" s="777"/>
      <c r="U419" s="777"/>
      <c r="V419" s="777"/>
    </row>
    <row r="420" spans="1:22" x14ac:dyDescent="0.25">
      <c r="A420" s="777"/>
      <c r="B420" s="777"/>
      <c r="C420" s="777"/>
      <c r="D420" s="777"/>
      <c r="E420" s="777"/>
      <c r="F420" s="777"/>
      <c r="G420" s="777"/>
      <c r="H420" s="777"/>
      <c r="I420" s="777"/>
      <c r="J420" s="777"/>
      <c r="K420" s="777"/>
      <c r="L420" s="777"/>
      <c r="M420" s="777"/>
      <c r="N420" s="777"/>
      <c r="O420" s="777"/>
      <c r="P420" s="777"/>
      <c r="Q420" s="777"/>
      <c r="R420" s="777"/>
      <c r="S420" s="777"/>
      <c r="T420" s="777"/>
      <c r="U420" s="777"/>
      <c r="V420" s="777"/>
    </row>
    <row r="421" spans="1:22" x14ac:dyDescent="0.25">
      <c r="A421" s="777"/>
      <c r="B421" s="777"/>
      <c r="C421" s="777"/>
      <c r="D421" s="777"/>
      <c r="E421" s="777"/>
      <c r="F421" s="777"/>
      <c r="G421" s="777"/>
      <c r="H421" s="777"/>
      <c r="I421" s="777"/>
      <c r="J421" s="777"/>
      <c r="K421" s="777"/>
      <c r="L421" s="777"/>
      <c r="M421" s="777"/>
      <c r="N421" s="777"/>
      <c r="O421" s="777"/>
      <c r="P421" s="777"/>
      <c r="Q421" s="777"/>
      <c r="R421" s="777"/>
      <c r="S421" s="777"/>
      <c r="T421" s="777"/>
      <c r="U421" s="777"/>
      <c r="V421" s="777"/>
    </row>
    <row r="422" spans="1:22" x14ac:dyDescent="0.25">
      <c r="A422" s="777"/>
      <c r="B422" s="777"/>
      <c r="C422" s="777"/>
      <c r="D422" s="777"/>
      <c r="E422" s="777"/>
      <c r="F422" s="777"/>
      <c r="G422" s="777"/>
      <c r="H422" s="777"/>
      <c r="I422" s="777"/>
      <c r="J422" s="777"/>
      <c r="K422" s="777"/>
      <c r="L422" s="777"/>
      <c r="M422" s="777"/>
      <c r="N422" s="777"/>
      <c r="O422" s="777"/>
      <c r="P422" s="777"/>
      <c r="Q422" s="777"/>
      <c r="R422" s="777"/>
      <c r="S422" s="777"/>
      <c r="T422" s="777"/>
      <c r="U422" s="777"/>
      <c r="V422" s="777"/>
    </row>
    <row r="423" spans="1:22" x14ac:dyDescent="0.25">
      <c r="A423" s="777"/>
      <c r="B423" s="777"/>
      <c r="C423" s="777"/>
      <c r="D423" s="777"/>
      <c r="E423" s="777"/>
      <c r="F423" s="777"/>
      <c r="G423" s="777"/>
      <c r="H423" s="777"/>
      <c r="I423" s="777"/>
      <c r="J423" s="777"/>
      <c r="K423" s="777"/>
      <c r="L423" s="777"/>
      <c r="M423" s="777"/>
      <c r="N423" s="777"/>
      <c r="O423" s="777"/>
      <c r="P423" s="777"/>
      <c r="Q423" s="777"/>
      <c r="R423" s="777"/>
      <c r="S423" s="777"/>
      <c r="T423" s="777"/>
      <c r="U423" s="777"/>
      <c r="V423" s="777"/>
    </row>
    <row r="424" spans="1:22" x14ac:dyDescent="0.25">
      <c r="A424" s="777"/>
      <c r="B424" s="777"/>
      <c r="C424" s="777"/>
      <c r="D424" s="777"/>
      <c r="E424" s="777"/>
      <c r="F424" s="777"/>
      <c r="G424" s="777"/>
      <c r="H424" s="777"/>
      <c r="I424" s="777"/>
      <c r="J424" s="777"/>
      <c r="K424" s="777"/>
      <c r="L424" s="777"/>
      <c r="M424" s="777"/>
      <c r="N424" s="777"/>
      <c r="O424" s="777"/>
      <c r="P424" s="777"/>
      <c r="Q424" s="777"/>
      <c r="R424" s="777"/>
      <c r="S424" s="777"/>
      <c r="T424" s="777"/>
      <c r="U424" s="777"/>
      <c r="V424" s="777"/>
    </row>
    <row r="425" spans="1:22" x14ac:dyDescent="0.25">
      <c r="A425" s="777"/>
      <c r="B425" s="777"/>
      <c r="C425" s="777"/>
      <c r="D425" s="777"/>
      <c r="E425" s="777"/>
      <c r="F425" s="777"/>
      <c r="G425" s="777"/>
      <c r="H425" s="777"/>
      <c r="I425" s="777"/>
      <c r="J425" s="777"/>
      <c r="K425" s="777"/>
      <c r="L425" s="777"/>
      <c r="M425" s="777"/>
      <c r="N425" s="777"/>
      <c r="O425" s="777"/>
      <c r="P425" s="777"/>
      <c r="Q425" s="777"/>
      <c r="R425" s="777"/>
      <c r="S425" s="777"/>
      <c r="T425" s="777"/>
      <c r="U425" s="777"/>
      <c r="V425" s="777"/>
    </row>
    <row r="426" spans="1:22" x14ac:dyDescent="0.25">
      <c r="A426" s="777"/>
      <c r="B426" s="777"/>
      <c r="C426" s="777"/>
      <c r="D426" s="777"/>
      <c r="E426" s="777"/>
      <c r="F426" s="777"/>
      <c r="G426" s="777"/>
      <c r="H426" s="777"/>
      <c r="I426" s="777"/>
      <c r="J426" s="777"/>
      <c r="K426" s="777"/>
      <c r="L426" s="777"/>
      <c r="M426" s="777"/>
      <c r="N426" s="777"/>
      <c r="O426" s="777"/>
      <c r="P426" s="777"/>
      <c r="Q426" s="777"/>
      <c r="R426" s="777"/>
      <c r="S426" s="777"/>
      <c r="T426" s="777"/>
      <c r="U426" s="777"/>
      <c r="V426" s="777"/>
    </row>
    <row r="427" spans="1:22" x14ac:dyDescent="0.25">
      <c r="A427" s="777"/>
      <c r="B427" s="777"/>
      <c r="C427" s="777"/>
      <c r="D427" s="777"/>
      <c r="E427" s="777"/>
      <c r="F427" s="777"/>
      <c r="G427" s="777"/>
      <c r="H427" s="777"/>
      <c r="I427" s="777"/>
      <c r="J427" s="777"/>
      <c r="K427" s="777"/>
      <c r="L427" s="777"/>
      <c r="M427" s="777"/>
      <c r="N427" s="777"/>
      <c r="O427" s="777"/>
      <c r="P427" s="777"/>
      <c r="Q427" s="777"/>
      <c r="R427" s="777"/>
      <c r="S427" s="777"/>
      <c r="T427" s="777"/>
      <c r="U427" s="777"/>
      <c r="V427" s="777"/>
    </row>
    <row r="428" spans="1:22" x14ac:dyDescent="0.25">
      <c r="A428" s="777"/>
      <c r="B428" s="777"/>
      <c r="C428" s="777"/>
      <c r="D428" s="777"/>
      <c r="E428" s="777"/>
      <c r="F428" s="777"/>
      <c r="G428" s="777"/>
      <c r="H428" s="777"/>
      <c r="I428" s="777"/>
      <c r="J428" s="777"/>
      <c r="K428" s="777"/>
      <c r="L428" s="777"/>
      <c r="M428" s="777"/>
      <c r="N428" s="777"/>
      <c r="O428" s="777"/>
      <c r="P428" s="777"/>
      <c r="Q428" s="777"/>
      <c r="R428" s="777"/>
      <c r="S428" s="777"/>
      <c r="T428" s="777"/>
      <c r="U428" s="777"/>
      <c r="V428" s="777"/>
    </row>
    <row r="429" spans="1:22" x14ac:dyDescent="0.25">
      <c r="A429" s="777"/>
      <c r="B429" s="777"/>
      <c r="C429" s="777"/>
      <c r="D429" s="777"/>
      <c r="E429" s="777"/>
      <c r="F429" s="777"/>
      <c r="G429" s="777"/>
      <c r="H429" s="777"/>
      <c r="I429" s="777"/>
      <c r="J429" s="777"/>
      <c r="K429" s="777"/>
      <c r="L429" s="777"/>
      <c r="M429" s="777"/>
      <c r="N429" s="777"/>
      <c r="O429" s="777"/>
      <c r="P429" s="777"/>
      <c r="Q429" s="777"/>
      <c r="R429" s="777"/>
      <c r="S429" s="777"/>
      <c r="T429" s="777"/>
      <c r="U429" s="777"/>
      <c r="V429" s="777"/>
    </row>
    <row r="430" spans="1:22" x14ac:dyDescent="0.25">
      <c r="A430" s="777"/>
      <c r="B430" s="777"/>
      <c r="C430" s="777"/>
      <c r="D430" s="777"/>
      <c r="E430" s="777"/>
      <c r="F430" s="777"/>
      <c r="G430" s="777"/>
      <c r="H430" s="777"/>
      <c r="I430" s="777"/>
      <c r="J430" s="777"/>
      <c r="K430" s="777"/>
      <c r="L430" s="777"/>
      <c r="M430" s="777"/>
      <c r="N430" s="777"/>
      <c r="O430" s="777"/>
      <c r="P430" s="777"/>
      <c r="Q430" s="777"/>
      <c r="R430" s="777"/>
      <c r="S430" s="777"/>
      <c r="T430" s="777"/>
      <c r="U430" s="777"/>
      <c r="V430" s="777"/>
    </row>
    <row r="431" spans="1:22" x14ac:dyDescent="0.25">
      <c r="A431" s="777"/>
      <c r="B431" s="777"/>
      <c r="C431" s="777"/>
      <c r="D431" s="777"/>
      <c r="E431" s="777"/>
      <c r="F431" s="777"/>
      <c r="G431" s="777"/>
      <c r="H431" s="777"/>
      <c r="I431" s="777"/>
      <c r="J431" s="777"/>
      <c r="K431" s="777"/>
      <c r="L431" s="777"/>
      <c r="M431" s="777"/>
      <c r="N431" s="777"/>
      <c r="O431" s="777"/>
      <c r="P431" s="777"/>
      <c r="Q431" s="777"/>
      <c r="R431" s="777"/>
      <c r="S431" s="777"/>
      <c r="T431" s="777"/>
      <c r="U431" s="777"/>
      <c r="V431" s="777"/>
    </row>
    <row r="432" spans="1:22" x14ac:dyDescent="0.25">
      <c r="A432" s="777"/>
      <c r="B432" s="777"/>
      <c r="C432" s="777"/>
      <c r="D432" s="777"/>
      <c r="E432" s="777"/>
      <c r="F432" s="777"/>
      <c r="G432" s="777"/>
      <c r="H432" s="777"/>
      <c r="I432" s="777"/>
      <c r="J432" s="777"/>
      <c r="K432" s="777"/>
      <c r="L432" s="777"/>
      <c r="M432" s="777"/>
      <c r="N432" s="777"/>
      <c r="O432" s="777"/>
      <c r="P432" s="777"/>
      <c r="Q432" s="777"/>
      <c r="R432" s="777"/>
      <c r="S432" s="777"/>
      <c r="T432" s="777"/>
      <c r="U432" s="777"/>
      <c r="V432" s="777"/>
    </row>
    <row r="433" spans="1:22" x14ac:dyDescent="0.25">
      <c r="A433" s="777"/>
      <c r="B433" s="777"/>
      <c r="C433" s="777"/>
      <c r="D433" s="777"/>
      <c r="E433" s="777"/>
      <c r="F433" s="777"/>
      <c r="G433" s="777"/>
      <c r="H433" s="777"/>
      <c r="I433" s="777"/>
      <c r="J433" s="777"/>
      <c r="K433" s="777"/>
      <c r="L433" s="777"/>
      <c r="M433" s="777"/>
      <c r="N433" s="777"/>
      <c r="O433" s="777"/>
      <c r="P433" s="777"/>
      <c r="Q433" s="777"/>
      <c r="R433" s="777"/>
      <c r="S433" s="777"/>
      <c r="T433" s="777"/>
      <c r="U433" s="777"/>
      <c r="V433" s="777"/>
    </row>
    <row r="434" spans="1:22" x14ac:dyDescent="0.25">
      <c r="A434" s="777"/>
      <c r="B434" s="777"/>
      <c r="C434" s="777"/>
      <c r="D434" s="777"/>
      <c r="E434" s="777"/>
      <c r="F434" s="777"/>
      <c r="G434" s="777"/>
      <c r="H434" s="777"/>
      <c r="I434" s="777"/>
      <c r="J434" s="777"/>
      <c r="K434" s="777"/>
      <c r="L434" s="777"/>
      <c r="M434" s="777"/>
      <c r="N434" s="777"/>
      <c r="O434" s="777"/>
      <c r="P434" s="777"/>
      <c r="Q434" s="777"/>
      <c r="R434" s="777"/>
      <c r="S434" s="777"/>
      <c r="T434" s="777"/>
      <c r="U434" s="777"/>
      <c r="V434" s="777"/>
    </row>
    <row r="435" spans="1:22" x14ac:dyDescent="0.25">
      <c r="A435" s="777"/>
      <c r="B435" s="777"/>
      <c r="C435" s="777"/>
      <c r="D435" s="777"/>
      <c r="E435" s="777"/>
      <c r="F435" s="777"/>
      <c r="G435" s="777"/>
      <c r="H435" s="777"/>
      <c r="I435" s="777"/>
      <c r="J435" s="777"/>
      <c r="K435" s="777"/>
      <c r="L435" s="777"/>
      <c r="M435" s="777"/>
      <c r="N435" s="777"/>
      <c r="O435" s="777"/>
      <c r="P435" s="777"/>
      <c r="Q435" s="777"/>
      <c r="R435" s="777"/>
      <c r="S435" s="777"/>
      <c r="T435" s="777"/>
      <c r="U435" s="777"/>
      <c r="V435" s="777"/>
    </row>
    <row r="436" spans="1:22" x14ac:dyDescent="0.25">
      <c r="A436" s="777"/>
      <c r="B436" s="777"/>
      <c r="C436" s="777"/>
      <c r="D436" s="777"/>
      <c r="E436" s="777"/>
      <c r="F436" s="777"/>
      <c r="G436" s="777"/>
      <c r="H436" s="777"/>
      <c r="I436" s="777"/>
      <c r="J436" s="777"/>
      <c r="K436" s="777"/>
      <c r="L436" s="777"/>
      <c r="M436" s="777"/>
      <c r="N436" s="777"/>
      <c r="O436" s="777"/>
      <c r="P436" s="777"/>
      <c r="Q436" s="777"/>
      <c r="R436" s="777"/>
      <c r="S436" s="777"/>
      <c r="T436" s="777"/>
      <c r="U436" s="777"/>
      <c r="V436" s="777"/>
    </row>
    <row r="437" spans="1:22" x14ac:dyDescent="0.25">
      <c r="A437" s="777"/>
      <c r="B437" s="777"/>
      <c r="C437" s="777"/>
      <c r="D437" s="777"/>
      <c r="E437" s="777"/>
      <c r="F437" s="777"/>
      <c r="G437" s="777"/>
      <c r="H437" s="777"/>
      <c r="I437" s="777"/>
      <c r="J437" s="777"/>
      <c r="K437" s="777"/>
      <c r="L437" s="777"/>
      <c r="M437" s="777"/>
      <c r="N437" s="777"/>
      <c r="O437" s="777"/>
      <c r="P437" s="777"/>
      <c r="Q437" s="777"/>
      <c r="R437" s="777"/>
      <c r="S437" s="777"/>
      <c r="T437" s="777"/>
      <c r="U437" s="777"/>
      <c r="V437" s="777"/>
    </row>
    <row r="438" spans="1:22" x14ac:dyDescent="0.25">
      <c r="A438" s="777"/>
      <c r="B438" s="777"/>
      <c r="C438" s="777"/>
      <c r="D438" s="777"/>
      <c r="E438" s="777"/>
      <c r="F438" s="777"/>
      <c r="G438" s="777"/>
      <c r="H438" s="777"/>
      <c r="I438" s="777"/>
      <c r="J438" s="777"/>
      <c r="K438" s="777"/>
      <c r="L438" s="777"/>
      <c r="M438" s="777"/>
      <c r="N438" s="777"/>
      <c r="O438" s="777"/>
      <c r="P438" s="777"/>
      <c r="Q438" s="777"/>
      <c r="R438" s="777"/>
      <c r="S438" s="777"/>
      <c r="T438" s="777"/>
      <c r="U438" s="777"/>
      <c r="V438" s="777"/>
    </row>
    <row r="439" spans="1:22" x14ac:dyDescent="0.25">
      <c r="A439" s="777"/>
      <c r="B439" s="777"/>
      <c r="C439" s="777"/>
      <c r="D439" s="777"/>
      <c r="E439" s="777"/>
      <c r="F439" s="777"/>
      <c r="G439" s="777"/>
      <c r="H439" s="777"/>
      <c r="I439" s="777"/>
      <c r="J439" s="777"/>
      <c r="K439" s="777"/>
      <c r="L439" s="777"/>
      <c r="M439" s="777"/>
      <c r="N439" s="777"/>
      <c r="O439" s="777"/>
      <c r="P439" s="777"/>
      <c r="Q439" s="777"/>
      <c r="R439" s="777"/>
      <c r="S439" s="777"/>
      <c r="T439" s="777"/>
      <c r="U439" s="777"/>
      <c r="V439" s="777"/>
    </row>
    <row r="440" spans="1:22" x14ac:dyDescent="0.25">
      <c r="A440" s="777"/>
      <c r="B440" s="777"/>
      <c r="C440" s="777"/>
      <c r="D440" s="777"/>
      <c r="E440" s="777"/>
      <c r="F440" s="777"/>
      <c r="G440" s="777"/>
      <c r="H440" s="777"/>
      <c r="I440" s="777"/>
      <c r="J440" s="777"/>
      <c r="K440" s="777"/>
      <c r="L440" s="777"/>
      <c r="M440" s="777"/>
      <c r="N440" s="777"/>
      <c r="O440" s="777"/>
      <c r="P440" s="777"/>
      <c r="Q440" s="777"/>
      <c r="R440" s="777"/>
      <c r="S440" s="777"/>
      <c r="T440" s="777"/>
      <c r="U440" s="777"/>
      <c r="V440" s="777"/>
    </row>
    <row r="441" spans="1:22" x14ac:dyDescent="0.25">
      <c r="A441" s="777"/>
      <c r="B441" s="777"/>
      <c r="C441" s="777"/>
      <c r="D441" s="777"/>
      <c r="E441" s="777"/>
      <c r="F441" s="777"/>
      <c r="G441" s="777"/>
      <c r="H441" s="777"/>
      <c r="I441" s="777"/>
      <c r="J441" s="777"/>
      <c r="K441" s="777"/>
      <c r="L441" s="777"/>
      <c r="M441" s="777"/>
      <c r="N441" s="777"/>
      <c r="O441" s="777"/>
      <c r="P441" s="777"/>
      <c r="Q441" s="777"/>
      <c r="R441" s="777"/>
      <c r="S441" s="777"/>
      <c r="T441" s="777"/>
      <c r="U441" s="777"/>
      <c r="V441" s="777"/>
    </row>
    <row r="442" spans="1:22" x14ac:dyDescent="0.25">
      <c r="A442" s="777"/>
      <c r="B442" s="777"/>
      <c r="C442" s="777"/>
      <c r="D442" s="777"/>
      <c r="E442" s="777"/>
      <c r="F442" s="777"/>
      <c r="G442" s="777"/>
      <c r="H442" s="777"/>
      <c r="I442" s="777"/>
      <c r="J442" s="777"/>
      <c r="K442" s="777"/>
      <c r="L442" s="777"/>
      <c r="M442" s="777"/>
      <c r="N442" s="777"/>
      <c r="O442" s="777"/>
      <c r="P442" s="777"/>
      <c r="Q442" s="777"/>
      <c r="R442" s="777"/>
      <c r="S442" s="777"/>
      <c r="T442" s="777"/>
      <c r="U442" s="777"/>
      <c r="V442" s="777"/>
    </row>
    <row r="443" spans="1:22" x14ac:dyDescent="0.25">
      <c r="A443" s="777"/>
      <c r="B443" s="777"/>
      <c r="C443" s="777"/>
      <c r="D443" s="777"/>
      <c r="E443" s="777"/>
      <c r="F443" s="777"/>
      <c r="G443" s="777"/>
      <c r="H443" s="777"/>
      <c r="I443" s="777"/>
      <c r="J443" s="777"/>
      <c r="K443" s="777"/>
      <c r="L443" s="777"/>
      <c r="M443" s="777"/>
      <c r="N443" s="777"/>
      <c r="O443" s="777"/>
      <c r="P443" s="777"/>
      <c r="Q443" s="777"/>
      <c r="R443" s="777"/>
      <c r="S443" s="777"/>
      <c r="T443" s="777"/>
      <c r="U443" s="777"/>
      <c r="V443" s="777"/>
    </row>
    <row r="444" spans="1:22" x14ac:dyDescent="0.25">
      <c r="A444" s="777"/>
      <c r="B444" s="777"/>
      <c r="C444" s="777"/>
      <c r="D444" s="777"/>
      <c r="E444" s="777"/>
      <c r="F444" s="777"/>
      <c r="G444" s="777"/>
      <c r="H444" s="777"/>
      <c r="I444" s="777"/>
      <c r="J444" s="777"/>
      <c r="K444" s="777"/>
      <c r="L444" s="777"/>
      <c r="M444" s="777"/>
      <c r="N444" s="777"/>
      <c r="O444" s="777"/>
      <c r="P444" s="777"/>
      <c r="Q444" s="777"/>
      <c r="R444" s="777"/>
      <c r="S444" s="777"/>
      <c r="T444" s="777"/>
      <c r="U444" s="777"/>
      <c r="V444" s="777"/>
    </row>
    <row r="445" spans="1:22" x14ac:dyDescent="0.25">
      <c r="A445" s="777"/>
      <c r="B445" s="777"/>
      <c r="C445" s="777"/>
      <c r="D445" s="777"/>
      <c r="E445" s="777"/>
      <c r="F445" s="777"/>
      <c r="G445" s="777"/>
      <c r="H445" s="777"/>
      <c r="I445" s="777"/>
      <c r="J445" s="777"/>
      <c r="K445" s="777"/>
      <c r="L445" s="777"/>
      <c r="M445" s="777"/>
      <c r="N445" s="777"/>
      <c r="O445" s="777"/>
      <c r="P445" s="777"/>
      <c r="Q445" s="777"/>
      <c r="R445" s="777"/>
      <c r="S445" s="777"/>
      <c r="T445" s="777"/>
      <c r="U445" s="777"/>
      <c r="V445" s="777"/>
    </row>
    <row r="446" spans="1:22" x14ac:dyDescent="0.25">
      <c r="A446" s="777"/>
      <c r="B446" s="777"/>
      <c r="C446" s="777"/>
      <c r="D446" s="777"/>
      <c r="E446" s="777"/>
      <c r="F446" s="777"/>
      <c r="G446" s="777"/>
      <c r="H446" s="777"/>
      <c r="I446" s="777"/>
      <c r="J446" s="777"/>
      <c r="K446" s="777"/>
      <c r="L446" s="777"/>
      <c r="M446" s="777"/>
      <c r="N446" s="777"/>
      <c r="O446" s="777"/>
      <c r="P446" s="777"/>
      <c r="Q446" s="777"/>
      <c r="R446" s="777"/>
      <c r="S446" s="777"/>
      <c r="T446" s="777"/>
      <c r="U446" s="777"/>
      <c r="V446" s="777"/>
    </row>
    <row r="447" spans="1:22" x14ac:dyDescent="0.25">
      <c r="A447" s="777"/>
      <c r="B447" s="777"/>
      <c r="C447" s="777"/>
      <c r="D447" s="777"/>
      <c r="E447" s="777"/>
      <c r="F447" s="777"/>
      <c r="G447" s="777"/>
      <c r="H447" s="777"/>
      <c r="I447" s="777"/>
      <c r="J447" s="777"/>
      <c r="K447" s="777"/>
      <c r="L447" s="777"/>
      <c r="M447" s="777"/>
      <c r="N447" s="777"/>
      <c r="O447" s="777"/>
      <c r="P447" s="777"/>
      <c r="Q447" s="777"/>
      <c r="R447" s="777"/>
      <c r="S447" s="777"/>
      <c r="T447" s="777"/>
      <c r="U447" s="777"/>
      <c r="V447" s="777"/>
    </row>
    <row r="448" spans="1:22" x14ac:dyDescent="0.25">
      <c r="A448" s="777"/>
      <c r="B448" s="777"/>
      <c r="C448" s="777"/>
      <c r="D448" s="777"/>
      <c r="E448" s="777"/>
      <c r="F448" s="777"/>
      <c r="G448" s="777"/>
      <c r="H448" s="777"/>
      <c r="I448" s="777"/>
      <c r="J448" s="777"/>
      <c r="K448" s="777"/>
      <c r="L448" s="777"/>
      <c r="M448" s="777"/>
      <c r="N448" s="777"/>
      <c r="O448" s="777"/>
      <c r="P448" s="777"/>
      <c r="Q448" s="777"/>
      <c r="R448" s="777"/>
      <c r="S448" s="777"/>
      <c r="T448" s="777"/>
      <c r="U448" s="777"/>
      <c r="V448" s="777"/>
    </row>
    <row r="449" spans="1:22" x14ac:dyDescent="0.25">
      <c r="A449" s="777"/>
      <c r="B449" s="777"/>
      <c r="C449" s="777"/>
      <c r="D449" s="777"/>
      <c r="E449" s="777"/>
      <c r="F449" s="777"/>
      <c r="G449" s="777"/>
      <c r="H449" s="777"/>
      <c r="I449" s="777"/>
      <c r="J449" s="777"/>
      <c r="K449" s="777"/>
      <c r="L449" s="777"/>
      <c r="M449" s="777"/>
      <c r="N449" s="777"/>
      <c r="O449" s="777"/>
      <c r="P449" s="777"/>
      <c r="Q449" s="777"/>
      <c r="R449" s="777"/>
      <c r="S449" s="777"/>
      <c r="T449" s="777"/>
      <c r="U449" s="777"/>
      <c r="V449" s="777"/>
    </row>
    <row r="450" spans="1:22" x14ac:dyDescent="0.25">
      <c r="A450" s="777"/>
      <c r="B450" s="777"/>
      <c r="C450" s="777"/>
      <c r="D450" s="777"/>
      <c r="E450" s="777"/>
      <c r="F450" s="777"/>
      <c r="G450" s="777"/>
      <c r="H450" s="777"/>
      <c r="I450" s="777"/>
      <c r="J450" s="777"/>
      <c r="K450" s="777"/>
      <c r="L450" s="777"/>
      <c r="M450" s="777"/>
      <c r="N450" s="777"/>
      <c r="O450" s="777"/>
      <c r="P450" s="777"/>
      <c r="Q450" s="777"/>
      <c r="R450" s="777"/>
      <c r="S450" s="777"/>
      <c r="T450" s="777"/>
      <c r="U450" s="777"/>
      <c r="V450" s="777"/>
    </row>
    <row r="451" spans="1:22" x14ac:dyDescent="0.25">
      <c r="A451" s="777"/>
      <c r="B451" s="777"/>
      <c r="C451" s="777"/>
      <c r="D451" s="777"/>
      <c r="E451" s="777"/>
      <c r="F451" s="777"/>
      <c r="G451" s="777"/>
      <c r="H451" s="777"/>
      <c r="I451" s="777"/>
      <c r="J451" s="777"/>
      <c r="K451" s="777"/>
      <c r="L451" s="777"/>
      <c r="M451" s="777"/>
      <c r="N451" s="777"/>
      <c r="O451" s="777"/>
      <c r="P451" s="777"/>
      <c r="Q451" s="777"/>
      <c r="R451" s="777"/>
      <c r="S451" s="777"/>
      <c r="T451" s="777"/>
      <c r="U451" s="777"/>
      <c r="V451" s="777"/>
    </row>
    <row r="452" spans="1:22" x14ac:dyDescent="0.25">
      <c r="A452" s="777"/>
      <c r="B452" s="777"/>
      <c r="C452" s="777"/>
      <c r="D452" s="777"/>
      <c r="E452" s="777"/>
      <c r="F452" s="777"/>
      <c r="G452" s="777"/>
      <c r="H452" s="777"/>
      <c r="I452" s="777"/>
      <c r="J452" s="777"/>
      <c r="K452" s="777"/>
      <c r="L452" s="777"/>
      <c r="M452" s="777"/>
      <c r="N452" s="777"/>
      <c r="O452" s="777"/>
      <c r="P452" s="777"/>
      <c r="Q452" s="777"/>
      <c r="R452" s="777"/>
      <c r="S452" s="777"/>
      <c r="T452" s="777"/>
      <c r="U452" s="777"/>
      <c r="V452" s="777"/>
    </row>
    <row r="453" spans="1:22" x14ac:dyDescent="0.25">
      <c r="A453" s="777"/>
      <c r="B453" s="777"/>
      <c r="C453" s="777"/>
      <c r="D453" s="777"/>
      <c r="E453" s="777"/>
      <c r="F453" s="777"/>
      <c r="G453" s="777"/>
      <c r="H453" s="777"/>
      <c r="I453" s="777"/>
      <c r="J453" s="777"/>
      <c r="K453" s="777"/>
      <c r="L453" s="777"/>
      <c r="M453" s="777"/>
      <c r="N453" s="777"/>
      <c r="O453" s="777"/>
      <c r="P453" s="777"/>
      <c r="Q453" s="777"/>
      <c r="R453" s="777"/>
      <c r="S453" s="777"/>
      <c r="T453" s="777"/>
      <c r="U453" s="777"/>
      <c r="V453" s="777"/>
    </row>
    <row r="454" spans="1:22" x14ac:dyDescent="0.25">
      <c r="A454" s="777"/>
      <c r="B454" s="777"/>
      <c r="C454" s="777"/>
      <c r="D454" s="777"/>
      <c r="E454" s="777"/>
      <c r="F454" s="777"/>
      <c r="G454" s="777"/>
      <c r="H454" s="777"/>
      <c r="I454" s="777"/>
      <c r="J454" s="777"/>
      <c r="K454" s="777"/>
      <c r="L454" s="777"/>
      <c r="M454" s="777"/>
      <c r="N454" s="777"/>
      <c r="O454" s="777"/>
      <c r="P454" s="777"/>
      <c r="Q454" s="777"/>
      <c r="R454" s="777"/>
      <c r="S454" s="777"/>
      <c r="T454" s="777"/>
      <c r="U454" s="777"/>
      <c r="V454" s="777"/>
    </row>
    <row r="455" spans="1:22" x14ac:dyDescent="0.25">
      <c r="A455" s="777"/>
      <c r="B455" s="777"/>
      <c r="C455" s="777"/>
      <c r="D455" s="777"/>
      <c r="E455" s="777"/>
      <c r="F455" s="777"/>
      <c r="G455" s="777"/>
      <c r="H455" s="777"/>
      <c r="I455" s="777"/>
      <c r="J455" s="777"/>
      <c r="K455" s="777"/>
      <c r="L455" s="777"/>
      <c r="M455" s="777"/>
      <c r="N455" s="777"/>
      <c r="O455" s="777"/>
      <c r="P455" s="777"/>
      <c r="Q455" s="777"/>
      <c r="R455" s="777"/>
      <c r="S455" s="777"/>
      <c r="T455" s="777"/>
      <c r="U455" s="777"/>
      <c r="V455" s="777"/>
    </row>
    <row r="456" spans="1:22" x14ac:dyDescent="0.25">
      <c r="A456" s="777"/>
      <c r="B456" s="777"/>
      <c r="C456" s="777"/>
      <c r="D456" s="777"/>
      <c r="E456" s="777"/>
      <c r="F456" s="777"/>
      <c r="G456" s="777"/>
      <c r="H456" s="777"/>
      <c r="I456" s="777"/>
      <c r="J456" s="777"/>
      <c r="K456" s="777"/>
      <c r="L456" s="777"/>
      <c r="M456" s="777"/>
      <c r="N456" s="777"/>
      <c r="O456" s="777"/>
      <c r="P456" s="777"/>
      <c r="Q456" s="777"/>
      <c r="R456" s="777"/>
      <c r="S456" s="777"/>
      <c r="T456" s="777"/>
      <c r="U456" s="777"/>
      <c r="V456" s="777"/>
    </row>
    <row r="457" spans="1:22" x14ac:dyDescent="0.25">
      <c r="A457" s="777"/>
      <c r="B457" s="777"/>
      <c r="C457" s="777"/>
      <c r="D457" s="777"/>
      <c r="E457" s="777"/>
      <c r="F457" s="777"/>
      <c r="G457" s="777"/>
      <c r="H457" s="777"/>
      <c r="I457" s="777"/>
      <c r="J457" s="777"/>
      <c r="K457" s="777"/>
      <c r="L457" s="777"/>
      <c r="M457" s="777"/>
      <c r="N457" s="777"/>
      <c r="O457" s="777"/>
      <c r="P457" s="777"/>
      <c r="Q457" s="777"/>
      <c r="R457" s="777"/>
      <c r="S457" s="777"/>
      <c r="T457" s="777"/>
      <c r="U457" s="777"/>
      <c r="V457" s="777"/>
    </row>
    <row r="458" spans="1:22" x14ac:dyDescent="0.25">
      <c r="A458" s="777"/>
      <c r="B458" s="777"/>
      <c r="C458" s="777"/>
      <c r="D458" s="777"/>
      <c r="E458" s="777"/>
      <c r="F458" s="777"/>
      <c r="G458" s="777"/>
      <c r="H458" s="777"/>
      <c r="I458" s="777"/>
      <c r="J458" s="777"/>
      <c r="K458" s="777"/>
      <c r="L458" s="777"/>
      <c r="M458" s="777"/>
      <c r="N458" s="777"/>
      <c r="O458" s="777"/>
      <c r="P458" s="777"/>
      <c r="Q458" s="777"/>
      <c r="R458" s="777"/>
      <c r="S458" s="777"/>
      <c r="T458" s="777"/>
      <c r="U458" s="777"/>
      <c r="V458" s="777"/>
    </row>
    <row r="459" spans="1:22" x14ac:dyDescent="0.25">
      <c r="A459" s="777"/>
      <c r="B459" s="777"/>
      <c r="C459" s="777"/>
      <c r="D459" s="777"/>
      <c r="E459" s="777"/>
      <c r="F459" s="777"/>
      <c r="G459" s="777"/>
      <c r="H459" s="777"/>
      <c r="I459" s="777"/>
      <c r="J459" s="777"/>
      <c r="K459" s="777"/>
      <c r="L459" s="777"/>
      <c r="M459" s="777"/>
      <c r="N459" s="777"/>
      <c r="O459" s="777"/>
      <c r="P459" s="777"/>
      <c r="Q459" s="777"/>
      <c r="R459" s="777"/>
      <c r="S459" s="777"/>
      <c r="T459" s="777"/>
      <c r="U459" s="777"/>
      <c r="V459" s="777"/>
    </row>
    <row r="460" spans="1:22" x14ac:dyDescent="0.25">
      <c r="A460" s="777"/>
      <c r="B460" s="777"/>
      <c r="C460" s="777"/>
      <c r="D460" s="777"/>
      <c r="E460" s="777"/>
      <c r="F460" s="777"/>
      <c r="G460" s="777"/>
      <c r="H460" s="777"/>
      <c r="I460" s="777"/>
      <c r="J460" s="777"/>
      <c r="K460" s="777"/>
      <c r="L460" s="777"/>
      <c r="M460" s="777"/>
      <c r="N460" s="777"/>
      <c r="O460" s="777"/>
      <c r="P460" s="777"/>
      <c r="Q460" s="777"/>
      <c r="R460" s="777"/>
      <c r="S460" s="777"/>
      <c r="T460" s="777"/>
      <c r="U460" s="777"/>
      <c r="V460" s="777"/>
    </row>
    <row r="461" spans="1:22" x14ac:dyDescent="0.25">
      <c r="A461" s="777"/>
      <c r="B461" s="777"/>
      <c r="C461" s="777"/>
      <c r="D461" s="777"/>
      <c r="E461" s="777"/>
      <c r="F461" s="777"/>
      <c r="G461" s="777"/>
      <c r="H461" s="777"/>
      <c r="I461" s="777"/>
      <c r="J461" s="777"/>
      <c r="K461" s="777"/>
      <c r="L461" s="777"/>
      <c r="M461" s="777"/>
      <c r="N461" s="777"/>
      <c r="O461" s="777"/>
      <c r="P461" s="777"/>
      <c r="Q461" s="777"/>
      <c r="R461" s="777"/>
      <c r="S461" s="777"/>
      <c r="T461" s="777"/>
      <c r="U461" s="777"/>
      <c r="V461" s="777"/>
    </row>
    <row r="462" spans="1:22" x14ac:dyDescent="0.25">
      <c r="A462" s="777"/>
      <c r="B462" s="777"/>
      <c r="C462" s="777"/>
      <c r="D462" s="777"/>
      <c r="E462" s="777"/>
      <c r="F462" s="777"/>
      <c r="G462" s="777"/>
      <c r="H462" s="777"/>
      <c r="I462" s="777"/>
      <c r="J462" s="777"/>
      <c r="K462" s="777"/>
      <c r="L462" s="777"/>
      <c r="M462" s="777"/>
      <c r="N462" s="777"/>
      <c r="O462" s="777"/>
      <c r="P462" s="777"/>
      <c r="Q462" s="777"/>
      <c r="R462" s="777"/>
      <c r="S462" s="777"/>
      <c r="T462" s="777"/>
      <c r="U462" s="777"/>
      <c r="V462" s="777"/>
    </row>
    <row r="463" spans="1:22" x14ac:dyDescent="0.25">
      <c r="A463" s="777"/>
      <c r="B463" s="777"/>
      <c r="C463" s="777"/>
      <c r="D463" s="777"/>
      <c r="E463" s="777"/>
      <c r="F463" s="777"/>
      <c r="G463" s="777"/>
      <c r="H463" s="777"/>
      <c r="I463" s="777"/>
      <c r="J463" s="777"/>
      <c r="K463" s="777"/>
      <c r="L463" s="777"/>
      <c r="M463" s="777"/>
      <c r="N463" s="777"/>
      <c r="O463" s="777"/>
      <c r="P463" s="777"/>
      <c r="Q463" s="777"/>
      <c r="R463" s="777"/>
      <c r="S463" s="777"/>
      <c r="T463" s="777"/>
      <c r="U463" s="777"/>
      <c r="V463" s="777"/>
    </row>
    <row r="464" spans="1:22" x14ac:dyDescent="0.25">
      <c r="A464" s="777"/>
      <c r="B464" s="777"/>
      <c r="C464" s="777"/>
      <c r="D464" s="777"/>
      <c r="E464" s="777"/>
      <c r="F464" s="777"/>
      <c r="G464" s="777"/>
      <c r="H464" s="777"/>
      <c r="I464" s="777"/>
      <c r="J464" s="777"/>
      <c r="K464" s="777"/>
      <c r="L464" s="777"/>
      <c r="M464" s="777"/>
      <c r="N464" s="777"/>
      <c r="O464" s="777"/>
      <c r="P464" s="777"/>
      <c r="Q464" s="777"/>
      <c r="R464" s="777"/>
      <c r="S464" s="777"/>
      <c r="T464" s="777"/>
      <c r="U464" s="777"/>
      <c r="V464" s="777"/>
    </row>
    <row r="465" spans="1:22" x14ac:dyDescent="0.25">
      <c r="A465" s="777"/>
      <c r="B465" s="777"/>
      <c r="C465" s="777"/>
      <c r="D465" s="777"/>
      <c r="E465" s="777"/>
      <c r="F465" s="777"/>
      <c r="G465" s="777"/>
      <c r="H465" s="777"/>
      <c r="I465" s="777"/>
      <c r="J465" s="777"/>
      <c r="K465" s="777"/>
      <c r="L465" s="777"/>
      <c r="M465" s="777"/>
      <c r="N465" s="777"/>
      <c r="O465" s="777"/>
      <c r="P465" s="777"/>
      <c r="Q465" s="777"/>
      <c r="R465" s="777"/>
      <c r="S465" s="777"/>
      <c r="T465" s="777"/>
      <c r="U465" s="777"/>
      <c r="V465" s="777"/>
    </row>
    <row r="466" spans="1:22" x14ac:dyDescent="0.25">
      <c r="A466" s="777"/>
      <c r="B466" s="777"/>
      <c r="C466" s="777"/>
      <c r="D466" s="777"/>
      <c r="E466" s="777"/>
      <c r="F466" s="777"/>
      <c r="G466" s="777"/>
      <c r="H466" s="777"/>
      <c r="I466" s="777"/>
      <c r="J466" s="777"/>
      <c r="K466" s="777"/>
      <c r="L466" s="777"/>
      <c r="M466" s="777"/>
      <c r="N466" s="777"/>
      <c r="O466" s="777"/>
      <c r="P466" s="777"/>
      <c r="Q466" s="777"/>
      <c r="R466" s="777"/>
      <c r="S466" s="777"/>
      <c r="T466" s="777"/>
      <c r="U466" s="777"/>
      <c r="V466" s="777"/>
    </row>
    <row r="467" spans="1:22" x14ac:dyDescent="0.25">
      <c r="A467" s="777"/>
      <c r="B467" s="777"/>
      <c r="C467" s="777"/>
      <c r="D467" s="777"/>
      <c r="E467" s="777"/>
      <c r="F467" s="777"/>
      <c r="G467" s="777"/>
      <c r="H467" s="777"/>
      <c r="I467" s="777"/>
      <c r="J467" s="777"/>
      <c r="K467" s="777"/>
      <c r="L467" s="777"/>
      <c r="M467" s="777"/>
      <c r="N467" s="777"/>
      <c r="O467" s="777"/>
      <c r="P467" s="777"/>
      <c r="Q467" s="777"/>
      <c r="R467" s="777"/>
      <c r="S467" s="777"/>
      <c r="T467" s="777"/>
      <c r="U467" s="777"/>
      <c r="V467" s="777"/>
    </row>
    <row r="468" spans="1:22" x14ac:dyDescent="0.25">
      <c r="A468" s="777"/>
      <c r="B468" s="777"/>
      <c r="C468" s="777"/>
      <c r="D468" s="777"/>
      <c r="E468" s="777"/>
      <c r="F468" s="777"/>
      <c r="G468" s="777"/>
      <c r="H468" s="777"/>
      <c r="I468" s="777"/>
      <c r="J468" s="777"/>
      <c r="K468" s="777"/>
      <c r="L468" s="777"/>
      <c r="M468" s="777"/>
      <c r="N468" s="777"/>
      <c r="O468" s="777"/>
      <c r="P468" s="777"/>
      <c r="Q468" s="777"/>
      <c r="R468" s="777"/>
      <c r="S468" s="777"/>
      <c r="T468" s="777"/>
      <c r="U468" s="777"/>
      <c r="V468" s="777"/>
    </row>
    <row r="469" spans="1:22" x14ac:dyDescent="0.25">
      <c r="A469" s="777"/>
      <c r="B469" s="777"/>
      <c r="C469" s="777"/>
      <c r="D469" s="777"/>
      <c r="E469" s="777"/>
      <c r="F469" s="777"/>
      <c r="G469" s="777"/>
      <c r="H469" s="777"/>
      <c r="I469" s="777"/>
      <c r="J469" s="777"/>
      <c r="K469" s="777"/>
      <c r="L469" s="777"/>
      <c r="M469" s="777"/>
      <c r="N469" s="777"/>
      <c r="O469" s="777"/>
      <c r="P469" s="777"/>
      <c r="Q469" s="777"/>
      <c r="R469" s="777"/>
      <c r="S469" s="777"/>
      <c r="T469" s="777"/>
      <c r="U469" s="777"/>
      <c r="V469" s="777"/>
    </row>
    <row r="470" spans="1:22" x14ac:dyDescent="0.25">
      <c r="A470" s="777"/>
      <c r="B470" s="777"/>
      <c r="C470" s="777"/>
      <c r="D470" s="777"/>
      <c r="E470" s="777"/>
      <c r="F470" s="777"/>
      <c r="G470" s="777"/>
      <c r="H470" s="777"/>
      <c r="I470" s="777"/>
      <c r="J470" s="777"/>
      <c r="K470" s="777"/>
      <c r="L470" s="777"/>
      <c r="M470" s="777"/>
      <c r="N470" s="777"/>
      <c r="O470" s="777"/>
      <c r="P470" s="777"/>
      <c r="Q470" s="777"/>
      <c r="R470" s="777"/>
      <c r="S470" s="777"/>
      <c r="T470" s="777"/>
      <c r="U470" s="777"/>
      <c r="V470" s="777"/>
    </row>
    <row r="471" spans="1:22" x14ac:dyDescent="0.25">
      <c r="A471" s="777"/>
      <c r="B471" s="777"/>
      <c r="C471" s="777"/>
      <c r="D471" s="777"/>
      <c r="E471" s="777"/>
      <c r="F471" s="777"/>
      <c r="G471" s="777"/>
      <c r="H471" s="777"/>
      <c r="I471" s="777"/>
      <c r="J471" s="777"/>
      <c r="K471" s="777"/>
      <c r="L471" s="777"/>
      <c r="M471" s="777"/>
      <c r="N471" s="777"/>
      <c r="O471" s="777"/>
      <c r="P471" s="777"/>
      <c r="Q471" s="777"/>
      <c r="R471" s="777"/>
      <c r="S471" s="777"/>
      <c r="T471" s="777"/>
      <c r="U471" s="777"/>
      <c r="V471" s="777"/>
    </row>
    <row r="472" spans="1:22" x14ac:dyDescent="0.25">
      <c r="A472" s="777"/>
      <c r="B472" s="777"/>
      <c r="C472" s="777"/>
      <c r="D472" s="777"/>
      <c r="E472" s="777"/>
      <c r="F472" s="777"/>
      <c r="G472" s="777"/>
      <c r="H472" s="777"/>
      <c r="I472" s="777"/>
      <c r="J472" s="777"/>
      <c r="K472" s="777"/>
      <c r="L472" s="777"/>
      <c r="M472" s="777"/>
      <c r="N472" s="777"/>
      <c r="O472" s="777"/>
      <c r="P472" s="777"/>
      <c r="Q472" s="777"/>
      <c r="R472" s="777"/>
      <c r="S472" s="777"/>
      <c r="T472" s="777"/>
      <c r="U472" s="777"/>
      <c r="V472" s="777"/>
    </row>
    <row r="473" spans="1:22" x14ac:dyDescent="0.25">
      <c r="A473" s="777"/>
      <c r="B473" s="777"/>
      <c r="C473" s="777"/>
      <c r="D473" s="777"/>
      <c r="E473" s="777"/>
      <c r="F473" s="777"/>
      <c r="G473" s="777"/>
      <c r="H473" s="777"/>
      <c r="I473" s="777"/>
      <c r="J473" s="777"/>
      <c r="K473" s="777"/>
      <c r="L473" s="777"/>
      <c r="M473" s="777"/>
      <c r="N473" s="777"/>
      <c r="O473" s="777"/>
      <c r="P473" s="777"/>
      <c r="Q473" s="777"/>
      <c r="R473" s="777"/>
      <c r="S473" s="777"/>
      <c r="T473" s="777"/>
      <c r="U473" s="777"/>
      <c r="V473" s="777"/>
    </row>
    <row r="474" spans="1:22" x14ac:dyDescent="0.25">
      <c r="A474" s="777"/>
      <c r="B474" s="777"/>
      <c r="C474" s="777"/>
      <c r="D474" s="777"/>
      <c r="E474" s="777"/>
      <c r="F474" s="777"/>
      <c r="G474" s="777"/>
      <c r="H474" s="777"/>
      <c r="I474" s="777"/>
      <c r="J474" s="777"/>
      <c r="K474" s="777"/>
      <c r="L474" s="777"/>
      <c r="M474" s="777"/>
      <c r="N474" s="777"/>
      <c r="O474" s="777"/>
      <c r="P474" s="777"/>
      <c r="Q474" s="777"/>
      <c r="R474" s="777"/>
      <c r="S474" s="777"/>
      <c r="T474" s="777"/>
      <c r="U474" s="777"/>
      <c r="V474" s="777"/>
    </row>
    <row r="475" spans="1:22" x14ac:dyDescent="0.25">
      <c r="A475" s="777"/>
      <c r="B475" s="777"/>
      <c r="C475" s="777"/>
      <c r="D475" s="777"/>
      <c r="E475" s="777"/>
      <c r="F475" s="777"/>
      <c r="G475" s="777"/>
      <c r="H475" s="777"/>
      <c r="I475" s="777"/>
      <c r="J475" s="777"/>
      <c r="K475" s="777"/>
      <c r="L475" s="777"/>
      <c r="M475" s="777"/>
      <c r="N475" s="777"/>
      <c r="O475" s="777"/>
      <c r="P475" s="777"/>
      <c r="Q475" s="777"/>
      <c r="R475" s="777"/>
      <c r="S475" s="777"/>
      <c r="T475" s="777"/>
      <c r="U475" s="777"/>
      <c r="V475" s="777"/>
    </row>
    <row r="476" spans="1:22" x14ac:dyDescent="0.25">
      <c r="A476" s="777"/>
      <c r="B476" s="777"/>
      <c r="C476" s="777"/>
      <c r="D476" s="777"/>
      <c r="E476" s="777"/>
      <c r="F476" s="777"/>
      <c r="G476" s="777"/>
      <c r="H476" s="777"/>
      <c r="I476" s="777"/>
      <c r="J476" s="777"/>
      <c r="K476" s="777"/>
      <c r="L476" s="777"/>
      <c r="M476" s="777"/>
      <c r="N476" s="777"/>
      <c r="O476" s="777"/>
      <c r="P476" s="777"/>
      <c r="Q476" s="777"/>
      <c r="R476" s="777"/>
      <c r="S476" s="777"/>
      <c r="T476" s="777"/>
      <c r="U476" s="777"/>
      <c r="V476" s="777"/>
    </row>
    <row r="477" spans="1:22" x14ac:dyDescent="0.25">
      <c r="A477" s="777"/>
      <c r="B477" s="777"/>
      <c r="C477" s="777"/>
      <c r="D477" s="777"/>
      <c r="E477" s="777"/>
      <c r="F477" s="777"/>
      <c r="G477" s="777"/>
      <c r="H477" s="777"/>
      <c r="I477" s="777"/>
      <c r="J477" s="777"/>
      <c r="K477" s="777"/>
      <c r="L477" s="777"/>
      <c r="M477" s="777"/>
      <c r="N477" s="777"/>
      <c r="O477" s="777"/>
      <c r="P477" s="777"/>
      <c r="Q477" s="777"/>
      <c r="R477" s="777"/>
      <c r="S477" s="777"/>
      <c r="T477" s="777"/>
      <c r="U477" s="777"/>
      <c r="V477" s="777"/>
    </row>
    <row r="478" spans="1:22" x14ac:dyDescent="0.25">
      <c r="A478" s="777"/>
      <c r="B478" s="777"/>
      <c r="C478" s="777"/>
      <c r="D478" s="777"/>
      <c r="E478" s="777"/>
      <c r="F478" s="777"/>
      <c r="G478" s="777"/>
      <c r="H478" s="777"/>
      <c r="I478" s="777"/>
      <c r="J478" s="777"/>
      <c r="K478" s="777"/>
      <c r="L478" s="777"/>
      <c r="M478" s="777"/>
      <c r="N478" s="777"/>
      <c r="O478" s="777"/>
      <c r="P478" s="777"/>
      <c r="Q478" s="777"/>
      <c r="R478" s="777"/>
      <c r="S478" s="777"/>
      <c r="T478" s="777"/>
      <c r="U478" s="777"/>
      <c r="V478" s="777"/>
    </row>
    <row r="479" spans="1:22" x14ac:dyDescent="0.25">
      <c r="A479" s="777"/>
      <c r="B479" s="777"/>
      <c r="C479" s="777"/>
      <c r="D479" s="777"/>
      <c r="E479" s="777"/>
      <c r="F479" s="777"/>
      <c r="G479" s="777"/>
      <c r="H479" s="777"/>
      <c r="I479" s="777"/>
      <c r="J479" s="777"/>
      <c r="K479" s="777"/>
      <c r="L479" s="777"/>
      <c r="M479" s="777"/>
      <c r="N479" s="777"/>
      <c r="O479" s="777"/>
      <c r="P479" s="777"/>
      <c r="Q479" s="777"/>
      <c r="R479" s="777"/>
      <c r="S479" s="777"/>
      <c r="T479" s="777"/>
      <c r="U479" s="777"/>
      <c r="V479" s="777"/>
    </row>
    <row r="480" spans="1:22" x14ac:dyDescent="0.25">
      <c r="A480" s="777"/>
      <c r="B480" s="777"/>
      <c r="C480" s="777"/>
      <c r="D480" s="777"/>
      <c r="E480" s="777"/>
      <c r="F480" s="777"/>
      <c r="G480" s="777"/>
      <c r="H480" s="777"/>
      <c r="I480" s="777"/>
      <c r="J480" s="777"/>
      <c r="K480" s="777"/>
      <c r="L480" s="777"/>
      <c r="M480" s="777"/>
      <c r="N480" s="777"/>
      <c r="O480" s="777"/>
      <c r="P480" s="777"/>
      <c r="Q480" s="777"/>
      <c r="R480" s="777"/>
      <c r="S480" s="777"/>
      <c r="T480" s="777"/>
      <c r="U480" s="777"/>
      <c r="V480" s="777"/>
    </row>
    <row r="481" spans="1:22" x14ac:dyDescent="0.25">
      <c r="A481" s="777"/>
      <c r="B481" s="777"/>
      <c r="C481" s="777"/>
      <c r="D481" s="777"/>
      <c r="E481" s="777"/>
      <c r="F481" s="777"/>
      <c r="G481" s="777"/>
      <c r="H481" s="777"/>
      <c r="I481" s="777"/>
      <c r="J481" s="777"/>
      <c r="K481" s="777"/>
      <c r="L481" s="777"/>
      <c r="M481" s="777"/>
      <c r="N481" s="777"/>
      <c r="O481" s="777"/>
      <c r="P481" s="777"/>
      <c r="Q481" s="777"/>
      <c r="R481" s="777"/>
      <c r="S481" s="777"/>
      <c r="T481" s="777"/>
      <c r="U481" s="777"/>
      <c r="V481" s="777"/>
    </row>
    <row r="482" spans="1:22" x14ac:dyDescent="0.25">
      <c r="A482" s="777"/>
      <c r="B482" s="777"/>
      <c r="C482" s="777"/>
      <c r="D482" s="777"/>
      <c r="E482" s="777"/>
      <c r="F482" s="777"/>
      <c r="G482" s="777"/>
      <c r="H482" s="777"/>
      <c r="I482" s="777"/>
      <c r="J482" s="777"/>
      <c r="K482" s="777"/>
      <c r="L482" s="777"/>
      <c r="M482" s="777"/>
      <c r="N482" s="777"/>
      <c r="O482" s="777"/>
      <c r="P482" s="777"/>
      <c r="Q482" s="777"/>
      <c r="R482" s="777"/>
      <c r="S482" s="777"/>
      <c r="T482" s="777"/>
      <c r="U482" s="777"/>
      <c r="V482" s="777"/>
    </row>
    <row r="483" spans="1:22" x14ac:dyDescent="0.25">
      <c r="A483" s="777"/>
      <c r="B483" s="777"/>
      <c r="C483" s="777"/>
      <c r="D483" s="777"/>
      <c r="E483" s="777"/>
      <c r="F483" s="777"/>
      <c r="G483" s="777"/>
      <c r="H483" s="777"/>
      <c r="I483" s="777"/>
      <c r="J483" s="777"/>
      <c r="K483" s="777"/>
      <c r="L483" s="777"/>
      <c r="M483" s="777"/>
      <c r="N483" s="777"/>
      <c r="O483" s="777"/>
      <c r="P483" s="777"/>
      <c r="Q483" s="777"/>
      <c r="R483" s="777"/>
      <c r="S483" s="777"/>
      <c r="T483" s="777"/>
      <c r="U483" s="777"/>
      <c r="V483" s="777"/>
    </row>
    <row r="484" spans="1:22" x14ac:dyDescent="0.25">
      <c r="A484" s="777"/>
      <c r="B484" s="777"/>
      <c r="C484" s="777"/>
      <c r="D484" s="777"/>
      <c r="E484" s="777"/>
      <c r="F484" s="777"/>
      <c r="G484" s="777"/>
      <c r="H484" s="777"/>
      <c r="I484" s="777"/>
      <c r="J484" s="777"/>
      <c r="K484" s="777"/>
      <c r="L484" s="777"/>
      <c r="M484" s="777"/>
      <c r="N484" s="777"/>
      <c r="O484" s="777"/>
      <c r="P484" s="777"/>
      <c r="Q484" s="777"/>
      <c r="R484" s="777"/>
      <c r="S484" s="777"/>
      <c r="T484" s="777"/>
      <c r="U484" s="777"/>
      <c r="V484" s="777"/>
    </row>
    <row r="485" spans="1:22" x14ac:dyDescent="0.25">
      <c r="A485" s="777"/>
      <c r="B485" s="777"/>
      <c r="C485" s="777"/>
      <c r="D485" s="777"/>
      <c r="E485" s="777"/>
      <c r="F485" s="777"/>
      <c r="G485" s="777"/>
      <c r="H485" s="777"/>
      <c r="I485" s="777"/>
      <c r="J485" s="777"/>
      <c r="K485" s="777"/>
      <c r="L485" s="777"/>
      <c r="M485" s="777"/>
      <c r="N485" s="777"/>
      <c r="O485" s="777"/>
      <c r="P485" s="777"/>
      <c r="Q485" s="777"/>
      <c r="R485" s="777"/>
      <c r="S485" s="777"/>
      <c r="T485" s="777"/>
      <c r="U485" s="777"/>
      <c r="V485" s="777"/>
    </row>
    <row r="486" spans="1:22" x14ac:dyDescent="0.25">
      <c r="A486" s="777"/>
      <c r="B486" s="777"/>
      <c r="C486" s="777"/>
      <c r="D486" s="777"/>
      <c r="E486" s="777"/>
      <c r="F486" s="777"/>
      <c r="G486" s="777"/>
      <c r="H486" s="777"/>
      <c r="I486" s="777"/>
      <c r="J486" s="777"/>
      <c r="K486" s="777"/>
      <c r="L486" s="777"/>
      <c r="M486" s="777"/>
      <c r="N486" s="777"/>
      <c r="O486" s="777"/>
      <c r="P486" s="777"/>
      <c r="Q486" s="777"/>
      <c r="R486" s="777"/>
      <c r="S486" s="777"/>
      <c r="T486" s="777"/>
      <c r="U486" s="777"/>
      <c r="V486" s="777"/>
    </row>
  </sheetData>
  <mergeCells count="4">
    <mergeCell ref="A1:G1"/>
    <mergeCell ref="A4:G4"/>
    <mergeCell ref="H4:J4"/>
    <mergeCell ref="K4:N4"/>
  </mergeCells>
  <conditionalFormatting sqref="A32:C32">
    <cfRule type="expression" dxfId="4" priority="16">
      <formula>#REF!="Ecolibrium"</formula>
    </cfRule>
  </conditionalFormatting>
  <conditionalFormatting sqref="D32:E32">
    <cfRule type="expression" dxfId="3" priority="9">
      <formula>#REF!="Ecolibrium"</formula>
    </cfRule>
  </conditionalFormatting>
  <conditionalFormatting sqref="A7:N8">
    <cfRule type="expression" dxfId="2" priority="3">
      <formula>$G$30="YES"</formula>
    </cfRule>
  </conditionalFormatting>
  <conditionalFormatting sqref="A9:N9">
    <cfRule type="expression" dxfId="1" priority="2">
      <formula>$G$31="NO"</formula>
    </cfRule>
  </conditionalFormatting>
  <conditionalFormatting sqref="A6:N6">
    <cfRule type="expression" dxfId="0" priority="1">
      <formula>$G$30="NO"</formula>
    </cfRule>
  </conditionalFormatting>
  <dataValidations count="1">
    <dataValidation type="list" allowBlank="1" showInputMessage="1" showErrorMessage="1" sqref="G29:G31">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 workbookViewId="0">
      <selection activeCell="F32" sqref="F32"/>
    </sheetView>
  </sheetViews>
  <sheetFormatPr defaultColWidth="8.75" defaultRowHeight="12.75" x14ac:dyDescent="0.25"/>
  <cols>
    <col min="1" max="1" width="18.25" style="876" customWidth="1"/>
    <col min="2" max="2" width="29.75" style="876" customWidth="1"/>
    <col min="3" max="3" width="13.875" style="876" bestFit="1" customWidth="1"/>
    <col min="4" max="4" width="8.375" style="876" customWidth="1"/>
    <col min="5" max="5" width="11.25" style="876" customWidth="1"/>
    <col min="6" max="6" width="13" style="876" customWidth="1"/>
    <col min="7" max="7" width="9.125" style="876" customWidth="1"/>
    <col min="8" max="16384" width="8.75" style="876"/>
  </cols>
  <sheetData>
    <row r="1" spans="1:7" ht="47.25" x14ac:dyDescent="0.6">
      <c r="A1" s="874"/>
      <c r="B1" s="875"/>
      <c r="C1" s="1120" t="s">
        <v>195</v>
      </c>
      <c r="D1" s="1120"/>
      <c r="E1" s="1120"/>
      <c r="F1" s="1120"/>
    </row>
    <row r="2" spans="1:7" ht="15" x14ac:dyDescent="0.25">
      <c r="A2" s="918"/>
      <c r="B2" s="919"/>
      <c r="C2" s="877"/>
      <c r="D2" s="877"/>
      <c r="E2" s="877"/>
      <c r="F2" s="877"/>
    </row>
    <row r="3" spans="1:7" ht="12.75" customHeight="1" x14ac:dyDescent="0.2">
      <c r="A3" s="1038" t="s">
        <v>253</v>
      </c>
      <c r="C3" s="878" t="s">
        <v>254</v>
      </c>
      <c r="D3" s="1121"/>
      <c r="E3" s="1121"/>
      <c r="F3" s="1121"/>
      <c r="G3" s="879" t="s">
        <v>255</v>
      </c>
    </row>
    <row r="4" spans="1:7" ht="12.75" customHeight="1" x14ac:dyDescent="0.2">
      <c r="A4" s="1038" t="s">
        <v>256</v>
      </c>
      <c r="C4" s="878" t="s">
        <v>257</v>
      </c>
      <c r="D4" s="1121">
        <f ca="1">TODAY()</f>
        <v>42655</v>
      </c>
      <c r="E4" s="1121"/>
      <c r="F4" s="1121"/>
    </row>
    <row r="5" spans="1:7" ht="12.75" customHeight="1" x14ac:dyDescent="0.2">
      <c r="A5" s="1038" t="s">
        <v>258</v>
      </c>
      <c r="C5" s="878" t="s">
        <v>259</v>
      </c>
      <c r="D5" s="1121">
        <f ca="1">D4+30</f>
        <v>42685</v>
      </c>
      <c r="E5" s="1121"/>
      <c r="F5" s="1121"/>
    </row>
    <row r="6" spans="1:7" x14ac:dyDescent="0.2">
      <c r="A6" s="1039" t="s">
        <v>260</v>
      </c>
      <c r="C6" s="878" t="s">
        <v>261</v>
      </c>
      <c r="D6" s="1131" t="str">
        <f>'1-Eng Inputs'!B6</f>
        <v>Hannah Solar</v>
      </c>
      <c r="E6" s="1131"/>
      <c r="F6" s="1131"/>
    </row>
    <row r="7" spans="1:7" ht="12.75" customHeight="1" x14ac:dyDescent="0.2">
      <c r="A7" s="880"/>
      <c r="B7" s="880"/>
      <c r="C7" s="880"/>
      <c r="D7" s="880"/>
      <c r="E7" s="880"/>
    </row>
    <row r="8" spans="1:7" ht="12.75" customHeight="1" x14ac:dyDescent="0.2">
      <c r="D8" s="880"/>
    </row>
    <row r="9" spans="1:7" x14ac:dyDescent="0.2">
      <c r="A9" s="881"/>
      <c r="B9" s="881"/>
      <c r="C9" s="881"/>
      <c r="D9" s="881"/>
      <c r="E9" s="881"/>
      <c r="F9" s="882"/>
    </row>
    <row r="10" spans="1:7" ht="12.75" customHeight="1" x14ac:dyDescent="0.2">
      <c r="A10" s="883" t="s">
        <v>262</v>
      </c>
      <c r="B10" s="1037"/>
      <c r="C10" s="920" t="s">
        <v>263</v>
      </c>
      <c r="D10" s="1123" t="s">
        <v>264</v>
      </c>
      <c r="E10" s="1124"/>
      <c r="F10" s="1125"/>
      <c r="G10" s="884"/>
    </row>
    <row r="11" spans="1:7" ht="15" customHeight="1" x14ac:dyDescent="0.2">
      <c r="A11" s="885" t="str">
        <f>'1-Eng Inputs'!B4</f>
        <v>Ted Bleecker</v>
      </c>
      <c r="B11" s="1036"/>
      <c r="C11" s="921" t="s">
        <v>265</v>
      </c>
      <c r="D11" s="1126" t="s">
        <v>266</v>
      </c>
      <c r="E11" s="1127"/>
      <c r="F11" s="1128"/>
      <c r="G11" s="884"/>
    </row>
    <row r="12" spans="1:7" x14ac:dyDescent="0.2">
      <c r="A12" s="886"/>
      <c r="B12" s="886"/>
      <c r="C12" s="886"/>
      <c r="D12" s="886"/>
      <c r="E12" s="886"/>
      <c r="F12" s="886"/>
    </row>
    <row r="13" spans="1:7" ht="15" customHeight="1" x14ac:dyDescent="0.2">
      <c r="A13" s="922" t="s">
        <v>199</v>
      </c>
      <c r="B13" s="1129"/>
      <c r="C13" s="1130"/>
      <c r="D13" s="887" t="s">
        <v>202</v>
      </c>
      <c r="E13" s="883" t="s">
        <v>267</v>
      </c>
      <c r="F13" s="883" t="s">
        <v>268</v>
      </c>
      <c r="G13" s="884"/>
    </row>
    <row r="14" spans="1:7" x14ac:dyDescent="0.2">
      <c r="A14" s="923" t="str">
        <f>IF('2-Quote Inputs'!F6=0,"",'2-Quote Inputs'!C6)</f>
        <v>ES11236</v>
      </c>
      <c r="B14" s="929" t="str">
        <f>IF('2-Quote Inputs'!F6=0,"",'2-Quote Inputs'!A6)</f>
        <v>ECOFOOT3 10° BASE ASSEMBLY</v>
      </c>
      <c r="C14" s="924"/>
      <c r="D14" s="888">
        <f>IF('2-Quote Inputs'!F6=0,"",'2-Quote Inputs'!F6)</f>
        <v>744</v>
      </c>
      <c r="E14" s="930">
        <f>IF('2-Quote Inputs'!F6=0,"",'2-Quote Inputs'!E6)</f>
        <v>36.26</v>
      </c>
      <c r="F14" s="889">
        <f>IF(D14="","",D14*E14)</f>
        <v>26977.439999999999</v>
      </c>
      <c r="G14" s="884"/>
    </row>
    <row r="15" spans="1:7" ht="12.75" customHeight="1" x14ac:dyDescent="0.2">
      <c r="A15" s="923" t="str">
        <f>IF('2-Quote Inputs'!F7=0,"",'2-Quote Inputs'!C7)</f>
        <v/>
      </c>
      <c r="B15" s="929" t="str">
        <f>IF('2-Quote Inputs'!F7=0,"",'2-Quote Inputs'!A7)</f>
        <v/>
      </c>
      <c r="C15" s="924"/>
      <c r="D15" s="888" t="str">
        <f>IF('2-Quote Inputs'!F7=0,"",'2-Quote Inputs'!F7)</f>
        <v/>
      </c>
      <c r="E15" s="930" t="str">
        <f>IF('2-Quote Inputs'!F7=0,"",'2-Quote Inputs'!E7)</f>
        <v/>
      </c>
      <c r="F15" s="889" t="str">
        <f t="shared" ref="F15:F28" si="0">IF(D15="","",D15*E15)</f>
        <v/>
      </c>
      <c r="G15" s="884"/>
    </row>
    <row r="16" spans="1:7" ht="12.75" customHeight="1" x14ac:dyDescent="0.2">
      <c r="A16" s="923" t="str">
        <f>IF('2-Quote Inputs'!F8=0,"",'2-Quote Inputs'!C8)</f>
        <v/>
      </c>
      <c r="B16" s="929" t="str">
        <f>IF('2-Quote Inputs'!F8=0,"",'2-Quote Inputs'!A8)</f>
        <v/>
      </c>
      <c r="C16" s="924"/>
      <c r="D16" s="888" t="str">
        <f>IF('2-Quote Inputs'!F8=0,"",'2-Quote Inputs'!F8)</f>
        <v/>
      </c>
      <c r="E16" s="930" t="str">
        <f>IF('2-Quote Inputs'!F8=0,"",'2-Quote Inputs'!E8)</f>
        <v/>
      </c>
      <c r="F16" s="889" t="str">
        <f t="shared" si="0"/>
        <v/>
      </c>
      <c r="G16" s="884"/>
    </row>
    <row r="17" spans="1:7" ht="12.75" customHeight="1" x14ac:dyDescent="0.2">
      <c r="A17" s="923" t="str">
        <f>IF('2-Quote Inputs'!F9=0,"",'2-Quote Inputs'!C9)</f>
        <v>ES11232</v>
      </c>
      <c r="B17" s="929" t="str">
        <f>IF('2-Quote Inputs'!F9=0,"",'2-Quote Inputs'!A9)</f>
        <v>ECOFOOT3 BALLAST PAN</v>
      </c>
      <c r="C17" s="924"/>
      <c r="D17" s="888">
        <f>IF('2-Quote Inputs'!F9=0,"",'2-Quote Inputs'!F9)</f>
        <v>744</v>
      </c>
      <c r="E17" s="930">
        <f>IF('2-Quote Inputs'!F9=0,"",'2-Quote Inputs'!E9)</f>
        <v>2.82</v>
      </c>
      <c r="F17" s="889">
        <f t="shared" si="0"/>
        <v>2098.08</v>
      </c>
      <c r="G17" s="884"/>
    </row>
    <row r="18" spans="1:7" x14ac:dyDescent="0.2">
      <c r="A18" s="923" t="str">
        <f>IF('2-Quote Inputs'!F10=0,"",'2-Quote Inputs'!C10)</f>
        <v/>
      </c>
      <c r="B18" s="929" t="str">
        <f>IF('2-Quote Inputs'!F10=0,"",'2-Quote Inputs'!A10)</f>
        <v/>
      </c>
      <c r="C18" s="924"/>
      <c r="D18" s="888" t="str">
        <f>IF('2-Quote Inputs'!F10=0,"",'2-Quote Inputs'!F10)</f>
        <v/>
      </c>
      <c r="E18" s="930" t="str">
        <f>IF('2-Quote Inputs'!F10=0,"",'2-Quote Inputs'!E10)</f>
        <v/>
      </c>
      <c r="F18" s="889" t="str">
        <f t="shared" si="0"/>
        <v/>
      </c>
      <c r="G18" s="884"/>
    </row>
    <row r="19" spans="1:7" x14ac:dyDescent="0.2">
      <c r="A19" s="923" t="str">
        <f>IF('2-Quote Inputs'!F11=0,"",'2-Quote Inputs'!C11)</f>
        <v/>
      </c>
      <c r="B19" s="929" t="str">
        <f>IF('2-Quote Inputs'!F11=0,"",'2-Quote Inputs'!A11)</f>
        <v/>
      </c>
      <c r="C19" s="924"/>
      <c r="D19" s="888" t="str">
        <f>IF('2-Quote Inputs'!F11=0,"",'2-Quote Inputs'!F11)</f>
        <v/>
      </c>
      <c r="E19" s="930" t="str">
        <f>IF('2-Quote Inputs'!F11=0,"",'2-Quote Inputs'!E11)</f>
        <v/>
      </c>
      <c r="F19" s="889" t="str">
        <f t="shared" si="0"/>
        <v/>
      </c>
      <c r="G19" s="884"/>
    </row>
    <row r="20" spans="1:7" ht="12.75" customHeight="1" x14ac:dyDescent="0.2">
      <c r="A20" s="923" t="str">
        <f>IF('2-Quote Inputs'!F12=0,"",'2-Quote Inputs'!C12)</f>
        <v/>
      </c>
      <c r="B20" s="929" t="str">
        <f>IF('2-Quote Inputs'!F12=0,"",'2-Quote Inputs'!A12)</f>
        <v/>
      </c>
      <c r="C20" s="924"/>
      <c r="D20" s="888" t="str">
        <f>IF('2-Quote Inputs'!F12=0,"",'2-Quote Inputs'!F12)</f>
        <v/>
      </c>
      <c r="E20" s="930" t="str">
        <f>IF('2-Quote Inputs'!F12=0,"",'2-Quote Inputs'!E12)</f>
        <v/>
      </c>
      <c r="F20" s="889" t="str">
        <f t="shared" si="0"/>
        <v/>
      </c>
      <c r="G20" s="884"/>
    </row>
    <row r="21" spans="1:7" ht="12.75" customHeight="1" x14ac:dyDescent="0.2">
      <c r="A21" s="923" t="str">
        <f>IF('2-Quote Inputs'!F13=0,"",'2-Quote Inputs'!C13)</f>
        <v/>
      </c>
      <c r="B21" s="929" t="str">
        <f>IF('2-Quote Inputs'!F13=0,"",'2-Quote Inputs'!A13)</f>
        <v/>
      </c>
      <c r="C21" s="924"/>
      <c r="D21" s="888" t="str">
        <f>IF('2-Quote Inputs'!F13=0,"",'2-Quote Inputs'!F13)</f>
        <v/>
      </c>
      <c r="E21" s="930" t="str">
        <f>IF('2-Quote Inputs'!F13=0,"",'2-Quote Inputs'!E13)</f>
        <v/>
      </c>
      <c r="F21" s="889" t="str">
        <f t="shared" si="0"/>
        <v/>
      </c>
      <c r="G21" s="884"/>
    </row>
    <row r="22" spans="1:7" ht="12.75" customHeight="1" x14ac:dyDescent="0.2">
      <c r="A22" s="923" t="str">
        <f>IF('2-Quote Inputs'!F14=0,"",'2-Quote Inputs'!C14)</f>
        <v/>
      </c>
      <c r="B22" s="929" t="str">
        <f>IF('2-Quote Inputs'!F14=0,"",'2-Quote Inputs'!A14)</f>
        <v/>
      </c>
      <c r="C22" s="924"/>
      <c r="D22" s="888" t="str">
        <f>IF('2-Quote Inputs'!F14=0,"",'2-Quote Inputs'!F14)</f>
        <v/>
      </c>
      <c r="E22" s="930" t="str">
        <f>IF('2-Quote Inputs'!F14=0,"",'2-Quote Inputs'!E14)</f>
        <v/>
      </c>
      <c r="F22" s="889" t="str">
        <f t="shared" si="0"/>
        <v/>
      </c>
      <c r="G22" s="884"/>
    </row>
    <row r="23" spans="1:7" ht="12.75" customHeight="1" x14ac:dyDescent="0.2">
      <c r="A23" s="923" t="str">
        <f>IF('2-Quote Inputs'!F15=0,"",'2-Quote Inputs'!C15)</f>
        <v/>
      </c>
      <c r="B23" s="929" t="str">
        <f>IF('2-Quote Inputs'!F15=0,"",'2-Quote Inputs'!A15)</f>
        <v/>
      </c>
      <c r="C23" s="924"/>
      <c r="D23" s="888" t="str">
        <f>IF('2-Quote Inputs'!F15=0,"",'2-Quote Inputs'!F15)</f>
        <v/>
      </c>
      <c r="E23" s="930" t="str">
        <f>IF('2-Quote Inputs'!F15=0,"",'2-Quote Inputs'!E15)</f>
        <v/>
      </c>
      <c r="F23" s="889" t="str">
        <f t="shared" si="0"/>
        <v/>
      </c>
      <c r="G23" s="884"/>
    </row>
    <row r="24" spans="1:7" ht="12.75" customHeight="1" x14ac:dyDescent="0.2">
      <c r="A24" s="923" t="str">
        <f>IF('2-Quote Inputs'!F16=0,"",'2-Quote Inputs'!C16)</f>
        <v/>
      </c>
      <c r="B24" s="929" t="str">
        <f>IF('2-Quote Inputs'!F16=0,"",'2-Quote Inputs'!A16)</f>
        <v/>
      </c>
      <c r="C24" s="924"/>
      <c r="D24" s="888" t="str">
        <f>IF('2-Quote Inputs'!F16=0,"",'2-Quote Inputs'!F16)</f>
        <v/>
      </c>
      <c r="E24" s="930" t="str">
        <f>IF('2-Quote Inputs'!F16=0,"",'2-Quote Inputs'!E16)</f>
        <v/>
      </c>
      <c r="F24" s="889" t="str">
        <f t="shared" si="0"/>
        <v/>
      </c>
      <c r="G24" s="884"/>
    </row>
    <row r="25" spans="1:7" ht="12.75" customHeight="1" x14ac:dyDescent="0.2">
      <c r="A25" s="923" t="str">
        <f>IF('2-Quote Inputs'!F17=0,"",'2-Quote Inputs'!C17)</f>
        <v/>
      </c>
      <c r="B25" s="929" t="str">
        <f>IF('2-Quote Inputs'!F17=0,"",'2-Quote Inputs'!A17)</f>
        <v/>
      </c>
      <c r="C25" s="924"/>
      <c r="D25" s="888" t="str">
        <f>IF('2-Quote Inputs'!F17=0,"",'2-Quote Inputs'!F17)</f>
        <v/>
      </c>
      <c r="E25" s="930" t="str">
        <f>IF('2-Quote Inputs'!F17=0,"",'2-Quote Inputs'!E17)</f>
        <v/>
      </c>
      <c r="F25" s="889" t="str">
        <f t="shared" si="0"/>
        <v/>
      </c>
      <c r="G25" s="884"/>
    </row>
    <row r="26" spans="1:7" ht="12.75" customHeight="1" x14ac:dyDescent="0.2">
      <c r="A26" s="923" t="s">
        <v>208</v>
      </c>
      <c r="B26" s="929"/>
      <c r="C26" s="924"/>
      <c r="D26" s="888">
        <f>IF('2-Quote Inputs'!F18=0,"",'2-Quote Inputs'!F18)</f>
        <v>1</v>
      </c>
      <c r="E26" s="930" t="e">
        <f>IF('2-Quote Inputs'!F18=0,"",'2-Quote Inputs'!E18)</f>
        <v>#REF!</v>
      </c>
      <c r="F26" s="889" t="e">
        <f t="shared" si="0"/>
        <v>#REF!</v>
      </c>
      <c r="G26" s="884"/>
    </row>
    <row r="27" spans="1:7" ht="12.75" customHeight="1" x14ac:dyDescent="0.2">
      <c r="A27" s="923" t="str">
        <f>IF('2-Quote Inputs'!F19=0,"",'2-Quote Inputs'!C19)</f>
        <v/>
      </c>
      <c r="B27" s="929" t="str">
        <f>IF('2-Quote Inputs'!F19=0,"",'2-Quote Inputs'!A19)</f>
        <v/>
      </c>
      <c r="C27" s="924"/>
      <c r="D27" s="888" t="str">
        <f>IF('2-Quote Inputs'!F19=0,"",'2-Quote Inputs'!F19)</f>
        <v/>
      </c>
      <c r="E27" s="930" t="str">
        <f>IF('2-Quote Inputs'!F19=0,"",'2-Quote Inputs'!E19)</f>
        <v/>
      </c>
      <c r="F27" s="889" t="str">
        <f t="shared" si="0"/>
        <v/>
      </c>
      <c r="G27" s="884"/>
    </row>
    <row r="28" spans="1:7" x14ac:dyDescent="0.2">
      <c r="A28" s="923" t="str">
        <f>IF('2-Quote Inputs'!F20=0,"",'2-Quote Inputs'!C20)</f>
        <v/>
      </c>
      <c r="B28" s="929" t="str">
        <f>IF('2-Quote Inputs'!F20=0,"",'2-Quote Inputs'!A20)</f>
        <v/>
      </c>
      <c r="C28" s="924"/>
      <c r="D28" s="888" t="str">
        <f>IF('2-Quote Inputs'!F20=0,"",'2-Quote Inputs'!F20)</f>
        <v/>
      </c>
      <c r="E28" s="930" t="str">
        <f>IF('2-Quote Inputs'!F20=0,"",'2-Quote Inputs'!E20)</f>
        <v/>
      </c>
      <c r="F28" s="889" t="str">
        <f t="shared" si="0"/>
        <v/>
      </c>
      <c r="G28" s="884"/>
    </row>
    <row r="29" spans="1:7" x14ac:dyDescent="0.2">
      <c r="A29" s="923"/>
      <c r="B29" s="929"/>
      <c r="C29" s="924"/>
      <c r="D29" s="888"/>
      <c r="E29" s="930"/>
      <c r="F29" s="889"/>
      <c r="G29" s="884"/>
    </row>
    <row r="30" spans="1:7" x14ac:dyDescent="0.2">
      <c r="A30" s="923" t="str">
        <f>IF('2-Quote Inputs'!G21=0,"",'2-Quote Inputs'!A21)</f>
        <v/>
      </c>
      <c r="B30" s="929"/>
      <c r="C30" s="925"/>
      <c r="D30" s="888"/>
      <c r="E30" s="930"/>
      <c r="F30" s="931" t="str">
        <f>IF('2-Quote Inputs'!G21=0,"",'2-Quote Inputs'!G21)</f>
        <v/>
      </c>
      <c r="G30" s="884"/>
    </row>
    <row r="31" spans="1:7" x14ac:dyDescent="0.2">
      <c r="A31" s="890" t="s">
        <v>269</v>
      </c>
      <c r="B31" s="890"/>
      <c r="C31" s="890"/>
      <c r="D31" s="890"/>
      <c r="E31" s="933" t="s">
        <v>270</v>
      </c>
      <c r="F31" s="891" t="e">
        <f>SUM(F14:F28)-ABS(F30)</f>
        <v>#REF!</v>
      </c>
      <c r="G31" s="884"/>
    </row>
    <row r="32" spans="1:7" x14ac:dyDescent="0.2">
      <c r="A32" s="926" t="s">
        <v>271</v>
      </c>
      <c r="B32" s="926"/>
      <c r="C32" s="926"/>
      <c r="E32" s="927" t="s">
        <v>216</v>
      </c>
      <c r="F32" s="892">
        <f>'2-Quote Inputs'!G24</f>
        <v>205.27500000000001</v>
      </c>
      <c r="G32" s="884"/>
    </row>
    <row r="33" spans="1:7" x14ac:dyDescent="0.2">
      <c r="A33" s="926" t="s">
        <v>272</v>
      </c>
      <c r="B33" s="926"/>
      <c r="C33" s="926"/>
      <c r="E33" s="927" t="s">
        <v>218</v>
      </c>
      <c r="F33" s="932" t="str">
        <f>IFERROR(F31/(F32*1000),"N/A")</f>
        <v>N/A</v>
      </c>
      <c r="G33" s="884"/>
    </row>
    <row r="34" spans="1:7" x14ac:dyDescent="0.2">
      <c r="A34" s="926" t="s">
        <v>273</v>
      </c>
      <c r="B34" s="926"/>
      <c r="C34" s="926"/>
      <c r="E34" s="927" t="s">
        <v>274</v>
      </c>
      <c r="F34" s="893">
        <v>48</v>
      </c>
      <c r="G34" s="884"/>
    </row>
    <row r="35" spans="1:7" x14ac:dyDescent="0.2">
      <c r="A35" s="926" t="s">
        <v>275</v>
      </c>
      <c r="B35" s="926"/>
      <c r="C35" s="926"/>
      <c r="E35" s="927" t="s">
        <v>276</v>
      </c>
      <c r="F35" s="893" t="str">
        <f>IF('2-Quote Inputs'!G26=0,"",'2-Quote Inputs'!G26)</f>
        <v/>
      </c>
    </row>
    <row r="39" spans="1:7" ht="12.75" customHeight="1" x14ac:dyDescent="0.25">
      <c r="A39" s="928" t="s">
        <v>277</v>
      </c>
      <c r="B39" s="928"/>
      <c r="C39" s="928"/>
      <c r="D39" s="928"/>
      <c r="E39" s="928"/>
      <c r="F39" s="928"/>
    </row>
    <row r="50" spans="1:6" ht="12.75" customHeight="1" x14ac:dyDescent="0.25"/>
    <row r="51" spans="1:6" ht="12.75" customHeight="1" x14ac:dyDescent="0.25"/>
    <row r="59" spans="1:6" ht="12.75" customHeight="1" x14ac:dyDescent="0.25">
      <c r="A59" s="908" t="s">
        <v>278</v>
      </c>
      <c r="B59" s="909"/>
      <c r="C59" s="909"/>
      <c r="D59" s="909"/>
      <c r="E59" s="909"/>
      <c r="F59" s="910"/>
    </row>
    <row r="60" spans="1:6" ht="12.75" customHeight="1" x14ac:dyDescent="0.25">
      <c r="A60" s="894" t="s">
        <v>108</v>
      </c>
      <c r="B60" s="895"/>
      <c r="C60" s="895"/>
      <c r="D60" s="895"/>
      <c r="E60" s="896">
        <f>'1-Eng Inputs'!D22</f>
        <v>0</v>
      </c>
      <c r="F60" s="897"/>
    </row>
    <row r="61" spans="1:6" ht="12.75" customHeight="1" x14ac:dyDescent="0.2">
      <c r="A61" s="898" t="s">
        <v>279</v>
      </c>
      <c r="D61" s="899"/>
      <c r="E61" s="900"/>
      <c r="F61" s="901"/>
    </row>
    <row r="62" spans="1:6" ht="12.75" customHeight="1" x14ac:dyDescent="0.2">
      <c r="A62" s="902" t="s">
        <v>280</v>
      </c>
      <c r="D62" s="903"/>
      <c r="E62" s="900"/>
      <c r="F62" s="901" t="s">
        <v>281</v>
      </c>
    </row>
    <row r="63" spans="1:6" ht="12.75" customHeight="1" x14ac:dyDescent="0.2">
      <c r="A63" s="902" t="s">
        <v>282</v>
      </c>
      <c r="D63" s="899"/>
      <c r="E63" s="900"/>
      <c r="F63" s="901"/>
    </row>
    <row r="64" spans="1:6" ht="12.75" customHeight="1" x14ac:dyDescent="0.2">
      <c r="A64" s="902" t="s">
        <v>283</v>
      </c>
      <c r="D64" s="899"/>
      <c r="E64" s="900"/>
      <c r="F64" s="901"/>
    </row>
    <row r="65" spans="1:7" ht="12.75" customHeight="1" x14ac:dyDescent="0.2">
      <c r="A65" s="902" t="s">
        <v>284</v>
      </c>
      <c r="D65" s="899"/>
      <c r="E65" s="900"/>
      <c r="F65" s="901" t="s">
        <v>285</v>
      </c>
    </row>
    <row r="66" spans="1:7" ht="12.75" customHeight="1" x14ac:dyDescent="0.2">
      <c r="A66" s="902" t="s">
        <v>286</v>
      </c>
      <c r="D66" s="899"/>
      <c r="E66" s="900">
        <f>'1-Eng Inputs'!D19</f>
        <v>0</v>
      </c>
      <c r="F66" s="901" t="s">
        <v>287</v>
      </c>
    </row>
    <row r="67" spans="1:7" ht="12.75" customHeight="1" x14ac:dyDescent="0.2">
      <c r="A67" s="902" t="s">
        <v>288</v>
      </c>
      <c r="D67" s="899"/>
      <c r="E67" s="900">
        <f>'1-Eng Inputs'!D17</f>
        <v>0</v>
      </c>
      <c r="F67" s="901" t="s">
        <v>289</v>
      </c>
    </row>
    <row r="68" spans="1:7" ht="12.75" customHeight="1" x14ac:dyDescent="0.2">
      <c r="A68" s="902" t="s">
        <v>290</v>
      </c>
      <c r="D68" s="899"/>
      <c r="E68" s="900">
        <f>'1-Eng Inputs'!D18</f>
        <v>0</v>
      </c>
      <c r="F68" s="901" t="s">
        <v>289</v>
      </c>
    </row>
    <row r="69" spans="1:7" ht="12.75" customHeight="1" x14ac:dyDescent="0.2">
      <c r="A69" s="902" t="s">
        <v>291</v>
      </c>
      <c r="D69" s="903"/>
      <c r="E69" s="904">
        <f>'1-Eng Inputs'!D30</f>
        <v>0</v>
      </c>
      <c r="F69" s="901" t="s">
        <v>292</v>
      </c>
    </row>
    <row r="70" spans="1:7" ht="12.75" customHeight="1" x14ac:dyDescent="0.2">
      <c r="A70" s="902" t="s">
        <v>300</v>
      </c>
      <c r="D70" s="903"/>
      <c r="E70" s="905"/>
      <c r="F70" s="901"/>
    </row>
    <row r="71" spans="1:7" ht="12.75" customHeight="1" x14ac:dyDescent="0.2">
      <c r="A71" s="902" t="s">
        <v>293</v>
      </c>
      <c r="D71" s="903"/>
      <c r="E71" s="906">
        <f>'1-Eng Inputs'!D44</f>
        <v>0</v>
      </c>
      <c r="F71" s="901" t="s">
        <v>294</v>
      </c>
    </row>
    <row r="72" spans="1:7" ht="12.75" customHeight="1" x14ac:dyDescent="0.2">
      <c r="A72" s="884" t="s">
        <v>295</v>
      </c>
      <c r="D72" s="903"/>
      <c r="E72" s="907">
        <f>'1-Eng Inputs'!D10</f>
        <v>0</v>
      </c>
      <c r="F72" s="901"/>
    </row>
    <row r="73" spans="1:7" ht="12.75" customHeight="1" x14ac:dyDescent="0.2">
      <c r="A73" s="902" t="s">
        <v>296</v>
      </c>
      <c r="D73" s="903"/>
      <c r="E73" s="905">
        <f>('Friction Data'!F34)</f>
        <v>0</v>
      </c>
      <c r="F73" s="901"/>
    </row>
    <row r="74" spans="1:7" ht="12.75" customHeight="1" x14ac:dyDescent="0.2">
      <c r="A74" s="908" t="s">
        <v>297</v>
      </c>
      <c r="B74" s="909"/>
      <c r="C74" s="909"/>
      <c r="D74" s="909"/>
      <c r="E74" s="909"/>
      <c r="F74" s="910"/>
      <c r="G74" s="911"/>
    </row>
    <row r="75" spans="1:7" ht="12.75" customHeight="1" x14ac:dyDescent="0.2">
      <c r="A75" s="912" t="s">
        <v>298</v>
      </c>
      <c r="B75" s="913"/>
      <c r="C75" s="913"/>
      <c r="D75" s="914"/>
      <c r="E75" s="915"/>
      <c r="F75" s="916" t="s">
        <v>287</v>
      </c>
    </row>
    <row r="77" spans="1:7" ht="12.75" customHeight="1" x14ac:dyDescent="0.25"/>
    <row r="78" spans="1:7" ht="12.75" customHeight="1" x14ac:dyDescent="0.25"/>
    <row r="79" spans="1:7" ht="12.75" customHeight="1" x14ac:dyDescent="0.25"/>
    <row r="80" spans="1: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100" spans="1:6" ht="12.75" customHeight="1" x14ac:dyDescent="0.25"/>
    <row r="101" spans="1:6" ht="12.75" customHeight="1" x14ac:dyDescent="0.25"/>
    <row r="102" spans="1:6" ht="12.75" customHeight="1" x14ac:dyDescent="0.25"/>
    <row r="103" spans="1:6" ht="12.75" customHeight="1" x14ac:dyDescent="0.25"/>
    <row r="107" spans="1:6" ht="12.75" customHeight="1" x14ac:dyDescent="0.25">
      <c r="A107" s="1122" t="s">
        <v>299</v>
      </c>
      <c r="B107" s="1122"/>
      <c r="C107" s="1122"/>
      <c r="D107" s="1122"/>
      <c r="E107" s="1122"/>
      <c r="F107" s="1122"/>
    </row>
    <row r="108" spans="1:6" ht="12.75" customHeight="1" x14ac:dyDescent="0.25">
      <c r="A108" s="1122"/>
      <c r="B108" s="1122"/>
      <c r="C108" s="1122"/>
      <c r="D108" s="1122"/>
      <c r="E108" s="1122"/>
      <c r="F108" s="1122"/>
    </row>
    <row r="109" spans="1:6" ht="12.75" customHeight="1" x14ac:dyDescent="0.25">
      <c r="A109" s="1122"/>
      <c r="B109" s="1122"/>
      <c r="C109" s="1122"/>
      <c r="D109" s="1122"/>
      <c r="E109" s="1122"/>
      <c r="F109" s="1122"/>
    </row>
    <row r="110" spans="1:6" ht="12.75" customHeight="1" x14ac:dyDescent="0.25">
      <c r="A110" s="1122"/>
      <c r="B110" s="1122"/>
      <c r="C110" s="1122"/>
      <c r="D110" s="1122"/>
      <c r="E110" s="1122"/>
      <c r="F110" s="1122"/>
    </row>
    <row r="111" spans="1:6" ht="12.75" customHeight="1" x14ac:dyDescent="0.25">
      <c r="A111" s="1122"/>
      <c r="B111" s="1122"/>
      <c r="C111" s="1122"/>
      <c r="D111" s="1122"/>
      <c r="E111" s="1122"/>
      <c r="F111" s="1122"/>
    </row>
    <row r="112" spans="1:6" ht="12.75" customHeight="1" x14ac:dyDescent="0.25">
      <c r="A112" s="1122"/>
      <c r="B112" s="1122"/>
      <c r="C112" s="1122"/>
      <c r="D112" s="1122"/>
      <c r="E112" s="1122"/>
      <c r="F112" s="1122"/>
    </row>
    <row r="113" spans="1:6" ht="12.75" customHeight="1" x14ac:dyDescent="0.25">
      <c r="A113" s="1122"/>
      <c r="B113" s="1122"/>
      <c r="C113" s="1122"/>
      <c r="D113" s="1122"/>
      <c r="E113" s="1122"/>
      <c r="F113" s="1122"/>
    </row>
    <row r="114" spans="1:6" ht="12.75" customHeight="1" x14ac:dyDescent="0.25">
      <c r="A114" s="1122"/>
      <c r="B114" s="1122"/>
      <c r="C114" s="1122"/>
      <c r="D114" s="1122"/>
      <c r="E114" s="1122"/>
      <c r="F114" s="1122"/>
    </row>
    <row r="115" spans="1:6" ht="12.75" customHeight="1" x14ac:dyDescent="0.25">
      <c r="A115" s="1122"/>
      <c r="B115" s="1122"/>
      <c r="C115" s="1122"/>
      <c r="D115" s="1122"/>
      <c r="E115" s="1122"/>
      <c r="F115" s="1122"/>
    </row>
    <row r="116" spans="1:6" ht="12.75" customHeight="1" x14ac:dyDescent="0.25">
      <c r="A116" s="1122"/>
      <c r="B116" s="1122"/>
      <c r="C116" s="1122"/>
      <c r="D116" s="1122"/>
      <c r="E116" s="1122"/>
      <c r="F116" s="1122"/>
    </row>
    <row r="117" spans="1:6" ht="12.75" customHeight="1" x14ac:dyDescent="0.25">
      <c r="A117" s="1122"/>
      <c r="B117" s="1122"/>
      <c r="C117" s="1122"/>
      <c r="D117" s="1122"/>
      <c r="E117" s="1122"/>
      <c r="F117" s="1122"/>
    </row>
    <row r="118" spans="1:6" ht="12.75" customHeight="1" x14ac:dyDescent="0.25">
      <c r="A118" s="1122"/>
      <c r="B118" s="1122"/>
      <c r="C118" s="1122"/>
      <c r="D118" s="1122"/>
      <c r="E118" s="1122"/>
      <c r="F118" s="1122"/>
    </row>
    <row r="119" spans="1:6" ht="12.75" customHeight="1" x14ac:dyDescent="0.25">
      <c r="A119" s="1122"/>
      <c r="B119" s="1122"/>
      <c r="C119" s="1122"/>
      <c r="D119" s="1122"/>
      <c r="E119" s="1122"/>
      <c r="F119" s="1122"/>
    </row>
    <row r="120" spans="1:6" ht="12.75" customHeight="1" x14ac:dyDescent="0.25">
      <c r="A120" s="1122"/>
      <c r="B120" s="1122"/>
      <c r="C120" s="1122"/>
      <c r="D120" s="1122"/>
      <c r="E120" s="1122"/>
      <c r="F120" s="1122"/>
    </row>
    <row r="121" spans="1:6" ht="12.75" customHeight="1" x14ac:dyDescent="0.25">
      <c r="A121" s="1122"/>
      <c r="B121" s="1122"/>
      <c r="C121" s="1122"/>
      <c r="D121" s="1122"/>
      <c r="E121" s="1122"/>
      <c r="F121" s="1122"/>
    </row>
    <row r="122" spans="1:6" ht="12.75" customHeight="1" x14ac:dyDescent="0.25">
      <c r="A122" s="1122"/>
      <c r="B122" s="1122"/>
      <c r="C122" s="1122"/>
      <c r="D122" s="1122"/>
      <c r="E122" s="1122"/>
      <c r="F122" s="1122"/>
    </row>
    <row r="123" spans="1:6" ht="12.75" customHeight="1" x14ac:dyDescent="0.25">
      <c r="A123" s="1122"/>
      <c r="B123" s="1122"/>
      <c r="C123" s="1122"/>
      <c r="D123" s="1122"/>
      <c r="E123" s="1122"/>
      <c r="F123" s="1122"/>
    </row>
    <row r="124" spans="1:6" ht="12.75" customHeight="1" x14ac:dyDescent="0.25">
      <c r="A124" s="1122"/>
      <c r="B124" s="1122"/>
      <c r="C124" s="1122"/>
      <c r="D124" s="1122"/>
      <c r="E124" s="1122"/>
      <c r="F124" s="1122"/>
    </row>
    <row r="125" spans="1:6" ht="12.75" customHeight="1" x14ac:dyDescent="0.25">
      <c r="A125" s="1122"/>
      <c r="B125" s="1122"/>
      <c r="C125" s="1122"/>
      <c r="D125" s="1122"/>
      <c r="E125" s="1122"/>
      <c r="F125" s="1122"/>
    </row>
    <row r="126" spans="1:6" ht="12.75" customHeight="1" x14ac:dyDescent="0.25">
      <c r="A126" s="1122"/>
      <c r="B126" s="1122"/>
      <c r="C126" s="1122"/>
      <c r="D126" s="1122"/>
      <c r="E126" s="1122"/>
      <c r="F126" s="1122"/>
    </row>
    <row r="127" spans="1:6" ht="12.75" customHeight="1" x14ac:dyDescent="0.25">
      <c r="A127" s="1122"/>
      <c r="B127" s="1122"/>
      <c r="C127" s="1122"/>
      <c r="D127" s="1122"/>
      <c r="E127" s="1122"/>
      <c r="F127" s="1122"/>
    </row>
    <row r="128" spans="1:6" ht="12.75" customHeight="1" x14ac:dyDescent="0.25">
      <c r="A128" s="1122"/>
      <c r="B128" s="1122"/>
      <c r="C128" s="1122"/>
      <c r="D128" s="1122"/>
      <c r="E128" s="1122"/>
      <c r="F128" s="1122"/>
    </row>
    <row r="129" spans="1:6" ht="12.75" customHeight="1" x14ac:dyDescent="0.25">
      <c r="A129" s="1122"/>
      <c r="B129" s="1122"/>
      <c r="C129" s="1122"/>
      <c r="D129" s="1122"/>
      <c r="E129" s="1122"/>
      <c r="F129" s="1122"/>
    </row>
    <row r="130" spans="1:6" ht="12.75" customHeight="1" x14ac:dyDescent="0.25">
      <c r="A130" s="1122"/>
      <c r="B130" s="1122"/>
      <c r="C130" s="1122"/>
      <c r="D130" s="1122"/>
      <c r="E130" s="1122"/>
      <c r="F130" s="1122"/>
    </row>
    <row r="131" spans="1:6" ht="12.75" customHeight="1" x14ac:dyDescent="0.25">
      <c r="A131" s="1122"/>
      <c r="B131" s="1122"/>
      <c r="C131" s="1122"/>
      <c r="D131" s="1122"/>
      <c r="E131" s="1122"/>
      <c r="F131" s="1122"/>
    </row>
    <row r="132" spans="1:6" ht="12.75" customHeight="1" x14ac:dyDescent="0.25">
      <c r="A132" s="1122"/>
      <c r="B132" s="1122"/>
      <c r="C132" s="1122"/>
      <c r="D132" s="1122"/>
      <c r="E132" s="1122"/>
      <c r="F132" s="1122"/>
    </row>
    <row r="133" spans="1:6" ht="12.75" customHeight="1" x14ac:dyDescent="0.25">
      <c r="A133" s="1122"/>
      <c r="B133" s="1122"/>
      <c r="C133" s="1122"/>
      <c r="D133" s="1122"/>
      <c r="E133" s="1122"/>
      <c r="F133" s="1122"/>
    </row>
    <row r="134" spans="1:6" ht="12.75" customHeight="1" x14ac:dyDescent="0.25">
      <c r="A134" s="1122"/>
      <c r="B134" s="1122"/>
      <c r="C134" s="1122"/>
      <c r="D134" s="1122"/>
      <c r="E134" s="1122"/>
      <c r="F134" s="1122"/>
    </row>
    <row r="135" spans="1:6" ht="12.75" customHeight="1" x14ac:dyDescent="0.25">
      <c r="A135" s="1122"/>
      <c r="B135" s="1122"/>
      <c r="C135" s="1122"/>
      <c r="D135" s="1122"/>
      <c r="E135" s="1122"/>
      <c r="F135" s="1122"/>
    </row>
    <row r="136" spans="1:6" ht="12.75" customHeight="1" x14ac:dyDescent="0.25">
      <c r="A136" s="1122"/>
      <c r="B136" s="1122"/>
      <c r="C136" s="1122"/>
      <c r="D136" s="1122"/>
      <c r="E136" s="1122"/>
      <c r="F136" s="1122"/>
    </row>
    <row r="137" spans="1:6" ht="12.75" customHeight="1" x14ac:dyDescent="0.25">
      <c r="A137" s="1122"/>
      <c r="B137" s="1122"/>
      <c r="C137" s="1122"/>
      <c r="D137" s="1122"/>
      <c r="E137" s="1122"/>
      <c r="F137" s="1122"/>
    </row>
    <row r="138" spans="1:6" ht="12.75" customHeight="1" x14ac:dyDescent="0.25">
      <c r="A138" s="1122"/>
      <c r="B138" s="1122"/>
      <c r="C138" s="1122"/>
      <c r="D138" s="1122"/>
      <c r="E138" s="1122"/>
      <c r="F138" s="1122"/>
    </row>
    <row r="139" spans="1:6" ht="12.75" customHeight="1" x14ac:dyDescent="0.25">
      <c r="A139" s="1122"/>
      <c r="B139" s="1122"/>
      <c r="C139" s="1122"/>
      <c r="D139" s="1122"/>
      <c r="E139" s="1122"/>
      <c r="F139" s="1122"/>
    </row>
    <row r="140" spans="1:6" ht="12.75" customHeight="1" x14ac:dyDescent="0.25">
      <c r="A140" s="1122"/>
      <c r="B140" s="1122"/>
      <c r="C140" s="1122"/>
      <c r="D140" s="1122"/>
      <c r="E140" s="1122"/>
      <c r="F140" s="1122"/>
    </row>
    <row r="141" spans="1:6" ht="12.75" customHeight="1" x14ac:dyDescent="0.25">
      <c r="A141" s="1122"/>
      <c r="B141" s="1122"/>
      <c r="C141" s="1122"/>
      <c r="D141" s="1122"/>
      <c r="E141" s="1122"/>
      <c r="F141" s="1122"/>
    </row>
    <row r="142" spans="1:6" ht="12.75" customHeight="1" x14ac:dyDescent="0.25">
      <c r="A142" s="1122"/>
      <c r="B142" s="1122"/>
      <c r="C142" s="1122"/>
      <c r="D142" s="1122"/>
      <c r="E142" s="1122"/>
      <c r="F142" s="1122"/>
    </row>
    <row r="143" spans="1:6" ht="12.75" customHeight="1" x14ac:dyDescent="0.25">
      <c r="A143" s="1122"/>
      <c r="B143" s="1122"/>
      <c r="C143" s="1122"/>
      <c r="D143" s="1122"/>
      <c r="E143" s="1122"/>
      <c r="F143" s="1122"/>
    </row>
    <row r="144" spans="1:6" ht="12.75" customHeight="1" x14ac:dyDescent="0.25">
      <c r="A144" s="1122"/>
      <c r="B144" s="1122"/>
      <c r="C144" s="1122"/>
      <c r="D144" s="1122"/>
      <c r="E144" s="1122"/>
      <c r="F144" s="1122"/>
    </row>
    <row r="145" spans="1:6" ht="12.75" customHeight="1" x14ac:dyDescent="0.25">
      <c r="A145" s="1122"/>
      <c r="B145" s="1122"/>
      <c r="C145" s="1122"/>
      <c r="D145" s="1122"/>
      <c r="E145" s="1122"/>
      <c r="F145" s="1122"/>
    </row>
    <row r="146" spans="1:6" ht="12.75" customHeight="1" x14ac:dyDescent="0.25">
      <c r="A146" s="1122"/>
      <c r="B146" s="1122"/>
      <c r="C146" s="1122"/>
      <c r="D146" s="1122"/>
      <c r="E146" s="1122"/>
      <c r="F146" s="1122"/>
    </row>
    <row r="147" spans="1:6" ht="12.75" customHeight="1" x14ac:dyDescent="0.25">
      <c r="A147" s="1122"/>
      <c r="B147" s="1122"/>
      <c r="C147" s="1122"/>
      <c r="D147" s="1122"/>
      <c r="E147" s="1122"/>
      <c r="F147" s="1122"/>
    </row>
    <row r="148" spans="1:6" ht="12.75" customHeight="1" x14ac:dyDescent="0.25">
      <c r="A148" s="1122"/>
      <c r="B148" s="1122"/>
      <c r="C148" s="1122"/>
      <c r="D148" s="1122"/>
      <c r="E148" s="1122"/>
      <c r="F148" s="1122"/>
    </row>
    <row r="149" spans="1:6" ht="12.75" customHeight="1" x14ac:dyDescent="0.25">
      <c r="A149" s="1122"/>
      <c r="B149" s="1122"/>
      <c r="C149" s="1122"/>
      <c r="D149" s="1122"/>
      <c r="E149" s="1122"/>
      <c r="F149" s="1122"/>
    </row>
    <row r="150" spans="1:6" ht="12.75" customHeight="1" x14ac:dyDescent="0.25">
      <c r="A150" s="1122"/>
      <c r="B150" s="1122"/>
      <c r="C150" s="1122"/>
      <c r="D150" s="1122"/>
      <c r="E150" s="1122"/>
      <c r="F150" s="1122"/>
    </row>
    <row r="151" spans="1:6" ht="12.75" customHeight="1" x14ac:dyDescent="0.25">
      <c r="A151" s="1122"/>
      <c r="B151" s="1122"/>
      <c r="C151" s="1122"/>
      <c r="D151" s="1122"/>
      <c r="E151" s="1122"/>
      <c r="F151" s="1122"/>
    </row>
    <row r="152" spans="1:6" ht="12.75" customHeight="1" x14ac:dyDescent="0.25">
      <c r="A152" s="1122"/>
      <c r="B152" s="1122"/>
      <c r="C152" s="1122"/>
      <c r="D152" s="1122"/>
      <c r="E152" s="1122"/>
      <c r="F152" s="1122"/>
    </row>
    <row r="153" spans="1:6" ht="12.75" customHeight="1" x14ac:dyDescent="0.25">
      <c r="A153" s="1122"/>
      <c r="B153" s="1122"/>
      <c r="C153" s="1122"/>
      <c r="D153" s="1122"/>
      <c r="E153" s="1122"/>
      <c r="F153" s="1122"/>
    </row>
    <row r="154" spans="1:6" ht="12.75" customHeight="1" x14ac:dyDescent="0.25">
      <c r="A154" s="1122"/>
      <c r="B154" s="1122"/>
      <c r="C154" s="1122"/>
      <c r="D154" s="1122"/>
      <c r="E154" s="1122"/>
      <c r="F154" s="1122"/>
    </row>
    <row r="155" spans="1:6" ht="12.75" customHeight="1" x14ac:dyDescent="0.25">
      <c r="A155" s="917"/>
      <c r="B155" s="917"/>
      <c r="C155" s="917"/>
      <c r="D155" s="917"/>
      <c r="E155" s="917"/>
      <c r="F155" s="917"/>
    </row>
    <row r="156" spans="1:6" ht="12.75" customHeight="1" x14ac:dyDescent="0.25">
      <c r="A156" s="917"/>
      <c r="B156" s="917"/>
      <c r="C156" s="917"/>
      <c r="D156" s="917"/>
      <c r="E156" s="917"/>
      <c r="F156" s="917"/>
    </row>
    <row r="157" spans="1:6" ht="12.75" customHeight="1" x14ac:dyDescent="0.25">
      <c r="A157" s="917"/>
      <c r="B157" s="917"/>
      <c r="C157" s="917"/>
      <c r="D157" s="917"/>
      <c r="E157" s="917"/>
      <c r="F157" s="917"/>
    </row>
    <row r="158" spans="1:6" ht="12.75" customHeight="1" x14ac:dyDescent="0.25">
      <c r="A158" s="917"/>
      <c r="B158" s="917"/>
      <c r="C158" s="917"/>
      <c r="D158" s="917"/>
      <c r="E158" s="917"/>
      <c r="F158" s="917"/>
    </row>
    <row r="159" spans="1:6" ht="12.75" customHeight="1" x14ac:dyDescent="0.25">
      <c r="A159" s="917"/>
      <c r="B159" s="917"/>
      <c r="C159" s="917"/>
      <c r="D159" s="917"/>
      <c r="E159" s="917"/>
      <c r="F159" s="917"/>
    </row>
    <row r="160" spans="1:6" ht="12.75" customHeight="1" x14ac:dyDescent="0.25">
      <c r="A160" s="917"/>
      <c r="B160" s="917"/>
      <c r="C160" s="917"/>
      <c r="D160" s="917"/>
      <c r="E160" s="917"/>
      <c r="F160" s="917"/>
    </row>
    <row r="161" spans="1:6" ht="12.75" customHeight="1" x14ac:dyDescent="0.25">
      <c r="A161" s="917"/>
      <c r="B161" s="917"/>
      <c r="C161" s="917"/>
      <c r="D161" s="917"/>
      <c r="E161" s="917"/>
      <c r="F161" s="917"/>
    </row>
    <row r="162" spans="1:6" ht="12.75" customHeight="1" x14ac:dyDescent="0.25">
      <c r="A162" s="917"/>
      <c r="B162" s="917"/>
      <c r="C162" s="917"/>
      <c r="D162" s="917"/>
      <c r="E162" s="917"/>
      <c r="F162" s="917"/>
    </row>
  </sheetData>
  <mergeCells count="9">
    <mergeCell ref="C1:F1"/>
    <mergeCell ref="D3:F3"/>
    <mergeCell ref="D4:F4"/>
    <mergeCell ref="A107:F154"/>
    <mergeCell ref="D10:F10"/>
    <mergeCell ref="D11:F11"/>
    <mergeCell ref="B13:C13"/>
    <mergeCell ref="D5:F5"/>
    <mergeCell ref="D6:F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AL293"/>
  <sheetViews>
    <sheetView view="pageBreakPreview" zoomScaleNormal="150" zoomScaleSheetLayoutView="100" workbookViewId="0">
      <selection activeCell="T9" sqref="T9"/>
    </sheetView>
  </sheetViews>
  <sheetFormatPr defaultColWidth="9.125" defaultRowHeight="12.75" customHeight="1" x14ac:dyDescent="0.25"/>
  <cols>
    <col min="1" max="1" width="8.75" style="178" customWidth="1"/>
    <col min="2" max="2" width="27.625" style="178" customWidth="1"/>
    <col min="3" max="3" width="17.125" style="178" customWidth="1"/>
    <col min="4" max="4" width="19.125" style="178" customWidth="1"/>
    <col min="5" max="13" width="5.75" style="178" customWidth="1"/>
    <col min="14" max="14" width="2.625" style="178" customWidth="1"/>
    <col min="15" max="15" width="7.375" style="178" customWidth="1"/>
    <col min="16" max="16" width="8.75" style="178" customWidth="1"/>
    <col min="17" max="17" width="19.75" style="178" customWidth="1"/>
    <col min="18" max="18" width="21.75" style="178" customWidth="1"/>
    <col min="19" max="19" width="2.875" style="178" customWidth="1"/>
    <col min="20" max="16384" width="9.125" style="178"/>
  </cols>
  <sheetData>
    <row r="1" spans="2:19" ht="12.75" customHeight="1" thickBot="1" x14ac:dyDescent="0.3"/>
    <row r="2" spans="2:19" ht="18" customHeight="1" x14ac:dyDescent="0.25">
      <c r="B2" s="217" t="s">
        <v>80</v>
      </c>
      <c r="C2" s="218"/>
      <c r="D2" s="219"/>
      <c r="E2" s="219"/>
      <c r="F2" s="219"/>
      <c r="G2" s="219"/>
      <c r="H2" s="219"/>
      <c r="I2" s="219"/>
      <c r="J2" s="219"/>
      <c r="K2" s="220"/>
      <c r="L2" s="220"/>
      <c r="M2" s="116" t="s">
        <v>315</v>
      </c>
      <c r="N2" s="218"/>
      <c r="O2" s="219"/>
      <c r="P2" s="219"/>
      <c r="Q2" s="219"/>
      <c r="R2" s="219"/>
      <c r="S2" s="221"/>
    </row>
    <row r="3" spans="2:19" ht="18" customHeight="1" x14ac:dyDescent="0.25">
      <c r="B3" s="222" t="s">
        <v>316</v>
      </c>
      <c r="C3" s="223"/>
      <c r="D3" s="224"/>
      <c r="E3" s="224"/>
      <c r="F3" s="224"/>
      <c r="G3" s="224"/>
      <c r="H3" s="224"/>
      <c r="I3" s="224"/>
      <c r="J3" s="224"/>
      <c r="K3" s="225"/>
      <c r="L3" s="225"/>
      <c r="M3" s="117" t="s">
        <v>317</v>
      </c>
      <c r="N3" s="226"/>
      <c r="O3" s="224"/>
      <c r="P3" s="224"/>
      <c r="Q3" s="224"/>
      <c r="R3" s="224"/>
      <c r="S3" s="227"/>
    </row>
    <row r="4" spans="2:19" ht="18" customHeight="1" x14ac:dyDescent="0.25">
      <c r="B4" s="222"/>
      <c r="C4" s="224"/>
      <c r="D4" s="224"/>
      <c r="E4" s="224"/>
      <c r="F4" s="224"/>
      <c r="G4" s="224"/>
      <c r="H4" s="224"/>
      <c r="I4" s="224"/>
      <c r="J4" s="224"/>
      <c r="K4" s="224"/>
      <c r="L4" s="224"/>
      <c r="M4" s="226"/>
      <c r="N4" s="224"/>
      <c r="O4" s="224"/>
      <c r="P4" s="224"/>
      <c r="Q4" s="224"/>
      <c r="R4" s="224"/>
      <c r="S4" s="227"/>
    </row>
    <row r="5" spans="2:19" ht="18" customHeight="1" thickBot="1" x14ac:dyDescent="0.3">
      <c r="B5" s="1169" t="s">
        <v>318</v>
      </c>
      <c r="C5" s="1170"/>
      <c r="D5" s="1170"/>
      <c r="E5" s="1170"/>
      <c r="F5" s="1170"/>
      <c r="G5" s="1170"/>
      <c r="H5" s="1170"/>
      <c r="I5" s="1170"/>
      <c r="J5" s="1170"/>
      <c r="K5" s="1170"/>
      <c r="L5" s="1170"/>
      <c r="M5" s="1170"/>
      <c r="N5" s="1170"/>
      <c r="O5" s="1170"/>
      <c r="P5" s="1170"/>
      <c r="Q5" s="1170"/>
      <c r="R5" s="1170"/>
      <c r="S5" s="1171"/>
    </row>
    <row r="6" spans="2:19" ht="12.75" customHeight="1" x14ac:dyDescent="0.25">
      <c r="B6" s="115"/>
      <c r="C6" s="115"/>
      <c r="D6" s="115"/>
      <c r="E6" s="115"/>
      <c r="F6" s="115"/>
      <c r="G6" s="115"/>
      <c r="H6" s="115"/>
      <c r="I6" s="115"/>
      <c r="J6" s="115"/>
      <c r="K6" s="115"/>
      <c r="L6" s="115"/>
      <c r="M6" s="115"/>
      <c r="N6" s="115"/>
      <c r="O6" s="115"/>
      <c r="P6" s="115"/>
      <c r="Q6" s="115"/>
      <c r="R6" s="115"/>
      <c r="S6" s="115"/>
    </row>
    <row r="7" spans="2:19" ht="12.75" customHeight="1" x14ac:dyDescent="0.25">
      <c r="B7" s="115"/>
      <c r="C7" s="115"/>
      <c r="D7" s="115"/>
      <c r="E7" s="115"/>
      <c r="F7" s="115"/>
      <c r="G7" s="115"/>
      <c r="H7" s="115"/>
      <c r="I7" s="115"/>
      <c r="J7" s="115"/>
      <c r="K7" s="115"/>
      <c r="L7" s="115"/>
      <c r="M7" s="115"/>
      <c r="N7" s="115"/>
      <c r="O7" s="115"/>
      <c r="P7" s="115"/>
      <c r="Q7" s="115"/>
      <c r="R7" s="115"/>
      <c r="S7" s="115"/>
    </row>
    <row r="8" spans="2:19" ht="12.75" customHeight="1" thickBot="1" x14ac:dyDescent="0.3">
      <c r="B8" s="113" t="s">
        <v>314</v>
      </c>
      <c r="C8" s="115"/>
      <c r="D8" s="115"/>
      <c r="E8" s="115"/>
      <c r="F8" s="115"/>
      <c r="G8" s="115"/>
      <c r="H8" s="115"/>
      <c r="I8" s="115"/>
      <c r="J8" s="115"/>
      <c r="K8" s="115"/>
      <c r="L8" s="115"/>
      <c r="M8" s="115"/>
      <c r="N8" s="115"/>
      <c r="O8" s="115"/>
      <c r="P8" s="115"/>
      <c r="Q8" s="113" t="s">
        <v>334</v>
      </c>
      <c r="R8" s="115"/>
      <c r="S8" s="115"/>
    </row>
    <row r="9" spans="2:19" ht="12.75" customHeight="1" thickBot="1" x14ac:dyDescent="0.3">
      <c r="B9" s="282" t="s">
        <v>310</v>
      </c>
      <c r="C9" s="1172" t="str">
        <f>'1-Eng Inputs'!B7</f>
        <v>807 E Main</v>
      </c>
      <c r="D9" s="1172"/>
      <c r="E9" s="1173" t="s">
        <v>319</v>
      </c>
      <c r="F9" s="1174"/>
      <c r="G9" s="1175"/>
      <c r="H9" s="1176" t="s">
        <v>7</v>
      </c>
      <c r="I9" s="1176"/>
      <c r="J9" s="1176"/>
      <c r="K9" s="1176"/>
      <c r="L9" s="1177"/>
      <c r="M9" s="1178"/>
      <c r="N9" s="115"/>
      <c r="O9" s="115"/>
      <c r="P9" s="115"/>
      <c r="Q9" s="283" t="s">
        <v>335</v>
      </c>
      <c r="R9" s="284" t="s">
        <v>336</v>
      </c>
      <c r="S9" s="115"/>
    </row>
    <row r="10" spans="2:19" ht="12.75" customHeight="1" x14ac:dyDescent="0.25">
      <c r="B10" s="285" t="s">
        <v>311</v>
      </c>
      <c r="C10" s="1135">
        <f>'1-Eng Inputs'!B9</f>
        <v>27332</v>
      </c>
      <c r="D10" s="1135"/>
      <c r="E10" s="1136" t="s">
        <v>320</v>
      </c>
      <c r="F10" s="1137"/>
      <c r="G10" s="1138"/>
      <c r="H10" s="1135" t="str">
        <f>'1-Eng Inputs'!B8</f>
        <v>807 E Main St</v>
      </c>
      <c r="I10" s="1135"/>
      <c r="J10" s="1135"/>
      <c r="K10" s="1135"/>
      <c r="L10" s="1179"/>
      <c r="M10" s="1180"/>
      <c r="N10" s="115"/>
      <c r="O10" s="115"/>
      <c r="P10" s="115"/>
      <c r="Q10" s="286" t="s">
        <v>21</v>
      </c>
      <c r="R10" s="287" t="s">
        <v>18</v>
      </c>
      <c r="S10" s="115"/>
    </row>
    <row r="11" spans="2:19" ht="12.75" customHeight="1" x14ac:dyDescent="0.25">
      <c r="B11" s="285" t="s">
        <v>312</v>
      </c>
      <c r="C11" s="1135" t="str">
        <f>'1-Eng Inputs'!B4</f>
        <v>Ted Bleecker</v>
      </c>
      <c r="D11" s="1135"/>
      <c r="E11" s="1136" t="s">
        <v>321</v>
      </c>
      <c r="F11" s="1137"/>
      <c r="G11" s="1138"/>
      <c r="H11" s="1139" t="str">
        <f>IF('1-Eng Inputs'!B31=2010,"USA","USA II")</f>
        <v>USA</v>
      </c>
      <c r="I11" s="1139"/>
      <c r="J11" s="1139"/>
      <c r="K11" s="1139"/>
      <c r="L11" s="1140"/>
      <c r="M11" s="1141"/>
      <c r="N11" s="115"/>
      <c r="O11" s="115"/>
      <c r="P11" s="115"/>
      <c r="Q11" s="286" t="s">
        <v>26</v>
      </c>
      <c r="R11" s="287" t="s">
        <v>27</v>
      </c>
      <c r="S11" s="115"/>
    </row>
    <row r="12" spans="2:19" ht="12.75" customHeight="1" thickBot="1" x14ac:dyDescent="0.3">
      <c r="B12" s="288" t="s">
        <v>313</v>
      </c>
      <c r="C12" s="1142">
        <f ca="1">TODAY()</f>
        <v>42655</v>
      </c>
      <c r="D12" s="1142"/>
      <c r="E12" s="1143" t="s">
        <v>322</v>
      </c>
      <c r="F12" s="1144"/>
      <c r="G12" s="1145"/>
      <c r="H12" s="1146" t="str">
        <f>VLOOKUP(H11,Q10:R25,2,FALSE)</f>
        <v>ASCE/SEI 7-10</v>
      </c>
      <c r="I12" s="1146"/>
      <c r="J12" s="1146"/>
      <c r="K12" s="1146"/>
      <c r="L12" s="1147"/>
      <c r="M12" s="1148"/>
      <c r="N12" s="115"/>
      <c r="O12" s="115"/>
      <c r="P12" s="115"/>
      <c r="Q12" s="286"/>
      <c r="R12" s="287"/>
      <c r="S12" s="115"/>
    </row>
    <row r="13" spans="2:19" ht="12.75" customHeight="1" x14ac:dyDescent="0.25">
      <c r="B13" s="115"/>
      <c r="C13" s="115"/>
      <c r="D13" s="115"/>
      <c r="E13" s="115"/>
      <c r="F13" s="115"/>
      <c r="G13" s="115"/>
      <c r="H13" s="115"/>
      <c r="I13" s="115"/>
      <c r="J13" s="115"/>
      <c r="K13" s="115"/>
      <c r="L13" s="115"/>
      <c r="M13" s="115"/>
      <c r="N13" s="115"/>
      <c r="O13" s="115"/>
      <c r="P13" s="115"/>
      <c r="Q13" s="286"/>
      <c r="R13" s="287"/>
      <c r="S13" s="115"/>
    </row>
    <row r="14" spans="2:19" ht="12.75" customHeight="1" x14ac:dyDescent="0.25">
      <c r="B14" s="158"/>
      <c r="C14" s="158"/>
      <c r="D14" s="115"/>
      <c r="E14" s="115"/>
      <c r="F14" s="115"/>
      <c r="G14" s="115"/>
      <c r="H14" s="115"/>
      <c r="I14" s="115"/>
      <c r="J14" s="115"/>
      <c r="K14" s="115"/>
      <c r="L14" s="115"/>
      <c r="M14" s="115"/>
      <c r="N14" s="115"/>
      <c r="O14" s="115"/>
      <c r="P14" s="115"/>
      <c r="Q14" s="286"/>
      <c r="R14" s="287"/>
      <c r="S14" s="115"/>
    </row>
    <row r="15" spans="2:19" ht="12.75" customHeight="1" thickBot="1" x14ac:dyDescent="0.3">
      <c r="B15" s="113" t="s">
        <v>323</v>
      </c>
      <c r="C15" s="158"/>
      <c r="D15" s="115"/>
      <c r="E15" s="115"/>
      <c r="F15" s="115"/>
      <c r="G15" s="115"/>
      <c r="H15" s="115"/>
      <c r="I15" s="115"/>
      <c r="J15" s="115"/>
      <c r="K15" s="115"/>
      <c r="L15" s="115"/>
      <c r="M15" s="115"/>
      <c r="N15" s="115"/>
      <c r="O15" s="115"/>
      <c r="P15" s="115"/>
      <c r="Q15" s="286"/>
      <c r="R15" s="287"/>
      <c r="S15" s="115"/>
    </row>
    <row r="16" spans="2:19" ht="12.75" customHeight="1" x14ac:dyDescent="0.25">
      <c r="B16" s="282" t="s">
        <v>324</v>
      </c>
      <c r="C16" s="715">
        <f>'1-Eng Inputs'!B22*0.3048</f>
        <v>7.3152000000000008</v>
      </c>
      <c r="D16" s="289" t="s">
        <v>331</v>
      </c>
      <c r="E16" s="290"/>
      <c r="F16" s="290"/>
      <c r="G16" s="291"/>
      <c r="H16" s="155"/>
      <c r="I16" s="155"/>
      <c r="J16" s="155"/>
      <c r="K16" s="155"/>
      <c r="L16" s="155"/>
      <c r="M16" s="155"/>
      <c r="N16" s="50"/>
      <c r="O16" s="292"/>
      <c r="P16" s="115"/>
      <c r="Q16" s="286"/>
      <c r="R16" s="287"/>
      <c r="S16" s="115"/>
    </row>
    <row r="17" spans="2:19" ht="12.75" customHeight="1" x14ac:dyDescent="0.25">
      <c r="B17" s="293"/>
      <c r="C17" s="294"/>
      <c r="D17" s="43"/>
      <c r="E17" s="43"/>
      <c r="F17" s="43"/>
      <c r="G17" s="43"/>
      <c r="H17" s="43"/>
      <c r="I17" s="43"/>
      <c r="J17" s="43"/>
      <c r="K17" s="43"/>
      <c r="L17" s="43"/>
      <c r="M17" s="43"/>
      <c r="N17" s="43"/>
      <c r="O17" s="297"/>
      <c r="P17" s="115"/>
      <c r="Q17" s="286"/>
      <c r="R17" s="287"/>
      <c r="S17" s="115"/>
    </row>
    <row r="18" spans="2:19" ht="12.75" customHeight="1" x14ac:dyDescent="0.25">
      <c r="B18" s="293" t="s">
        <v>325</v>
      </c>
      <c r="C18" s="716">
        <f>'1-Eng Inputs'!B38*0.0254</f>
        <v>0.127</v>
      </c>
      <c r="D18" s="94" t="s">
        <v>0</v>
      </c>
      <c r="E18" s="295"/>
      <c r="F18" s="295"/>
      <c r="G18" s="296"/>
      <c r="H18" s="94"/>
      <c r="I18" s="94"/>
      <c r="J18" s="94"/>
      <c r="K18" s="94"/>
      <c r="L18" s="94"/>
      <c r="M18" s="94"/>
      <c r="N18" s="43"/>
      <c r="O18" s="297"/>
      <c r="P18" s="115"/>
      <c r="Q18" s="286"/>
      <c r="R18" s="287"/>
      <c r="S18" s="115"/>
    </row>
    <row r="19" spans="2:19" ht="12.75" customHeight="1" x14ac:dyDescent="0.25">
      <c r="B19" s="293" t="s">
        <v>326</v>
      </c>
      <c r="C19" s="298">
        <v>1.2</v>
      </c>
      <c r="D19" s="94" t="s">
        <v>332</v>
      </c>
      <c r="E19" s="94"/>
      <c r="F19" s="94"/>
      <c r="G19" s="94"/>
      <c r="H19" s="94"/>
      <c r="I19" s="94"/>
      <c r="J19" s="94"/>
      <c r="K19" s="94"/>
      <c r="L19" s="94"/>
      <c r="M19" s="94"/>
      <c r="N19" s="43"/>
      <c r="O19" s="297"/>
      <c r="P19" s="115"/>
      <c r="Q19" s="286"/>
      <c r="R19" s="287"/>
      <c r="S19" s="115"/>
    </row>
    <row r="20" spans="2:19" ht="12.75" customHeight="1" x14ac:dyDescent="0.25">
      <c r="B20" s="293" t="s">
        <v>327</v>
      </c>
      <c r="C20" s="716">
        <f>'1-Eng Inputs'!B21*0.3048</f>
        <v>91.44</v>
      </c>
      <c r="D20" s="94" t="s">
        <v>0</v>
      </c>
      <c r="E20" s="299"/>
      <c r="F20" s="299"/>
      <c r="G20" s="299"/>
      <c r="H20" s="299"/>
      <c r="I20" s="299"/>
      <c r="J20" s="299"/>
      <c r="K20" s="299"/>
      <c r="L20" s="299"/>
      <c r="M20" s="299"/>
      <c r="N20" s="43"/>
      <c r="O20" s="300"/>
      <c r="P20" s="115"/>
      <c r="Q20" s="286"/>
      <c r="R20" s="287"/>
      <c r="S20" s="115"/>
    </row>
    <row r="21" spans="2:19" ht="12.75" customHeight="1" x14ac:dyDescent="0.25">
      <c r="B21" s="293" t="s">
        <v>328</v>
      </c>
      <c r="C21" s="716">
        <f>'1-Eng Inputs'!B20*0.3048</f>
        <v>91.44</v>
      </c>
      <c r="D21" s="94" t="s">
        <v>0</v>
      </c>
      <c r="E21" s="299"/>
      <c r="F21" s="299"/>
      <c r="G21" s="299"/>
      <c r="H21" s="299"/>
      <c r="I21" s="299"/>
      <c r="J21" s="299"/>
      <c r="K21" s="299"/>
      <c r="L21" s="299"/>
      <c r="M21" s="299"/>
      <c r="N21" s="43"/>
      <c r="O21" s="300"/>
      <c r="P21" s="115"/>
      <c r="Q21" s="286"/>
      <c r="R21" s="287"/>
      <c r="S21" s="115"/>
    </row>
    <row r="22" spans="2:19" ht="12.75" customHeight="1" x14ac:dyDescent="0.25">
      <c r="B22" s="293" t="s">
        <v>329</v>
      </c>
      <c r="C22" s="301">
        <f>C20*C21</f>
        <v>8361.2736000000004</v>
      </c>
      <c r="D22" s="94" t="s">
        <v>1</v>
      </c>
      <c r="E22" s="94"/>
      <c r="F22" s="94"/>
      <c r="G22" s="94"/>
      <c r="H22" s="94"/>
      <c r="I22" s="94"/>
      <c r="J22" s="94"/>
      <c r="K22" s="94"/>
      <c r="L22" s="94"/>
      <c r="M22" s="94"/>
      <c r="N22" s="43"/>
      <c r="O22" s="302"/>
      <c r="P22" s="115"/>
      <c r="Q22" s="286"/>
      <c r="R22" s="287"/>
      <c r="S22" s="115"/>
    </row>
    <row r="23" spans="2:19" ht="12.75" customHeight="1" x14ac:dyDescent="0.25">
      <c r="B23" s="293" t="s">
        <v>330</v>
      </c>
      <c r="C23" s="716">
        <f>'1-Eng Inputs'!B35</f>
        <v>1.1934894239820351</v>
      </c>
      <c r="D23" s="316" t="s">
        <v>333</v>
      </c>
      <c r="E23" s="94"/>
      <c r="F23" s="94"/>
      <c r="G23" s="94"/>
      <c r="H23" s="94"/>
      <c r="I23" s="94"/>
      <c r="J23" s="94"/>
      <c r="K23" s="94"/>
      <c r="L23" s="94"/>
      <c r="M23" s="94"/>
      <c r="N23" s="43"/>
      <c r="O23" s="302"/>
      <c r="P23" s="304"/>
      <c r="Q23" s="286"/>
      <c r="R23" s="287"/>
      <c r="S23" s="115"/>
    </row>
    <row r="24" spans="2:19" ht="12.75" customHeight="1" thickBot="1" x14ac:dyDescent="0.3">
      <c r="B24" s="303"/>
      <c r="C24" s="210"/>
      <c r="D24" s="210"/>
      <c r="E24" s="210"/>
      <c r="F24" s="210"/>
      <c r="G24" s="210"/>
      <c r="H24" s="210"/>
      <c r="I24" s="210"/>
      <c r="J24" s="210"/>
      <c r="K24" s="210"/>
      <c r="L24" s="210"/>
      <c r="M24" s="210"/>
      <c r="N24" s="211"/>
      <c r="O24" s="339"/>
      <c r="P24" s="304"/>
      <c r="Q24" s="286"/>
      <c r="R24" s="287"/>
      <c r="S24" s="296"/>
    </row>
    <row r="25" spans="2:19" ht="12.75" customHeight="1" thickBot="1" x14ac:dyDescent="0.3">
      <c r="B25" s="115"/>
      <c r="C25" s="305"/>
      <c r="D25" s="115"/>
      <c r="E25" s="115"/>
      <c r="F25" s="115"/>
      <c r="G25" s="115"/>
      <c r="H25" s="115"/>
      <c r="I25" s="115"/>
      <c r="J25" s="115"/>
      <c r="K25" s="115"/>
      <c r="L25" s="115"/>
      <c r="M25" s="115"/>
      <c r="N25" s="306"/>
      <c r="O25" s="304"/>
      <c r="P25" s="304"/>
      <c r="Q25" s="307"/>
      <c r="R25" s="308"/>
      <c r="S25" s="158"/>
    </row>
    <row r="26" spans="2:19" ht="12.75" customHeight="1" thickBot="1" x14ac:dyDescent="0.3">
      <c r="B26" s="211"/>
      <c r="C26" s="211"/>
      <c r="D26" s="211"/>
      <c r="E26" s="211"/>
      <c r="F26" s="211"/>
      <c r="G26" s="211"/>
      <c r="H26" s="211"/>
      <c r="I26" s="211"/>
      <c r="J26" s="211"/>
      <c r="K26" s="211"/>
      <c r="L26" s="211"/>
      <c r="M26" s="211"/>
      <c r="N26" s="211"/>
      <c r="O26" s="211"/>
      <c r="P26" s="211"/>
      <c r="Q26" s="115"/>
      <c r="R26" s="115"/>
      <c r="S26" s="115"/>
    </row>
    <row r="27" spans="2:19" ht="12.75" customHeight="1" thickBot="1" x14ac:dyDescent="0.3">
      <c r="B27" s="309"/>
      <c r="C27" s="155"/>
      <c r="D27" s="155"/>
      <c r="E27" s="155"/>
      <c r="F27" s="155"/>
      <c r="G27" s="310"/>
      <c r="I27" s="238" t="s">
        <v>348</v>
      </c>
      <c r="J27" s="238"/>
      <c r="K27" s="155"/>
      <c r="L27" s="155"/>
      <c r="M27" s="155"/>
      <c r="N27" s="155"/>
      <c r="O27" s="155"/>
      <c r="P27" s="292"/>
      <c r="Q27" s="115"/>
      <c r="R27" s="115"/>
      <c r="S27" s="115"/>
    </row>
    <row r="28" spans="2:19" ht="12.75" customHeight="1" thickBot="1" x14ac:dyDescent="0.3">
      <c r="B28" s="311" t="s">
        <v>337</v>
      </c>
      <c r="C28" s="94"/>
      <c r="D28" s="94"/>
      <c r="E28" s="1153" t="s">
        <v>345</v>
      </c>
      <c r="F28" s="1154"/>
      <c r="G28" s="1154"/>
      <c r="H28" s="1154"/>
      <c r="I28" s="1154"/>
      <c r="J28" s="1154"/>
      <c r="K28" s="1154"/>
      <c r="L28" s="1154"/>
      <c r="M28" s="1155"/>
      <c r="N28" s="94"/>
      <c r="O28" s="325">
        <f>MAX(1.2,C19)</f>
        <v>1.2</v>
      </c>
      <c r="P28" s="297" t="s">
        <v>0</v>
      </c>
      <c r="Q28" s="115"/>
      <c r="R28" s="115"/>
      <c r="S28" s="115"/>
    </row>
    <row r="29" spans="2:19" ht="12.75" customHeight="1" x14ac:dyDescent="0.25">
      <c r="B29" s="1153" t="s">
        <v>338</v>
      </c>
      <c r="C29" s="1155"/>
      <c r="D29" s="94"/>
      <c r="E29" s="947"/>
      <c r="F29" s="566"/>
      <c r="G29" s="567"/>
      <c r="H29" s="567"/>
      <c r="I29" s="567"/>
      <c r="J29" s="570"/>
      <c r="K29" s="548"/>
      <c r="L29" s="378"/>
      <c r="M29" s="948"/>
      <c r="N29" s="94"/>
      <c r="O29" s="312"/>
      <c r="P29" s="297"/>
      <c r="Q29" s="115"/>
      <c r="R29" s="115"/>
      <c r="S29" s="115"/>
    </row>
    <row r="30" spans="2:19" ht="12.75" customHeight="1" x14ac:dyDescent="0.25">
      <c r="B30" s="1156"/>
      <c r="C30" s="1157"/>
      <c r="D30" s="94"/>
      <c r="E30" s="947"/>
      <c r="F30" s="568"/>
      <c r="G30" s="569"/>
      <c r="H30" s="569"/>
      <c r="I30" s="569"/>
      <c r="J30" s="551"/>
      <c r="K30" s="549"/>
      <c r="L30" s="379"/>
      <c r="M30" s="948"/>
      <c r="N30" s="94"/>
      <c r="O30" s="279"/>
      <c r="P30" s="297"/>
      <c r="Q30" s="313"/>
      <c r="R30" s="115"/>
      <c r="S30" s="115"/>
    </row>
    <row r="31" spans="2:19" ht="12.75" customHeight="1" x14ac:dyDescent="0.25">
      <c r="B31" s="1158"/>
      <c r="C31" s="1159"/>
      <c r="D31" s="43"/>
      <c r="E31" s="947"/>
      <c r="F31" s="568"/>
      <c r="G31" s="569"/>
      <c r="H31" s="569"/>
      <c r="I31" s="569"/>
      <c r="J31" s="551"/>
      <c r="K31" s="549"/>
      <c r="L31" s="379"/>
      <c r="M31" s="948"/>
      <c r="N31" s="94"/>
      <c r="O31" s="279"/>
      <c r="P31" s="297"/>
      <c r="Q31" s="313"/>
      <c r="R31" s="115"/>
      <c r="S31" s="115"/>
    </row>
    <row r="32" spans="2:19" ht="12.75" customHeight="1" x14ac:dyDescent="0.25">
      <c r="B32" s="1151" t="s">
        <v>339</v>
      </c>
      <c r="C32" s="1152"/>
      <c r="D32" s="314" t="s">
        <v>344</v>
      </c>
      <c r="E32" s="947"/>
      <c r="F32" s="1164" t="s">
        <v>346</v>
      </c>
      <c r="G32" s="1162"/>
      <c r="H32" s="1162"/>
      <c r="I32" s="1162"/>
      <c r="J32" s="551"/>
      <c r="K32" s="549"/>
      <c r="L32" s="501"/>
      <c r="M32" s="948"/>
      <c r="N32" s="94"/>
      <c r="O32" s="279"/>
      <c r="P32" s="297"/>
      <c r="Q32" s="313"/>
      <c r="R32" s="115"/>
      <c r="S32" s="115"/>
    </row>
    <row r="33" spans="1:38" ht="12.75" customHeight="1" x14ac:dyDescent="0.25">
      <c r="B33" s="1167" t="s">
        <v>340</v>
      </c>
      <c r="C33" s="1168"/>
      <c r="D33" s="43"/>
      <c r="E33" s="947"/>
      <c r="F33" s="1164"/>
      <c r="G33" s="1162"/>
      <c r="H33" s="1162"/>
      <c r="I33" s="1162"/>
      <c r="J33" s="551"/>
      <c r="K33" s="549"/>
      <c r="L33" s="501"/>
      <c r="M33" s="948"/>
      <c r="N33" s="94"/>
      <c r="O33" s="315"/>
      <c r="P33" s="297"/>
      <c r="Q33" s="115"/>
      <c r="R33" s="115"/>
      <c r="S33" s="94"/>
    </row>
    <row r="34" spans="1:38" ht="12.75" customHeight="1" x14ac:dyDescent="0.25">
      <c r="B34" s="1149" t="s">
        <v>341</v>
      </c>
      <c r="C34" s="1150"/>
      <c r="D34" s="94"/>
      <c r="E34" s="947"/>
      <c r="F34" s="1164"/>
      <c r="G34" s="1162"/>
      <c r="H34" s="1162"/>
      <c r="I34" s="1162"/>
      <c r="J34" s="551"/>
      <c r="K34" s="549"/>
      <c r="L34" s="501"/>
      <c r="M34" s="948"/>
      <c r="N34" s="94"/>
      <c r="O34" s="279"/>
      <c r="P34" s="297"/>
      <c r="Q34" s="115"/>
      <c r="R34" s="115"/>
      <c r="S34" s="115"/>
    </row>
    <row r="35" spans="1:38" ht="12.75" customHeight="1" thickBot="1" x14ac:dyDescent="0.3">
      <c r="B35" s="1165" t="s">
        <v>342</v>
      </c>
      <c r="C35" s="1166"/>
      <c r="D35" s="94"/>
      <c r="E35" s="947"/>
      <c r="F35" s="513"/>
      <c r="G35" s="502"/>
      <c r="H35" s="502"/>
      <c r="I35" s="502"/>
      <c r="J35" s="552"/>
      <c r="K35" s="550"/>
      <c r="L35" s="553"/>
      <c r="M35" s="948"/>
      <c r="N35" s="94"/>
      <c r="O35" s="279"/>
      <c r="P35" s="297"/>
      <c r="Q35" s="115"/>
      <c r="R35" s="115"/>
      <c r="S35" s="115"/>
    </row>
    <row r="36" spans="1:38" ht="12.75" customHeight="1" thickBot="1" x14ac:dyDescent="0.3">
      <c r="B36" s="1160" t="s">
        <v>343</v>
      </c>
      <c r="C36" s="1161"/>
      <c r="D36" s="94"/>
      <c r="E36" s="1132" t="s">
        <v>347</v>
      </c>
      <c r="F36" s="1133"/>
      <c r="G36" s="1133"/>
      <c r="H36" s="1133"/>
      <c r="I36" s="1133"/>
      <c r="J36" s="1133"/>
      <c r="K36" s="1133"/>
      <c r="L36" s="1133"/>
      <c r="M36" s="1134"/>
      <c r="N36" s="94"/>
      <c r="O36" s="325">
        <f>O28</f>
        <v>1.2</v>
      </c>
      <c r="P36" s="297" t="s">
        <v>0</v>
      </c>
      <c r="Q36" s="115"/>
      <c r="R36" s="115"/>
      <c r="S36" s="115"/>
    </row>
    <row r="37" spans="1:38" ht="12.75" customHeight="1" x14ac:dyDescent="0.25">
      <c r="B37" s="155"/>
      <c r="C37" s="155"/>
      <c r="D37" s="94"/>
      <c r="E37" s="94"/>
      <c r="F37" s="94"/>
      <c r="G37" s="94"/>
      <c r="H37" s="94"/>
      <c r="I37" s="94"/>
      <c r="J37" s="94"/>
      <c r="K37" s="94"/>
      <c r="L37" s="94"/>
      <c r="M37" s="94"/>
      <c r="N37" s="94"/>
      <c r="O37" s="94"/>
      <c r="P37" s="297"/>
      <c r="Q37" s="115"/>
      <c r="R37" s="115"/>
      <c r="S37" s="115"/>
    </row>
    <row r="38" spans="1:38" ht="12.75" customHeight="1" x14ac:dyDescent="0.25">
      <c r="B38" s="94"/>
      <c r="C38" s="94"/>
      <c r="D38" s="94"/>
      <c r="E38" s="324">
        <f>O28</f>
        <v>1.2</v>
      </c>
      <c r="F38" s="324"/>
      <c r="G38" s="318"/>
      <c r="H38" s="318"/>
      <c r="I38" s="318"/>
      <c r="J38" s="318"/>
      <c r="K38" s="318"/>
      <c r="L38" s="318"/>
      <c r="M38" s="323">
        <f>O28</f>
        <v>1.2</v>
      </c>
      <c r="N38" s="94"/>
      <c r="O38" s="94"/>
      <c r="P38" s="297"/>
      <c r="Q38" s="115"/>
      <c r="R38" s="115"/>
      <c r="S38" s="115"/>
    </row>
    <row r="39" spans="1:38" ht="12.75" customHeight="1" x14ac:dyDescent="0.25">
      <c r="B39" s="509"/>
      <c r="C39" s="510"/>
      <c r="D39" s="510"/>
      <c r="E39" s="511" t="s">
        <v>0</v>
      </c>
      <c r="F39" s="511"/>
      <c r="G39" s="511"/>
      <c r="H39" s="511"/>
      <c r="I39" s="511"/>
      <c r="J39" s="511"/>
      <c r="K39" s="511"/>
      <c r="L39" s="511"/>
      <c r="M39" s="511" t="s">
        <v>0</v>
      </c>
      <c r="N39" s="510"/>
      <c r="O39" s="510"/>
      <c r="P39" s="512"/>
      <c r="Q39" s="115"/>
      <c r="R39" s="115"/>
      <c r="S39" s="115"/>
    </row>
    <row r="40" spans="1:38" ht="12.75" customHeight="1" thickBot="1" x14ac:dyDescent="0.3">
      <c r="B40" s="508"/>
      <c r="C40" s="43"/>
      <c r="D40" s="94"/>
      <c r="E40" s="94"/>
      <c r="F40" s="94"/>
      <c r="G40" s="316"/>
      <c r="I40" s="525" t="s">
        <v>348</v>
      </c>
      <c r="J40" s="525"/>
      <c r="K40" s="94"/>
      <c r="L40" s="94"/>
      <c r="M40" s="94"/>
      <c r="N40" s="94"/>
      <c r="O40" s="94"/>
      <c r="P40" s="297"/>
    </row>
    <row r="41" spans="1:38" ht="12.75" customHeight="1" thickBot="1" x14ac:dyDescent="0.3">
      <c r="B41" s="317"/>
      <c r="C41" s="43"/>
      <c r="D41" s="94"/>
      <c r="E41" s="1153" t="s">
        <v>345</v>
      </c>
      <c r="F41" s="1154"/>
      <c r="G41" s="1154"/>
      <c r="H41" s="1154"/>
      <c r="I41" s="1154"/>
      <c r="J41" s="1154"/>
      <c r="K41" s="1154"/>
      <c r="L41" s="1154"/>
      <c r="M41" s="1155"/>
      <c r="N41" s="94"/>
      <c r="O41" s="325">
        <f>MAX(1.2,C19)</f>
        <v>1.2</v>
      </c>
      <c r="P41" s="297" t="s">
        <v>0</v>
      </c>
      <c r="Q41" s="321"/>
      <c r="R41" s="322"/>
    </row>
    <row r="42" spans="1:38" ht="12.75" customHeight="1" x14ac:dyDescent="0.25">
      <c r="B42" s="317"/>
      <c r="C42" s="43"/>
      <c r="D42" s="94"/>
      <c r="E42" s="947"/>
      <c r="F42" s="376"/>
      <c r="G42" s="548"/>
      <c r="H42" s="570"/>
      <c r="I42" s="567"/>
      <c r="J42" s="567"/>
      <c r="K42" s="567"/>
      <c r="L42" s="571"/>
      <c r="M42" s="948"/>
      <c r="N42" s="94"/>
      <c r="O42" s="312"/>
      <c r="P42" s="297"/>
      <c r="Q42" s="321"/>
      <c r="R42" s="322"/>
    </row>
    <row r="43" spans="1:38" ht="12.75" customHeight="1" x14ac:dyDescent="0.25">
      <c r="B43" s="317"/>
      <c r="C43" s="43"/>
      <c r="D43" s="94"/>
      <c r="E43" s="947"/>
      <c r="F43" s="377"/>
      <c r="G43" s="549"/>
      <c r="H43" s="551"/>
      <c r="I43" s="569"/>
      <c r="J43" s="569"/>
      <c r="K43" s="569"/>
      <c r="L43" s="572"/>
      <c r="M43" s="948"/>
      <c r="N43" s="94"/>
      <c r="O43" s="279"/>
      <c r="P43" s="297"/>
      <c r="Q43" s="321"/>
      <c r="R43" s="322"/>
    </row>
    <row r="44" spans="1:38" ht="12.75" customHeight="1" x14ac:dyDescent="0.25">
      <c r="B44" s="317"/>
      <c r="C44" s="46"/>
      <c r="D44" s="43"/>
      <c r="E44" s="947"/>
      <c r="F44" s="377"/>
      <c r="G44" s="549"/>
      <c r="H44" s="551"/>
      <c r="I44" s="569"/>
      <c r="J44" s="569"/>
      <c r="K44" s="569"/>
      <c r="L44" s="572"/>
      <c r="M44" s="948"/>
      <c r="N44" s="94"/>
      <c r="O44" s="279"/>
      <c r="P44" s="297"/>
      <c r="Q44" s="321"/>
      <c r="R44" s="322"/>
    </row>
    <row r="45" spans="1:38" ht="12.75" customHeight="1" x14ac:dyDescent="0.25">
      <c r="A45" s="97"/>
      <c r="B45" s="317"/>
      <c r="C45" s="46"/>
      <c r="D45" s="314" t="s">
        <v>344</v>
      </c>
      <c r="E45" s="947"/>
      <c r="F45" s="500"/>
      <c r="G45" s="549"/>
      <c r="H45" s="551"/>
      <c r="I45" s="1162" t="s">
        <v>349</v>
      </c>
      <c r="J45" s="1162"/>
      <c r="K45" s="1162"/>
      <c r="L45" s="1163"/>
      <c r="M45" s="948"/>
      <c r="N45" s="94"/>
      <c r="O45" s="279"/>
      <c r="P45" s="297"/>
      <c r="Q45" s="46"/>
      <c r="R45" s="97"/>
      <c r="S45" s="97"/>
      <c r="T45" s="97"/>
      <c r="U45" s="97"/>
      <c r="V45" s="97"/>
      <c r="W45" s="97"/>
      <c r="X45" s="97"/>
      <c r="Y45" s="97"/>
      <c r="Z45" s="97"/>
      <c r="AA45" s="97"/>
      <c r="AB45" s="97"/>
      <c r="AC45" s="97"/>
      <c r="AD45" s="97"/>
      <c r="AE45" s="97"/>
      <c r="AF45" s="97"/>
      <c r="AG45" s="97"/>
      <c r="AH45" s="97"/>
      <c r="AI45" s="97"/>
      <c r="AJ45" s="97"/>
      <c r="AK45" s="97"/>
      <c r="AL45" s="97"/>
    </row>
    <row r="46" spans="1:38" ht="12.75" customHeight="1" x14ac:dyDescent="0.25">
      <c r="A46" s="97"/>
      <c r="B46" s="505"/>
      <c r="C46" s="46"/>
      <c r="D46" s="43"/>
      <c r="E46" s="947"/>
      <c r="F46" s="500"/>
      <c r="G46" s="549"/>
      <c r="H46" s="551"/>
      <c r="I46" s="1162"/>
      <c r="J46" s="1162"/>
      <c r="K46" s="1162"/>
      <c r="L46" s="1163"/>
      <c r="M46" s="948"/>
      <c r="N46" s="94"/>
      <c r="O46" s="315"/>
      <c r="P46" s="297"/>
      <c r="Q46" s="46"/>
      <c r="R46" s="97"/>
      <c r="S46" s="97"/>
      <c r="T46" s="97"/>
      <c r="U46" s="97"/>
      <c r="V46" s="97"/>
      <c r="W46" s="97"/>
      <c r="X46" s="97"/>
      <c r="Y46" s="97"/>
      <c r="Z46" s="97"/>
      <c r="AA46" s="97"/>
      <c r="AB46" s="97"/>
      <c r="AC46" s="97"/>
      <c r="AD46" s="97"/>
      <c r="AE46" s="97"/>
      <c r="AF46" s="97"/>
      <c r="AG46" s="97"/>
      <c r="AH46" s="97"/>
      <c r="AI46" s="97"/>
      <c r="AJ46" s="97"/>
      <c r="AK46" s="97"/>
      <c r="AL46" s="97"/>
    </row>
    <row r="47" spans="1:38" ht="12.75" customHeight="1" x14ac:dyDescent="0.25">
      <c r="A47" s="97"/>
      <c r="B47" s="505"/>
      <c r="C47" s="46"/>
      <c r="D47" s="94"/>
      <c r="E47" s="947"/>
      <c r="F47" s="500"/>
      <c r="G47" s="549"/>
      <c r="H47" s="551"/>
      <c r="I47" s="1162"/>
      <c r="J47" s="1162"/>
      <c r="K47" s="1162"/>
      <c r="L47" s="1163"/>
      <c r="M47" s="948"/>
      <c r="N47" s="94"/>
      <c r="O47" s="279"/>
      <c r="P47" s="297"/>
      <c r="Q47" s="46"/>
      <c r="R47" s="97"/>
      <c r="S47" s="97"/>
      <c r="T47" s="97"/>
      <c r="U47" s="97"/>
      <c r="V47" s="97"/>
      <c r="W47" s="97"/>
      <c r="X47" s="97"/>
      <c r="Y47" s="97"/>
      <c r="Z47" s="97"/>
      <c r="AA47" s="97"/>
      <c r="AB47" s="97"/>
      <c r="AC47" s="97"/>
      <c r="AD47" s="97"/>
      <c r="AE47" s="97"/>
      <c r="AF47" s="97"/>
      <c r="AG47" s="97"/>
      <c r="AH47" s="97"/>
      <c r="AI47" s="97"/>
      <c r="AJ47" s="97"/>
      <c r="AK47" s="97"/>
      <c r="AL47" s="97"/>
    </row>
    <row r="48" spans="1:38" ht="12.75" customHeight="1" thickBot="1" x14ac:dyDescent="0.3">
      <c r="A48" s="97"/>
      <c r="B48" s="505"/>
      <c r="C48" s="46"/>
      <c r="D48" s="94"/>
      <c r="E48" s="947"/>
      <c r="F48" s="554"/>
      <c r="G48" s="550"/>
      <c r="H48" s="552"/>
      <c r="I48" s="502"/>
      <c r="J48" s="502"/>
      <c r="K48" s="502"/>
      <c r="L48" s="514"/>
      <c r="M48" s="948"/>
      <c r="N48" s="94"/>
      <c r="O48" s="279"/>
      <c r="P48" s="297"/>
      <c r="Q48" s="46"/>
      <c r="R48" s="97"/>
      <c r="S48" s="97"/>
      <c r="T48" s="97"/>
      <c r="U48" s="97"/>
      <c r="V48" s="97"/>
      <c r="W48" s="97"/>
      <c r="X48" s="97"/>
      <c r="Y48" s="97"/>
      <c r="Z48" s="97"/>
      <c r="AA48" s="97"/>
      <c r="AB48" s="97"/>
      <c r="AC48" s="97"/>
      <c r="AD48" s="97"/>
      <c r="AE48" s="97"/>
      <c r="AF48" s="97"/>
      <c r="AG48" s="97"/>
      <c r="AH48" s="97"/>
      <c r="AI48" s="97"/>
      <c r="AJ48" s="97"/>
      <c r="AK48" s="97"/>
      <c r="AL48" s="97"/>
    </row>
    <row r="49" spans="1:38" ht="12.75" customHeight="1" thickBot="1" x14ac:dyDescent="0.3">
      <c r="A49" s="97"/>
      <c r="B49" s="505"/>
      <c r="C49" s="46"/>
      <c r="D49" s="94"/>
      <c r="E49" s="1132" t="s">
        <v>347</v>
      </c>
      <c r="F49" s="1133"/>
      <c r="G49" s="1133"/>
      <c r="H49" s="1133"/>
      <c r="I49" s="1133"/>
      <c r="J49" s="1133"/>
      <c r="K49" s="1133"/>
      <c r="L49" s="1133"/>
      <c r="M49" s="1134"/>
      <c r="N49" s="94"/>
      <c r="O49" s="325">
        <f>O41</f>
        <v>1.2</v>
      </c>
      <c r="P49" s="297" t="s">
        <v>0</v>
      </c>
      <c r="Q49" s="46"/>
      <c r="R49" s="97"/>
      <c r="S49" s="97"/>
      <c r="T49" s="97"/>
      <c r="U49" s="97"/>
      <c r="V49" s="97"/>
      <c r="W49" s="97"/>
      <c r="X49" s="97"/>
      <c r="Y49" s="97"/>
      <c r="Z49" s="97"/>
      <c r="AA49" s="97"/>
      <c r="AB49" s="97"/>
      <c r="AC49" s="97"/>
      <c r="AD49" s="97"/>
      <c r="AE49" s="97"/>
      <c r="AF49" s="97"/>
      <c r="AG49" s="97"/>
      <c r="AH49" s="97"/>
      <c r="AI49" s="97"/>
      <c r="AJ49" s="97"/>
      <c r="AK49" s="97"/>
      <c r="AL49" s="97"/>
    </row>
    <row r="50" spans="1:38" ht="12.75" customHeight="1" x14ac:dyDescent="0.25">
      <c r="A50" s="97"/>
      <c r="B50" s="506"/>
      <c r="C50" s="25"/>
      <c r="D50" s="94"/>
      <c r="E50" s="94"/>
      <c r="F50" s="94"/>
      <c r="G50" s="94"/>
      <c r="H50" s="94"/>
      <c r="I50" s="94"/>
      <c r="J50" s="94"/>
      <c r="K50" s="94"/>
      <c r="L50" s="94"/>
      <c r="M50" s="94"/>
      <c r="N50" s="94"/>
      <c r="O50" s="94"/>
      <c r="P50" s="297"/>
      <c r="Q50" s="46"/>
      <c r="R50" s="97"/>
      <c r="S50" s="97"/>
      <c r="T50" s="97"/>
      <c r="U50" s="97"/>
      <c r="V50" s="97"/>
      <c r="W50" s="97"/>
      <c r="X50" s="97"/>
      <c r="Y50" s="97"/>
      <c r="Z50" s="97"/>
      <c r="AA50" s="97"/>
      <c r="AB50" s="97"/>
      <c r="AC50" s="97"/>
      <c r="AD50" s="97"/>
      <c r="AE50" s="97"/>
      <c r="AF50" s="97"/>
      <c r="AG50" s="97"/>
      <c r="AH50" s="97"/>
      <c r="AI50" s="97"/>
      <c r="AJ50" s="97"/>
      <c r="AK50" s="97"/>
      <c r="AL50" s="97"/>
    </row>
    <row r="51" spans="1:38" ht="12.75" customHeight="1" x14ac:dyDescent="0.25">
      <c r="A51" s="97"/>
      <c r="B51" s="506"/>
      <c r="C51" s="25"/>
      <c r="D51" s="94"/>
      <c r="E51" s="324">
        <f>O41</f>
        <v>1.2</v>
      </c>
      <c r="F51" s="324"/>
      <c r="G51" s="318"/>
      <c r="H51" s="318"/>
      <c r="I51" s="318"/>
      <c r="J51" s="318"/>
      <c r="K51" s="318"/>
      <c r="L51" s="318"/>
      <c r="M51" s="323">
        <f>O41</f>
        <v>1.2</v>
      </c>
      <c r="N51" s="94"/>
      <c r="O51" s="94"/>
      <c r="P51" s="297"/>
      <c r="Q51" s="25"/>
      <c r="R51" s="25"/>
      <c r="S51" s="25"/>
      <c r="T51" s="25"/>
      <c r="U51" s="97"/>
      <c r="V51" s="97"/>
      <c r="W51" s="97"/>
      <c r="X51" s="97"/>
      <c r="Y51" s="97"/>
      <c r="Z51" s="97"/>
      <c r="AA51" s="97"/>
      <c r="AB51" s="97"/>
      <c r="AC51" s="97"/>
      <c r="AD51" s="97"/>
      <c r="AE51" s="97"/>
      <c r="AF51" s="97"/>
      <c r="AG51" s="97"/>
      <c r="AH51" s="97"/>
      <c r="AI51" s="97"/>
      <c r="AJ51" s="97"/>
      <c r="AK51" s="97"/>
      <c r="AL51" s="97"/>
    </row>
    <row r="52" spans="1:38" ht="12.75" customHeight="1" thickBot="1" x14ac:dyDescent="0.3">
      <c r="A52" s="97"/>
      <c r="B52" s="319"/>
      <c r="C52" s="211"/>
      <c r="D52" s="211"/>
      <c r="E52" s="320" t="s">
        <v>0</v>
      </c>
      <c r="F52" s="320"/>
      <c r="G52" s="320"/>
      <c r="H52" s="320"/>
      <c r="I52" s="320"/>
      <c r="J52" s="320"/>
      <c r="K52" s="320"/>
      <c r="L52" s="320"/>
      <c r="M52" s="320" t="s">
        <v>0</v>
      </c>
      <c r="N52" s="211"/>
      <c r="O52" s="211"/>
      <c r="P52" s="507"/>
      <c r="Q52" s="25"/>
      <c r="R52" s="25"/>
      <c r="S52" s="25"/>
      <c r="T52" s="25"/>
      <c r="U52" s="97"/>
      <c r="V52" s="97"/>
      <c r="W52" s="97"/>
      <c r="X52" s="97"/>
      <c r="Y52" s="97"/>
      <c r="Z52" s="97"/>
      <c r="AA52" s="97"/>
      <c r="AB52" s="97"/>
      <c r="AC52" s="97"/>
      <c r="AD52" s="97"/>
      <c r="AE52" s="97"/>
      <c r="AF52" s="97"/>
      <c r="AG52" s="97"/>
      <c r="AH52" s="97"/>
      <c r="AI52" s="97"/>
      <c r="AJ52" s="97"/>
      <c r="AK52" s="97"/>
      <c r="AL52" s="97"/>
    </row>
    <row r="53" spans="1:38" ht="12.75" customHeight="1" x14ac:dyDescent="0.25">
      <c r="A53" s="97"/>
      <c r="B53" s="25"/>
      <c r="C53" s="25"/>
      <c r="D53" s="25"/>
      <c r="E53" s="25"/>
      <c r="F53" s="25"/>
      <c r="G53" s="25"/>
      <c r="H53" s="25"/>
      <c r="I53" s="25"/>
      <c r="J53" s="25"/>
      <c r="K53" s="25"/>
      <c r="L53" s="25"/>
      <c r="M53" s="25"/>
      <c r="N53" s="25"/>
      <c r="O53" s="25"/>
      <c r="P53" s="25"/>
      <c r="Q53" s="25"/>
      <c r="R53" s="25"/>
      <c r="S53" s="25"/>
      <c r="T53" s="25"/>
      <c r="U53" s="97"/>
      <c r="V53" s="97"/>
      <c r="W53" s="97"/>
      <c r="X53" s="97"/>
      <c r="Y53" s="97"/>
      <c r="Z53" s="97"/>
      <c r="AA53" s="97"/>
      <c r="AB53" s="97"/>
      <c r="AC53" s="97"/>
      <c r="AD53" s="97"/>
      <c r="AE53" s="97"/>
      <c r="AF53" s="97"/>
      <c r="AG53" s="97"/>
      <c r="AH53" s="97"/>
      <c r="AI53" s="97"/>
      <c r="AJ53" s="97"/>
      <c r="AK53" s="97"/>
      <c r="AL53" s="97"/>
    </row>
    <row r="54" spans="1:38" ht="12.75" customHeight="1" x14ac:dyDescent="0.25">
      <c r="A54" s="97"/>
      <c r="B54" s="25"/>
      <c r="C54" s="25"/>
      <c r="D54" s="25"/>
      <c r="E54" s="25"/>
      <c r="F54" s="25"/>
      <c r="G54" s="25"/>
      <c r="H54" s="25"/>
      <c r="I54" s="25"/>
      <c r="J54" s="25"/>
      <c r="K54" s="25"/>
      <c r="L54" s="25"/>
      <c r="M54" s="25"/>
      <c r="N54" s="25"/>
      <c r="O54" s="25"/>
      <c r="P54" s="25"/>
      <c r="Q54" s="25"/>
      <c r="R54" s="25"/>
      <c r="S54" s="25"/>
      <c r="T54" s="25"/>
      <c r="U54" s="97"/>
      <c r="V54" s="97"/>
      <c r="W54" s="97"/>
      <c r="X54" s="97"/>
      <c r="Y54" s="97"/>
      <c r="Z54" s="97"/>
      <c r="AA54" s="97"/>
      <c r="AB54" s="97"/>
      <c r="AC54" s="97"/>
      <c r="AD54" s="97"/>
      <c r="AE54" s="97"/>
      <c r="AF54" s="97"/>
      <c r="AG54" s="97"/>
      <c r="AH54" s="97"/>
      <c r="AI54" s="97"/>
      <c r="AJ54" s="97"/>
      <c r="AK54" s="97"/>
      <c r="AL54" s="97"/>
    </row>
    <row r="55" spans="1:38" ht="12.75" customHeight="1" x14ac:dyDescent="0.25">
      <c r="A55" s="97"/>
      <c r="B55" s="25"/>
      <c r="C55" s="25"/>
      <c r="D55" s="25"/>
      <c r="E55" s="25"/>
      <c r="F55" s="25"/>
      <c r="G55" s="25"/>
      <c r="H55" s="25"/>
      <c r="I55" s="25"/>
      <c r="J55" s="25"/>
      <c r="K55" s="25"/>
      <c r="L55" s="25"/>
      <c r="M55" s="25"/>
      <c r="N55" s="25"/>
      <c r="O55" s="25"/>
      <c r="P55" s="25"/>
      <c r="Q55" s="25"/>
      <c r="R55" s="25"/>
      <c r="S55" s="25"/>
      <c r="T55" s="25"/>
      <c r="U55" s="97"/>
      <c r="V55" s="97"/>
      <c r="W55" s="97"/>
      <c r="X55" s="97"/>
      <c r="Y55" s="97"/>
      <c r="Z55" s="97"/>
      <c r="AA55" s="97"/>
      <c r="AB55" s="97"/>
      <c r="AC55" s="97"/>
      <c r="AD55" s="97"/>
      <c r="AE55" s="97"/>
      <c r="AF55" s="97"/>
      <c r="AG55" s="97"/>
      <c r="AH55" s="97"/>
      <c r="AI55" s="97"/>
      <c r="AJ55" s="97"/>
      <c r="AK55" s="97"/>
      <c r="AL55" s="97"/>
    </row>
    <row r="56" spans="1:38" ht="12.75" customHeight="1" x14ac:dyDescent="0.25">
      <c r="A56" s="97"/>
      <c r="B56" s="25"/>
      <c r="C56" s="25"/>
      <c r="D56" s="25"/>
      <c r="E56" s="25"/>
      <c r="F56" s="25"/>
      <c r="G56" s="25"/>
      <c r="H56" s="25"/>
      <c r="I56" s="25"/>
      <c r="J56" s="25"/>
      <c r="K56" s="25"/>
      <c r="L56" s="25"/>
      <c r="M56" s="25"/>
      <c r="N56" s="25"/>
      <c r="O56" s="25"/>
      <c r="P56" s="25"/>
      <c r="Q56" s="25"/>
      <c r="R56" s="25"/>
      <c r="S56" s="25"/>
      <c r="T56" s="25"/>
      <c r="U56" s="97"/>
      <c r="V56" s="97"/>
      <c r="W56" s="97"/>
      <c r="X56" s="97"/>
      <c r="Y56" s="97"/>
      <c r="Z56" s="97"/>
      <c r="AA56" s="97"/>
      <c r="AB56" s="97"/>
      <c r="AC56" s="97"/>
      <c r="AD56" s="97"/>
      <c r="AE56" s="97"/>
      <c r="AF56" s="97"/>
      <c r="AG56" s="97"/>
      <c r="AH56" s="97"/>
      <c r="AI56" s="97"/>
      <c r="AJ56" s="97"/>
      <c r="AK56" s="97"/>
      <c r="AL56" s="97"/>
    </row>
    <row r="57" spans="1:38" ht="12.75" customHeight="1" x14ac:dyDescent="0.25">
      <c r="A57" s="97"/>
      <c r="B57" s="25"/>
      <c r="C57" s="25"/>
      <c r="D57" s="25"/>
      <c r="E57" s="25"/>
      <c r="F57" s="25"/>
      <c r="G57" s="25"/>
      <c r="H57" s="25"/>
      <c r="I57" s="25"/>
      <c r="J57" s="25"/>
      <c r="K57" s="25"/>
      <c r="L57" s="25"/>
      <c r="M57" s="25"/>
      <c r="N57" s="25"/>
      <c r="O57" s="25"/>
      <c r="P57" s="25"/>
      <c r="Q57" s="25"/>
      <c r="R57" s="25"/>
      <c r="S57" s="25"/>
      <c r="T57" s="25"/>
      <c r="U57" s="97"/>
      <c r="V57" s="97"/>
      <c r="W57" s="97"/>
      <c r="X57" s="97"/>
      <c r="Y57" s="97"/>
      <c r="Z57" s="97"/>
      <c r="AA57" s="97"/>
      <c r="AB57" s="97"/>
      <c r="AC57" s="97"/>
      <c r="AD57" s="97"/>
      <c r="AE57" s="97"/>
      <c r="AF57" s="97"/>
      <c r="AG57" s="97"/>
      <c r="AH57" s="97"/>
      <c r="AI57" s="97"/>
      <c r="AJ57" s="97"/>
      <c r="AK57" s="97"/>
      <c r="AL57" s="97"/>
    </row>
    <row r="58" spans="1:38" ht="12.75" customHeight="1" x14ac:dyDescent="0.25">
      <c r="A58" s="97"/>
      <c r="B58" s="25"/>
      <c r="C58" s="25"/>
      <c r="D58" s="25"/>
      <c r="E58" s="25"/>
      <c r="F58" s="25"/>
      <c r="G58" s="25"/>
      <c r="H58" s="25"/>
      <c r="I58" s="25"/>
      <c r="J58" s="25"/>
      <c r="K58" s="25"/>
      <c r="L58" s="25"/>
      <c r="M58" s="25"/>
      <c r="N58" s="25"/>
      <c r="O58" s="25"/>
      <c r="P58" s="25"/>
      <c r="Q58" s="25"/>
      <c r="R58" s="25"/>
      <c r="S58" s="25"/>
      <c r="T58" s="25"/>
      <c r="U58" s="97"/>
      <c r="V58" s="97"/>
      <c r="W58" s="97"/>
      <c r="X58" s="97"/>
      <c r="Y58" s="97"/>
      <c r="Z58" s="97"/>
      <c r="AA58" s="97"/>
      <c r="AB58" s="97"/>
      <c r="AC58" s="97"/>
      <c r="AD58" s="97"/>
      <c r="AE58" s="97"/>
      <c r="AF58" s="97"/>
      <c r="AG58" s="97"/>
      <c r="AH58" s="97"/>
      <c r="AI58" s="97"/>
      <c r="AJ58" s="97"/>
      <c r="AK58" s="97"/>
      <c r="AL58" s="97"/>
    </row>
    <row r="59" spans="1:38" ht="12.75" customHeight="1" x14ac:dyDescent="0.25">
      <c r="A59" s="97"/>
      <c r="B59" s="25"/>
      <c r="C59" s="25"/>
      <c r="D59" s="25"/>
      <c r="E59" s="25"/>
      <c r="F59" s="25"/>
      <c r="G59" s="25"/>
      <c r="H59" s="25"/>
      <c r="I59" s="25"/>
      <c r="J59" s="25"/>
      <c r="K59" s="25"/>
      <c r="L59" s="25"/>
      <c r="M59" s="25"/>
      <c r="N59" s="25"/>
      <c r="O59" s="25"/>
      <c r="P59" s="25"/>
      <c r="Q59" s="25"/>
      <c r="R59" s="25"/>
      <c r="S59" s="25"/>
      <c r="T59" s="25"/>
      <c r="U59" s="97"/>
      <c r="V59" s="97"/>
      <c r="W59" s="97"/>
      <c r="X59" s="97"/>
      <c r="Y59" s="97"/>
      <c r="Z59" s="97"/>
      <c r="AA59" s="97"/>
      <c r="AB59" s="97"/>
      <c r="AC59" s="97"/>
      <c r="AD59" s="97"/>
      <c r="AE59" s="97"/>
      <c r="AF59" s="97"/>
      <c r="AG59" s="97"/>
      <c r="AH59" s="97"/>
      <c r="AI59" s="97"/>
      <c r="AJ59" s="97"/>
      <c r="AK59" s="97"/>
      <c r="AL59" s="97"/>
    </row>
    <row r="60" spans="1:38" ht="12.75" customHeight="1" x14ac:dyDescent="0.25">
      <c r="A60" s="97"/>
      <c r="B60" s="25"/>
      <c r="C60" s="25"/>
      <c r="D60" s="25"/>
      <c r="E60" s="25"/>
      <c r="F60" s="25"/>
      <c r="G60" s="25"/>
      <c r="H60" s="25"/>
      <c r="I60" s="25"/>
      <c r="J60" s="25"/>
      <c r="K60" s="25"/>
      <c r="L60" s="25"/>
      <c r="M60" s="25"/>
      <c r="N60" s="25"/>
      <c r="O60" s="25"/>
      <c r="P60" s="25"/>
      <c r="Q60" s="25"/>
      <c r="R60" s="25"/>
      <c r="S60" s="25"/>
      <c r="T60" s="25"/>
      <c r="U60" s="97"/>
      <c r="V60" s="97"/>
      <c r="W60" s="97"/>
      <c r="X60" s="97"/>
      <c r="Y60" s="97"/>
      <c r="Z60" s="97"/>
      <c r="AA60" s="97"/>
      <c r="AB60" s="97"/>
      <c r="AC60" s="97"/>
      <c r="AD60" s="97"/>
      <c r="AE60" s="97"/>
      <c r="AF60" s="97"/>
      <c r="AG60" s="97"/>
      <c r="AH60" s="97"/>
      <c r="AI60" s="97"/>
      <c r="AJ60" s="97"/>
      <c r="AK60" s="97"/>
      <c r="AL60" s="97"/>
    </row>
    <row r="61" spans="1:38" ht="12.75" customHeight="1" x14ac:dyDescent="0.25">
      <c r="A61" s="97"/>
      <c r="B61" s="25"/>
      <c r="C61" s="25"/>
      <c r="D61" s="25"/>
      <c r="E61" s="25"/>
      <c r="F61" s="25"/>
      <c r="G61" s="25"/>
      <c r="H61" s="25"/>
      <c r="I61" s="25"/>
      <c r="J61" s="25"/>
      <c r="K61" s="25"/>
      <c r="L61" s="25"/>
      <c r="M61" s="25"/>
      <c r="N61" s="25"/>
      <c r="O61" s="25"/>
      <c r="P61" s="25"/>
      <c r="Q61" s="25"/>
      <c r="R61" s="25"/>
      <c r="S61" s="25"/>
      <c r="T61" s="25"/>
      <c r="U61" s="97"/>
      <c r="V61" s="97"/>
      <c r="W61" s="97"/>
      <c r="X61" s="97"/>
      <c r="Y61" s="97"/>
      <c r="Z61" s="97"/>
      <c r="AA61" s="97"/>
      <c r="AB61" s="97"/>
      <c r="AC61" s="97"/>
      <c r="AD61" s="97"/>
      <c r="AE61" s="97"/>
      <c r="AF61" s="97"/>
      <c r="AG61" s="97"/>
      <c r="AH61" s="97"/>
      <c r="AI61" s="97"/>
      <c r="AJ61" s="97"/>
      <c r="AK61" s="97"/>
      <c r="AL61" s="97"/>
    </row>
    <row r="62" spans="1:38" ht="12.75" customHeight="1" x14ac:dyDescent="0.25">
      <c r="A62" s="97"/>
      <c r="B62" s="25"/>
      <c r="C62" s="25"/>
      <c r="D62" s="25"/>
      <c r="E62" s="25"/>
      <c r="F62" s="25"/>
      <c r="G62" s="25"/>
      <c r="H62" s="25"/>
      <c r="I62" s="25"/>
      <c r="J62" s="25"/>
      <c r="K62" s="25"/>
      <c r="L62" s="25"/>
      <c r="M62" s="25"/>
      <c r="N62" s="25"/>
      <c r="O62" s="25"/>
      <c r="P62" s="25"/>
      <c r="Q62" s="25"/>
      <c r="R62" s="25"/>
      <c r="S62" s="25"/>
      <c r="T62" s="25"/>
      <c r="U62" s="97"/>
      <c r="V62" s="97"/>
      <c r="W62" s="97"/>
      <c r="X62" s="97"/>
      <c r="Y62" s="97"/>
      <c r="Z62" s="97"/>
      <c r="AA62" s="97"/>
      <c r="AB62" s="97"/>
      <c r="AC62" s="97"/>
      <c r="AD62" s="97"/>
      <c r="AE62" s="97"/>
      <c r="AF62" s="97"/>
      <c r="AG62" s="97"/>
      <c r="AH62" s="97"/>
      <c r="AI62" s="97"/>
      <c r="AJ62" s="97"/>
      <c r="AK62" s="97"/>
      <c r="AL62" s="97"/>
    </row>
    <row r="63" spans="1:38" ht="12.75" customHeight="1" x14ac:dyDescent="0.25">
      <c r="A63" s="97"/>
      <c r="B63" s="25"/>
      <c r="C63" s="25"/>
      <c r="D63" s="25"/>
      <c r="E63" s="25"/>
      <c r="F63" s="25"/>
      <c r="G63" s="25"/>
      <c r="H63" s="25"/>
      <c r="I63" s="25"/>
      <c r="J63" s="25"/>
      <c r="K63" s="25"/>
      <c r="L63" s="25"/>
      <c r="M63" s="25"/>
      <c r="N63" s="25"/>
      <c r="O63" s="25"/>
      <c r="P63" s="25"/>
      <c r="Q63" s="25"/>
      <c r="R63" s="25"/>
      <c r="S63" s="25"/>
      <c r="T63" s="25"/>
      <c r="U63" s="97"/>
      <c r="V63" s="97"/>
      <c r="W63" s="97"/>
      <c r="X63" s="97"/>
      <c r="Y63" s="97"/>
      <c r="Z63" s="97"/>
      <c r="AA63" s="97"/>
      <c r="AB63" s="97"/>
      <c r="AC63" s="97"/>
      <c r="AD63" s="97"/>
      <c r="AE63" s="97"/>
      <c r="AF63" s="97"/>
      <c r="AG63" s="97"/>
      <c r="AH63" s="97"/>
      <c r="AI63" s="97"/>
      <c r="AJ63" s="97"/>
      <c r="AK63" s="97"/>
      <c r="AL63" s="97"/>
    </row>
    <row r="64" spans="1:38" ht="12.75" customHeight="1" x14ac:dyDescent="0.25">
      <c r="A64" s="97"/>
      <c r="B64" s="25"/>
      <c r="C64" s="25"/>
      <c r="D64" s="25"/>
      <c r="E64" s="25"/>
      <c r="F64" s="25"/>
      <c r="G64" s="25"/>
      <c r="H64" s="25"/>
      <c r="I64" s="25"/>
      <c r="J64" s="25"/>
      <c r="K64" s="25"/>
      <c r="L64" s="25"/>
      <c r="M64" s="25"/>
      <c r="N64" s="25"/>
      <c r="O64" s="25"/>
      <c r="P64" s="25"/>
      <c r="Q64" s="46"/>
      <c r="R64" s="46"/>
      <c r="S64" s="46"/>
      <c r="T64" s="25"/>
      <c r="U64" s="97"/>
      <c r="V64" s="97"/>
      <c r="W64" s="97"/>
      <c r="X64" s="97"/>
      <c r="Y64" s="97"/>
      <c r="Z64" s="97"/>
      <c r="AA64" s="97"/>
      <c r="AB64" s="97"/>
      <c r="AC64" s="97"/>
      <c r="AD64" s="97"/>
      <c r="AE64" s="97"/>
      <c r="AF64" s="97"/>
      <c r="AG64" s="97"/>
      <c r="AH64" s="97"/>
      <c r="AI64" s="97"/>
      <c r="AJ64" s="97"/>
      <c r="AK64" s="97"/>
      <c r="AL64" s="97"/>
    </row>
    <row r="65" spans="1:38" ht="12.75" customHeight="1" x14ac:dyDescent="0.25">
      <c r="A65" s="97"/>
      <c r="B65" s="25"/>
      <c r="C65" s="25"/>
      <c r="D65" s="25"/>
      <c r="E65" s="25"/>
      <c r="F65" s="25"/>
      <c r="G65" s="46"/>
      <c r="H65" s="46"/>
      <c r="I65" s="46"/>
      <c r="J65" s="46"/>
      <c r="K65" s="46"/>
      <c r="L65" s="46"/>
      <c r="M65" s="46"/>
      <c r="N65" s="46"/>
      <c r="O65" s="46"/>
      <c r="P65" s="46"/>
      <c r="Q65" s="25"/>
      <c r="R65" s="25"/>
      <c r="S65" s="25"/>
      <c r="T65" s="25"/>
      <c r="U65" s="97"/>
      <c r="V65" s="97"/>
      <c r="W65" s="97"/>
      <c r="X65" s="97"/>
      <c r="Y65" s="97"/>
      <c r="Z65" s="97"/>
      <c r="AA65" s="97"/>
      <c r="AB65" s="97"/>
      <c r="AC65" s="97"/>
      <c r="AD65" s="97"/>
      <c r="AE65" s="97"/>
      <c r="AF65" s="97"/>
      <c r="AG65" s="97"/>
      <c r="AH65" s="97"/>
      <c r="AI65" s="97"/>
      <c r="AJ65" s="97"/>
      <c r="AK65" s="97"/>
      <c r="AL65" s="97"/>
    </row>
    <row r="66" spans="1:38" ht="12.75" customHeight="1" x14ac:dyDescent="0.25">
      <c r="A66" s="97"/>
      <c r="B66" s="25"/>
      <c r="C66" s="25"/>
      <c r="D66" s="25"/>
      <c r="E66" s="25"/>
      <c r="F66" s="25"/>
      <c r="G66" s="25"/>
      <c r="H66" s="25"/>
      <c r="I66" s="25"/>
      <c r="J66" s="25"/>
      <c r="K66" s="25"/>
      <c r="L66" s="25"/>
      <c r="M66" s="25"/>
      <c r="N66" s="25"/>
      <c r="O66" s="25"/>
      <c r="P66" s="25"/>
      <c r="Q66" s="25"/>
      <c r="R66" s="25"/>
      <c r="S66" s="25"/>
      <c r="T66" s="25"/>
      <c r="U66" s="97"/>
      <c r="V66" s="97"/>
      <c r="W66" s="97"/>
      <c r="X66" s="97"/>
      <c r="Y66" s="97"/>
      <c r="Z66" s="97"/>
      <c r="AA66" s="97"/>
      <c r="AB66" s="97"/>
      <c r="AC66" s="97"/>
      <c r="AD66" s="97"/>
      <c r="AE66" s="97"/>
      <c r="AF66" s="97"/>
      <c r="AG66" s="97"/>
      <c r="AH66" s="97"/>
      <c r="AI66" s="97"/>
      <c r="AJ66" s="97"/>
      <c r="AK66" s="97"/>
      <c r="AL66" s="97"/>
    </row>
    <row r="67" spans="1:38" ht="12.75" customHeight="1" x14ac:dyDescent="0.25">
      <c r="A67" s="97"/>
      <c r="B67" s="25"/>
      <c r="C67" s="25"/>
      <c r="D67" s="25"/>
      <c r="E67" s="25"/>
      <c r="F67" s="25"/>
      <c r="G67" s="25"/>
      <c r="H67" s="25"/>
      <c r="I67" s="25"/>
      <c r="J67" s="25"/>
      <c r="K67" s="25"/>
      <c r="L67" s="25"/>
      <c r="M67" s="25"/>
      <c r="N67" s="25"/>
      <c r="O67" s="25"/>
      <c r="P67" s="25"/>
      <c r="Q67" s="25"/>
      <c r="R67" s="25"/>
      <c r="S67" s="25"/>
      <c r="T67" s="25"/>
      <c r="U67" s="97"/>
      <c r="V67" s="97"/>
      <c r="W67" s="97"/>
      <c r="X67" s="97"/>
      <c r="Y67" s="97"/>
      <c r="Z67" s="97"/>
      <c r="AA67" s="97"/>
      <c r="AB67" s="97"/>
      <c r="AC67" s="97"/>
      <c r="AD67" s="97"/>
      <c r="AE67" s="97"/>
      <c r="AF67" s="97"/>
      <c r="AG67" s="97"/>
      <c r="AH67" s="97"/>
      <c r="AI67" s="97"/>
      <c r="AJ67" s="97"/>
      <c r="AK67" s="97"/>
      <c r="AL67" s="97"/>
    </row>
    <row r="68" spans="1:38" ht="12.75" customHeight="1" x14ac:dyDescent="0.25">
      <c r="A68" s="97"/>
      <c r="B68" s="25"/>
      <c r="C68" s="25"/>
      <c r="D68" s="25"/>
      <c r="E68" s="25"/>
      <c r="F68" s="25"/>
      <c r="G68" s="25"/>
      <c r="H68" s="25"/>
      <c r="I68" s="25"/>
      <c r="J68" s="25"/>
      <c r="K68" s="25"/>
      <c r="L68" s="25"/>
      <c r="M68" s="25"/>
      <c r="N68" s="25"/>
      <c r="O68" s="25"/>
      <c r="P68" s="25"/>
      <c r="Q68" s="25"/>
      <c r="R68" s="25"/>
      <c r="S68" s="25"/>
      <c r="T68" s="25"/>
      <c r="U68" s="97"/>
      <c r="V68" s="97"/>
      <c r="W68" s="97"/>
      <c r="X68" s="97"/>
      <c r="Y68" s="97"/>
      <c r="Z68" s="97"/>
      <c r="AA68" s="97"/>
      <c r="AB68" s="97"/>
      <c r="AC68" s="97"/>
      <c r="AD68" s="97"/>
      <c r="AE68" s="97"/>
      <c r="AF68" s="97"/>
      <c r="AG68" s="97"/>
      <c r="AH68" s="97"/>
      <c r="AI68" s="97"/>
      <c r="AJ68" s="97"/>
      <c r="AK68" s="97"/>
      <c r="AL68" s="97"/>
    </row>
    <row r="69" spans="1:38" ht="12.75" customHeight="1" x14ac:dyDescent="0.25">
      <c r="A69" s="97"/>
      <c r="B69" s="25"/>
      <c r="C69" s="25"/>
      <c r="D69" s="25"/>
      <c r="E69" s="25"/>
      <c r="F69" s="25"/>
      <c r="G69" s="25"/>
      <c r="H69" s="25"/>
      <c r="I69" s="25"/>
      <c r="J69" s="25"/>
      <c r="K69" s="25"/>
      <c r="L69" s="25"/>
      <c r="M69" s="25"/>
      <c r="N69" s="25"/>
      <c r="O69" s="25"/>
      <c r="P69" s="25"/>
      <c r="Q69" s="25"/>
      <c r="R69" s="25"/>
      <c r="S69" s="25"/>
      <c r="T69" s="25"/>
      <c r="U69" s="97"/>
      <c r="V69" s="97"/>
      <c r="W69" s="97"/>
      <c r="X69" s="97"/>
      <c r="Y69" s="97"/>
      <c r="Z69" s="97"/>
      <c r="AA69" s="97"/>
      <c r="AB69" s="97"/>
      <c r="AC69" s="97"/>
      <c r="AD69" s="97"/>
      <c r="AE69" s="97"/>
      <c r="AF69" s="97"/>
      <c r="AG69" s="97"/>
      <c r="AH69" s="97"/>
      <c r="AI69" s="97"/>
      <c r="AJ69" s="97"/>
      <c r="AK69" s="97"/>
      <c r="AL69" s="97"/>
    </row>
    <row r="70" spans="1:38" ht="12.75" customHeight="1" x14ac:dyDescent="0.25">
      <c r="A70" s="97"/>
      <c r="B70" s="25"/>
      <c r="C70" s="25"/>
      <c r="D70" s="25"/>
      <c r="E70" s="25"/>
      <c r="F70" s="25"/>
      <c r="G70" s="25"/>
      <c r="H70" s="25"/>
      <c r="I70" s="25"/>
      <c r="J70" s="25"/>
      <c r="K70" s="25"/>
      <c r="L70" s="25"/>
      <c r="M70" s="25"/>
      <c r="N70" s="25"/>
      <c r="O70" s="25"/>
      <c r="P70" s="25"/>
      <c r="Q70" s="25"/>
      <c r="R70" s="25"/>
      <c r="S70" s="25"/>
      <c r="T70" s="25"/>
      <c r="U70" s="97"/>
      <c r="V70" s="97"/>
      <c r="W70" s="97"/>
      <c r="X70" s="97"/>
      <c r="Y70" s="97"/>
      <c r="Z70" s="97"/>
      <c r="AA70" s="97"/>
      <c r="AB70" s="97"/>
      <c r="AC70" s="97"/>
      <c r="AD70" s="97"/>
      <c r="AE70" s="97"/>
      <c r="AF70" s="97"/>
      <c r="AG70" s="97"/>
      <c r="AH70" s="97"/>
      <c r="AI70" s="97"/>
      <c r="AJ70" s="97"/>
      <c r="AK70" s="97"/>
      <c r="AL70" s="97"/>
    </row>
    <row r="71" spans="1:38" ht="12.75" customHeight="1" x14ac:dyDescent="0.25">
      <c r="A71" s="97"/>
      <c r="B71" s="25"/>
      <c r="C71" s="25"/>
      <c r="D71" s="25"/>
      <c r="E71" s="25"/>
      <c r="F71" s="25"/>
      <c r="G71" s="25"/>
      <c r="H71" s="25"/>
      <c r="I71" s="25"/>
      <c r="J71" s="25"/>
      <c r="K71" s="25"/>
      <c r="L71" s="25"/>
      <c r="M71" s="25"/>
      <c r="N71" s="25"/>
      <c r="O71" s="25"/>
      <c r="P71" s="25"/>
      <c r="Q71" s="25"/>
      <c r="R71" s="25"/>
      <c r="S71" s="25"/>
      <c r="T71" s="25"/>
      <c r="U71" s="97"/>
      <c r="V71" s="97"/>
      <c r="W71" s="97"/>
      <c r="X71" s="97"/>
      <c r="Y71" s="97"/>
      <c r="Z71" s="97"/>
      <c r="AA71" s="97"/>
      <c r="AB71" s="97"/>
      <c r="AC71" s="97"/>
      <c r="AD71" s="97"/>
      <c r="AE71" s="97"/>
      <c r="AF71" s="97"/>
      <c r="AG71" s="97"/>
      <c r="AH71" s="97"/>
      <c r="AI71" s="97"/>
      <c r="AJ71" s="97"/>
      <c r="AK71" s="97"/>
      <c r="AL71" s="97"/>
    </row>
    <row r="72" spans="1:38" ht="12.75" customHeight="1" x14ac:dyDescent="0.25">
      <c r="A72" s="97"/>
      <c r="B72" s="25"/>
      <c r="C72" s="25"/>
      <c r="D72" s="25"/>
      <c r="E72" s="25"/>
      <c r="F72" s="25"/>
      <c r="G72" s="25"/>
      <c r="H72" s="25"/>
      <c r="I72" s="25"/>
      <c r="J72" s="25"/>
      <c r="K72" s="25"/>
      <c r="L72" s="25"/>
      <c r="M72" s="25"/>
      <c r="N72" s="25"/>
      <c r="O72" s="25"/>
      <c r="P72" s="25"/>
      <c r="Q72" s="25"/>
      <c r="R72" s="25"/>
      <c r="S72" s="25"/>
      <c r="T72" s="25"/>
      <c r="U72" s="97"/>
      <c r="V72" s="97"/>
      <c r="W72" s="97"/>
      <c r="X72" s="97"/>
      <c r="Y72" s="97"/>
      <c r="Z72" s="97"/>
      <c r="AA72" s="97"/>
      <c r="AB72" s="97"/>
      <c r="AC72" s="97"/>
      <c r="AD72" s="97"/>
      <c r="AE72" s="97"/>
      <c r="AF72" s="97"/>
      <c r="AG72" s="97"/>
      <c r="AH72" s="97"/>
      <c r="AI72" s="97"/>
      <c r="AJ72" s="97"/>
      <c r="AK72" s="97"/>
      <c r="AL72" s="97"/>
    </row>
    <row r="73" spans="1:38" ht="12.75" customHeight="1" x14ac:dyDescent="0.25">
      <c r="A73" s="97"/>
      <c r="B73" s="97"/>
      <c r="C73" s="97"/>
      <c r="D73" s="25"/>
      <c r="E73" s="25"/>
      <c r="F73" s="25"/>
      <c r="G73" s="25"/>
      <c r="H73" s="25"/>
      <c r="I73" s="25"/>
      <c r="J73" s="25"/>
      <c r="K73" s="25"/>
      <c r="L73" s="25"/>
      <c r="M73" s="25"/>
      <c r="N73" s="25"/>
      <c r="O73" s="25"/>
      <c r="P73" s="25"/>
      <c r="Q73" s="25"/>
      <c r="R73" s="25"/>
      <c r="S73" s="25"/>
      <c r="T73" s="25"/>
      <c r="U73" s="97"/>
      <c r="V73" s="97"/>
      <c r="W73" s="97"/>
      <c r="X73" s="97"/>
      <c r="Y73" s="97"/>
      <c r="Z73" s="97"/>
      <c r="AA73" s="97"/>
      <c r="AB73" s="97"/>
      <c r="AC73" s="97"/>
      <c r="AD73" s="97"/>
      <c r="AE73" s="97"/>
      <c r="AF73" s="97"/>
      <c r="AG73" s="97"/>
      <c r="AH73" s="97"/>
      <c r="AI73" s="97"/>
      <c r="AJ73" s="97"/>
      <c r="AK73" s="97"/>
      <c r="AL73" s="97"/>
    </row>
    <row r="74" spans="1:38" ht="12.75" customHeight="1" x14ac:dyDescent="0.25">
      <c r="A74" s="97"/>
      <c r="B74" s="97"/>
      <c r="C74" s="97"/>
      <c r="D74" s="25"/>
      <c r="E74" s="25"/>
      <c r="F74" s="25"/>
      <c r="G74" s="25"/>
      <c r="H74" s="25"/>
      <c r="I74" s="25"/>
      <c r="J74" s="25"/>
      <c r="K74" s="25"/>
      <c r="L74" s="25"/>
      <c r="M74" s="25"/>
      <c r="N74" s="25"/>
      <c r="O74" s="25"/>
      <c r="P74" s="25"/>
      <c r="Q74" s="97"/>
      <c r="R74" s="97"/>
      <c r="S74" s="97"/>
      <c r="T74" s="97"/>
      <c r="U74" s="97"/>
      <c r="V74" s="97"/>
      <c r="W74" s="97"/>
      <c r="X74" s="97"/>
      <c r="Y74" s="97"/>
      <c r="Z74" s="97"/>
      <c r="AA74" s="97"/>
      <c r="AB74" s="97"/>
      <c r="AC74" s="97"/>
      <c r="AD74" s="97"/>
      <c r="AE74" s="97"/>
      <c r="AF74" s="97"/>
      <c r="AG74" s="97"/>
      <c r="AH74" s="97"/>
      <c r="AI74" s="97"/>
      <c r="AJ74" s="97"/>
      <c r="AK74" s="97"/>
      <c r="AL74" s="97"/>
    </row>
    <row r="75" spans="1:38" ht="12.75" customHeight="1" x14ac:dyDescent="0.25">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row>
    <row r="76" spans="1:38" ht="12.75" customHeight="1" x14ac:dyDescent="0.25">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row>
    <row r="77" spans="1:38" ht="12.75" customHeight="1" x14ac:dyDescent="0.25">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row>
    <row r="78" spans="1:38" ht="12.75" customHeight="1" x14ac:dyDescent="0.25">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row>
    <row r="79" spans="1:38" ht="12.75" customHeight="1" x14ac:dyDescent="0.25">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row>
    <row r="80" spans="1:38" ht="12.75" customHeight="1" x14ac:dyDescent="0.25">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row>
    <row r="81" spans="1:38" ht="12.75" customHeight="1" x14ac:dyDescent="0.25">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row>
    <row r="82" spans="1:38" ht="12.75" customHeight="1" x14ac:dyDescent="0.25">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row>
    <row r="83" spans="1:38" ht="12.75" customHeight="1" x14ac:dyDescent="0.25">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row>
    <row r="84" spans="1:38" ht="12.75" customHeight="1" x14ac:dyDescent="0.25">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row>
    <row r="85" spans="1:38" ht="12.75" customHeight="1" x14ac:dyDescent="0.25">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row>
    <row r="86" spans="1:38" ht="12.75" customHeight="1" x14ac:dyDescent="0.25">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row>
    <row r="87" spans="1:38" ht="12.75" customHeight="1" x14ac:dyDescent="0.25">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row>
    <row r="88" spans="1:38" ht="12.75" customHeight="1" x14ac:dyDescent="0.25">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row>
    <row r="89" spans="1:38" ht="12.75" customHeight="1" x14ac:dyDescent="0.25">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row>
    <row r="90" spans="1:38" ht="12.75" customHeight="1" x14ac:dyDescent="0.25">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row>
    <row r="91" spans="1:38" ht="12.75" customHeight="1" x14ac:dyDescent="0.25">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row>
    <row r="92" spans="1:38" ht="12.75" customHeight="1" x14ac:dyDescent="0.25">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row>
    <row r="93" spans="1:38" ht="12.75" customHeight="1" x14ac:dyDescent="0.25">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row>
    <row r="94" spans="1:38" ht="12.75" customHeight="1" x14ac:dyDescent="0.25">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row>
    <row r="95" spans="1:38" ht="12.75" customHeight="1" x14ac:dyDescent="0.25">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row>
    <row r="96" spans="1:38" ht="12.75" customHeight="1" x14ac:dyDescent="0.25">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row>
    <row r="97" spans="1:38" ht="12.75" customHeight="1" x14ac:dyDescent="0.25">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row>
    <row r="98" spans="1:38" ht="12.75" customHeight="1" x14ac:dyDescent="0.25">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row>
    <row r="99" spans="1:38" ht="12.75" customHeight="1" x14ac:dyDescent="0.25">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row>
    <row r="100" spans="1:38" ht="12.75" customHeight="1" x14ac:dyDescent="0.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row>
    <row r="101" spans="1:38" ht="12.75" customHeight="1" x14ac:dyDescent="0.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row>
    <row r="102" spans="1:38" ht="12.75" customHeight="1" x14ac:dyDescent="0.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row>
    <row r="103" spans="1:38" ht="12.75" customHeight="1" x14ac:dyDescent="0.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row>
    <row r="104" spans="1:38" ht="12.75" customHeight="1" x14ac:dyDescent="0.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row>
    <row r="105" spans="1:38" ht="12.75" customHeight="1" x14ac:dyDescent="0.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row>
    <row r="106" spans="1:38" ht="12.75" customHeight="1" x14ac:dyDescent="0.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row>
    <row r="107" spans="1:38" ht="12.75" customHeight="1" x14ac:dyDescent="0.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row>
    <row r="108" spans="1:38" ht="12.75" customHeight="1" x14ac:dyDescent="0.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row>
    <row r="109" spans="1:38" ht="12.75" customHeight="1" x14ac:dyDescent="0.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row>
    <row r="110" spans="1:38" ht="12.75" customHeight="1" x14ac:dyDescent="0.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row>
    <row r="111" spans="1:38" ht="12.75" customHeight="1" x14ac:dyDescent="0.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row>
    <row r="112" spans="1:38" ht="12.75" customHeight="1" x14ac:dyDescent="0.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row>
    <row r="113" spans="1:38" ht="12.75" customHeight="1" x14ac:dyDescent="0.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row>
    <row r="114" spans="1:38" ht="12.75" customHeight="1" x14ac:dyDescent="0.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row>
    <row r="115" spans="1:38" ht="12.75" customHeight="1" x14ac:dyDescent="0.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row>
    <row r="116" spans="1:38" ht="12.75" customHeight="1" x14ac:dyDescent="0.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row>
    <row r="117" spans="1:38" ht="12.75" customHeight="1" x14ac:dyDescent="0.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row>
    <row r="118" spans="1:38" ht="12.75" customHeight="1" x14ac:dyDescent="0.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row>
    <row r="119" spans="1:38" ht="12.75" customHeight="1" x14ac:dyDescent="0.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row>
    <row r="120" spans="1:38" ht="12.75" customHeight="1" x14ac:dyDescent="0.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row>
    <row r="121" spans="1:38" ht="12.75" customHeight="1" x14ac:dyDescent="0.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row>
    <row r="122" spans="1:38" ht="12.75" customHeight="1" x14ac:dyDescent="0.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row>
    <row r="123" spans="1:38" ht="12.75" customHeight="1" x14ac:dyDescent="0.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row>
    <row r="124" spans="1:38" ht="12.75" customHeight="1" x14ac:dyDescent="0.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row>
    <row r="125" spans="1:38" ht="12.75" customHeight="1" x14ac:dyDescent="0.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row>
    <row r="126" spans="1:38" ht="12.75" customHeight="1" x14ac:dyDescent="0.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row>
    <row r="127" spans="1:38" ht="12.75" customHeight="1" x14ac:dyDescent="0.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row>
    <row r="128" spans="1:38" ht="12.75" customHeight="1" x14ac:dyDescent="0.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row>
    <row r="129" spans="1:38" ht="12.75" customHeight="1" x14ac:dyDescent="0.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row>
    <row r="130" spans="1:38" ht="12.75" customHeight="1" x14ac:dyDescent="0.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row>
    <row r="131" spans="1:38" ht="12.75" customHeight="1" x14ac:dyDescent="0.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row>
    <row r="132" spans="1:38" ht="12.75" customHeight="1" x14ac:dyDescent="0.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row>
    <row r="133" spans="1:38" ht="12.75" customHeight="1" x14ac:dyDescent="0.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row>
    <row r="134" spans="1:38" ht="12.75" customHeight="1" x14ac:dyDescent="0.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row>
    <row r="135" spans="1:38" ht="12.75" customHeight="1" x14ac:dyDescent="0.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row>
    <row r="136" spans="1:38" ht="12.75" customHeight="1" x14ac:dyDescent="0.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row>
    <row r="137" spans="1:38" ht="12.75" customHeight="1" x14ac:dyDescent="0.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row>
    <row r="138" spans="1:38" ht="12.75" customHeight="1" x14ac:dyDescent="0.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row>
    <row r="139" spans="1:38" ht="12.75" customHeight="1" x14ac:dyDescent="0.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row>
    <row r="140" spans="1:38" ht="12.75" customHeight="1" x14ac:dyDescent="0.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row>
    <row r="141" spans="1:38" ht="12.75" customHeight="1" x14ac:dyDescent="0.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row>
    <row r="142" spans="1:38" ht="12.75" customHeight="1" x14ac:dyDescent="0.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row>
    <row r="143" spans="1:38" ht="12.75" customHeight="1" x14ac:dyDescent="0.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row>
    <row r="144" spans="1:38" ht="12.75" customHeight="1" x14ac:dyDescent="0.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row>
    <row r="145" spans="1:38" ht="12.75" customHeight="1" x14ac:dyDescent="0.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row>
    <row r="146" spans="1:38" ht="12.75" customHeight="1" x14ac:dyDescent="0.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row>
    <row r="147" spans="1:38" ht="12.75" customHeight="1" x14ac:dyDescent="0.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row>
    <row r="148" spans="1:38" ht="12.75" customHeight="1" x14ac:dyDescent="0.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row>
    <row r="149" spans="1:38" ht="12.75" customHeight="1" x14ac:dyDescent="0.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row>
    <row r="150" spans="1:38" ht="12.75" customHeight="1" x14ac:dyDescent="0.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row>
    <row r="151" spans="1:38" ht="12.75" customHeight="1" x14ac:dyDescent="0.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row>
    <row r="152" spans="1:38" ht="12.75" customHeight="1" x14ac:dyDescent="0.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row>
    <row r="153" spans="1:38" ht="12.75" customHeight="1" x14ac:dyDescent="0.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row>
    <row r="154" spans="1:38" ht="12.75" customHeight="1" x14ac:dyDescent="0.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row>
    <row r="155" spans="1:38" ht="12.75" customHeight="1" x14ac:dyDescent="0.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row>
    <row r="156" spans="1:38" ht="12.75" customHeight="1" x14ac:dyDescent="0.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row>
    <row r="157" spans="1:38" ht="12.75" customHeight="1" x14ac:dyDescent="0.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row>
    <row r="158" spans="1:38" ht="12.75" customHeight="1" x14ac:dyDescent="0.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row>
    <row r="159" spans="1:38" ht="12.75" customHeight="1" x14ac:dyDescent="0.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row>
    <row r="160" spans="1:38" ht="12.75" customHeight="1" x14ac:dyDescent="0.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row>
    <row r="161" spans="1:38" ht="12.75" customHeight="1" x14ac:dyDescent="0.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row>
    <row r="162" spans="1:38" ht="12.75" customHeight="1" x14ac:dyDescent="0.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row>
    <row r="163" spans="1:38" ht="12.75" customHeight="1" x14ac:dyDescent="0.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row>
    <row r="164" spans="1:38" ht="12.75" customHeight="1" x14ac:dyDescent="0.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row>
    <row r="165" spans="1:38" ht="12.75" customHeight="1" x14ac:dyDescent="0.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row>
    <row r="166" spans="1:38" ht="12.75" customHeight="1" x14ac:dyDescent="0.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row>
    <row r="167" spans="1:38" ht="12.75" customHeight="1" x14ac:dyDescent="0.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row>
    <row r="168" spans="1:38" ht="12.75" customHeight="1" x14ac:dyDescent="0.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row>
    <row r="169" spans="1:38" ht="12.75" customHeight="1" x14ac:dyDescent="0.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row>
    <row r="170" spans="1:38" ht="12.75" customHeight="1" x14ac:dyDescent="0.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row>
    <row r="171" spans="1:38" ht="12.75" customHeight="1" x14ac:dyDescent="0.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row>
    <row r="172" spans="1:38" ht="12.75" customHeight="1" x14ac:dyDescent="0.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row>
    <row r="173" spans="1:38" ht="12.75" customHeight="1" x14ac:dyDescent="0.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row>
    <row r="174" spans="1:38" ht="12.75" customHeight="1" x14ac:dyDescent="0.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row>
    <row r="175" spans="1:38" ht="12.75" customHeight="1" x14ac:dyDescent="0.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row>
    <row r="176" spans="1:38" ht="12.75" customHeight="1" x14ac:dyDescent="0.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row>
    <row r="177" spans="1:38" ht="12.75" customHeight="1" x14ac:dyDescent="0.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row>
    <row r="178" spans="1:38" ht="12.75" customHeight="1" x14ac:dyDescent="0.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row>
    <row r="179" spans="1:38" ht="12.75" customHeight="1" x14ac:dyDescent="0.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row>
    <row r="180" spans="1:38" ht="12.75" customHeight="1" x14ac:dyDescent="0.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row>
    <row r="181" spans="1:38" ht="12.75" customHeight="1" x14ac:dyDescent="0.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row>
    <row r="182" spans="1:38" ht="12.75" customHeight="1" x14ac:dyDescent="0.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row>
    <row r="183" spans="1:38" ht="12.75" customHeight="1" x14ac:dyDescent="0.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row>
    <row r="184" spans="1:38" ht="12.75" customHeight="1" x14ac:dyDescent="0.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row>
    <row r="185" spans="1:38" ht="12.75" customHeight="1" x14ac:dyDescent="0.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row>
    <row r="186" spans="1:38" ht="12.75" customHeight="1" x14ac:dyDescent="0.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row>
    <row r="187" spans="1:38" ht="12.75" customHeight="1" x14ac:dyDescent="0.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row>
    <row r="188" spans="1:38" ht="12.75" customHeight="1" x14ac:dyDescent="0.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row>
    <row r="189" spans="1:38" ht="12.75" customHeight="1" x14ac:dyDescent="0.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row>
    <row r="190" spans="1:38" ht="12.75" customHeight="1" x14ac:dyDescent="0.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row>
    <row r="191" spans="1:38" ht="12.75" customHeight="1" x14ac:dyDescent="0.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row>
    <row r="192" spans="1:38" ht="12.75" customHeight="1" x14ac:dyDescent="0.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row>
    <row r="193" spans="1:38" ht="12.75" customHeight="1" x14ac:dyDescent="0.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row>
    <row r="194" spans="1:38" ht="12.75" customHeight="1" x14ac:dyDescent="0.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row>
    <row r="195" spans="1:38" ht="12.75" customHeight="1" x14ac:dyDescent="0.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row>
    <row r="196" spans="1:38" ht="12.75" customHeight="1" x14ac:dyDescent="0.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row>
    <row r="197" spans="1:38" ht="12.75" customHeight="1" x14ac:dyDescent="0.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row>
    <row r="198" spans="1:38" ht="12.75" customHeight="1" x14ac:dyDescent="0.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row>
    <row r="199" spans="1:38" ht="12.75" customHeight="1" x14ac:dyDescent="0.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row>
    <row r="200" spans="1:38" ht="12.75" customHeight="1" x14ac:dyDescent="0.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row>
    <row r="201" spans="1:38" ht="12.75" customHeight="1" x14ac:dyDescent="0.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row>
    <row r="202" spans="1:38" ht="12.75" customHeight="1" x14ac:dyDescent="0.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row>
    <row r="203" spans="1:38" ht="12.75" customHeight="1" x14ac:dyDescent="0.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row>
    <row r="204" spans="1:38" ht="12.75" customHeight="1" x14ac:dyDescent="0.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row>
    <row r="205" spans="1:38" ht="12.75" customHeight="1" x14ac:dyDescent="0.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row>
    <row r="206" spans="1:38" ht="12.75" customHeight="1" x14ac:dyDescent="0.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row>
    <row r="207" spans="1:38" ht="12.75" customHeight="1" x14ac:dyDescent="0.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row>
    <row r="208" spans="1:38" ht="12.75" customHeight="1" x14ac:dyDescent="0.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row>
    <row r="209" spans="1:38" ht="12.75" customHeight="1" x14ac:dyDescent="0.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row>
    <row r="210" spans="1:38" ht="12.75" customHeight="1" x14ac:dyDescent="0.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row>
    <row r="211" spans="1:38" ht="12.75" customHeight="1" x14ac:dyDescent="0.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row>
    <row r="212" spans="1:38" ht="12.75" customHeight="1" x14ac:dyDescent="0.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row>
    <row r="213" spans="1:38" ht="12.75" customHeight="1" x14ac:dyDescent="0.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row>
    <row r="214" spans="1:38" ht="12.75" customHeight="1" x14ac:dyDescent="0.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row>
    <row r="215" spans="1:38" ht="12.75" customHeight="1" x14ac:dyDescent="0.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row>
    <row r="216" spans="1:38" ht="12.75" customHeight="1" x14ac:dyDescent="0.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row>
    <row r="217" spans="1:38" ht="12.75" customHeight="1" x14ac:dyDescent="0.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row>
    <row r="218" spans="1:38" ht="12.75" customHeight="1" x14ac:dyDescent="0.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row>
    <row r="219" spans="1:38" ht="12.75" customHeight="1" x14ac:dyDescent="0.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row>
    <row r="220" spans="1:38" ht="12.75" customHeight="1" x14ac:dyDescent="0.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row>
    <row r="221" spans="1:38" ht="12.75" customHeight="1" x14ac:dyDescent="0.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row>
    <row r="222" spans="1:38" ht="12.75" customHeight="1" x14ac:dyDescent="0.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row>
    <row r="223" spans="1:38" ht="12.75" customHeight="1" x14ac:dyDescent="0.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row>
    <row r="224" spans="1:38" ht="12.75" customHeight="1" x14ac:dyDescent="0.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row>
    <row r="225" spans="1:38" ht="12.75" customHeight="1" x14ac:dyDescent="0.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row>
    <row r="226" spans="1:38" ht="12.75" customHeight="1" x14ac:dyDescent="0.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row>
    <row r="227" spans="1:38" ht="12.75" customHeight="1" x14ac:dyDescent="0.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row>
    <row r="228" spans="1:38" ht="12.75" customHeight="1" x14ac:dyDescent="0.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row>
    <row r="229" spans="1:38" ht="12.75" customHeight="1" x14ac:dyDescent="0.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row>
    <row r="230" spans="1:38" ht="12.75" customHeight="1" x14ac:dyDescent="0.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row>
    <row r="231" spans="1:38" ht="12.75" customHeight="1" x14ac:dyDescent="0.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row>
    <row r="232" spans="1:38" ht="12.75" customHeight="1" x14ac:dyDescent="0.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row>
    <row r="233" spans="1:38" ht="12.75" customHeight="1" x14ac:dyDescent="0.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row>
    <row r="234" spans="1:38" ht="12.75" customHeight="1" x14ac:dyDescent="0.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row>
    <row r="235" spans="1:38" ht="12.75" customHeight="1" x14ac:dyDescent="0.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row>
    <row r="236" spans="1:38" ht="12.75" customHeight="1" x14ac:dyDescent="0.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row>
    <row r="237" spans="1:38" ht="12.75" customHeight="1" x14ac:dyDescent="0.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row>
    <row r="238" spans="1:38" ht="12.75" customHeight="1" x14ac:dyDescent="0.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row>
    <row r="239" spans="1:38" ht="12.75" customHeight="1" x14ac:dyDescent="0.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row>
    <row r="240" spans="1:38" ht="12.75" customHeight="1" x14ac:dyDescent="0.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c r="AK240" s="97"/>
      <c r="AL240" s="97"/>
    </row>
    <row r="241" spans="1:38" ht="12.75" customHeight="1" x14ac:dyDescent="0.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row>
    <row r="242" spans="1:38" ht="12.75" customHeight="1" x14ac:dyDescent="0.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row>
    <row r="243" spans="1:38" ht="12.75" customHeight="1" x14ac:dyDescent="0.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c r="AK243" s="97"/>
      <c r="AL243" s="97"/>
    </row>
    <row r="244" spans="1:38" ht="12.75" customHeight="1" x14ac:dyDescent="0.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row>
    <row r="245" spans="1:38" ht="12.75" customHeight="1" x14ac:dyDescent="0.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row>
    <row r="246" spans="1:38" ht="12.75" customHeight="1" x14ac:dyDescent="0.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row>
    <row r="247" spans="1:38" ht="12.75" customHeight="1" x14ac:dyDescent="0.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row>
    <row r="248" spans="1:38" ht="12.75" customHeight="1" x14ac:dyDescent="0.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row>
    <row r="249" spans="1:38" ht="12.75" customHeight="1" x14ac:dyDescent="0.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c r="AK249" s="97"/>
      <c r="AL249" s="97"/>
    </row>
    <row r="250" spans="1:38" ht="12.75" customHeight="1" x14ac:dyDescent="0.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c r="AK250" s="97"/>
      <c r="AL250" s="97"/>
    </row>
    <row r="251" spans="1:38" ht="12.75" customHeight="1" x14ac:dyDescent="0.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c r="AK251" s="97"/>
      <c r="AL251" s="97"/>
    </row>
    <row r="252" spans="1:38" ht="12.75" customHeight="1" x14ac:dyDescent="0.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c r="AK252" s="97"/>
      <c r="AL252" s="97"/>
    </row>
    <row r="253" spans="1:38" ht="12.75" customHeight="1" x14ac:dyDescent="0.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c r="AK253" s="97"/>
      <c r="AL253" s="97"/>
    </row>
    <row r="254" spans="1:38" ht="12.75" customHeight="1" x14ac:dyDescent="0.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c r="AK254" s="97"/>
      <c r="AL254" s="97"/>
    </row>
    <row r="255" spans="1:38" ht="12.75" customHeight="1" x14ac:dyDescent="0.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c r="AK255" s="97"/>
      <c r="AL255" s="97"/>
    </row>
    <row r="256" spans="1:38" ht="12.75" customHeight="1" x14ac:dyDescent="0.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c r="AK256" s="97"/>
      <c r="AL256" s="97"/>
    </row>
    <row r="257" spans="1:38" ht="12.75" customHeight="1" x14ac:dyDescent="0.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c r="AK257" s="97"/>
      <c r="AL257" s="97"/>
    </row>
    <row r="258" spans="1:38" ht="12.75" customHeight="1" x14ac:dyDescent="0.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c r="AK258" s="97"/>
      <c r="AL258" s="97"/>
    </row>
    <row r="259" spans="1:38" ht="12.75" customHeight="1" x14ac:dyDescent="0.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c r="AK259" s="97"/>
      <c r="AL259" s="97"/>
    </row>
    <row r="260" spans="1:38" ht="12.75" customHeight="1" x14ac:dyDescent="0.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c r="AK260" s="97"/>
      <c r="AL260" s="97"/>
    </row>
    <row r="261" spans="1:38" ht="12.75" customHeight="1" x14ac:dyDescent="0.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c r="AK261" s="97"/>
      <c r="AL261" s="97"/>
    </row>
    <row r="262" spans="1:38" ht="12.75" customHeight="1" x14ac:dyDescent="0.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c r="AK262" s="97"/>
      <c r="AL262" s="97"/>
    </row>
    <row r="263" spans="1:38" ht="12.75" customHeight="1" x14ac:dyDescent="0.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c r="AK263" s="97"/>
      <c r="AL263" s="97"/>
    </row>
    <row r="264" spans="1:38" ht="12.75" customHeight="1" x14ac:dyDescent="0.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row>
    <row r="265" spans="1:38" ht="12.75" customHeight="1" x14ac:dyDescent="0.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c r="AK265" s="97"/>
      <c r="AL265" s="97"/>
    </row>
    <row r="266" spans="1:38" ht="12.75" customHeight="1" x14ac:dyDescent="0.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c r="AK266" s="97"/>
      <c r="AL266" s="97"/>
    </row>
    <row r="267" spans="1:38" ht="12.75" customHeight="1" x14ac:dyDescent="0.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c r="AK267" s="97"/>
      <c r="AL267" s="97"/>
    </row>
    <row r="268" spans="1:38" ht="12.75" customHeight="1" x14ac:dyDescent="0.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c r="AK268" s="97"/>
      <c r="AL268" s="97"/>
    </row>
    <row r="269" spans="1:38" ht="12.75" customHeight="1" x14ac:dyDescent="0.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c r="AK269" s="97"/>
      <c r="AL269" s="97"/>
    </row>
    <row r="270" spans="1:38" ht="12.75" customHeight="1" x14ac:dyDescent="0.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c r="AK270" s="97"/>
      <c r="AL270" s="97"/>
    </row>
    <row r="271" spans="1:38" ht="12.75" customHeight="1" x14ac:dyDescent="0.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c r="AK271" s="97"/>
      <c r="AL271" s="97"/>
    </row>
    <row r="272" spans="1:38" ht="12.75" customHeight="1" x14ac:dyDescent="0.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c r="AK272" s="97"/>
      <c r="AL272" s="97"/>
    </row>
    <row r="273" spans="1:38" ht="12.75" customHeight="1" x14ac:dyDescent="0.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c r="AK273" s="97"/>
      <c r="AL273" s="97"/>
    </row>
    <row r="274" spans="1:38" ht="12.75" customHeight="1" x14ac:dyDescent="0.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row>
    <row r="275" spans="1:38" ht="12.75" customHeight="1" x14ac:dyDescent="0.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c r="AL275" s="97"/>
    </row>
    <row r="276" spans="1:38" ht="12.75" customHeight="1" x14ac:dyDescent="0.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c r="AK276" s="97"/>
      <c r="AL276" s="97"/>
    </row>
    <row r="277" spans="1:38" ht="12.75" customHeight="1" x14ac:dyDescent="0.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c r="AK277" s="97"/>
      <c r="AL277" s="97"/>
    </row>
    <row r="278" spans="1:38" ht="12.75" customHeight="1" x14ac:dyDescent="0.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c r="AK278" s="97"/>
      <c r="AL278" s="97"/>
    </row>
    <row r="279" spans="1:38" ht="12.75" customHeight="1" x14ac:dyDescent="0.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c r="AK279" s="97"/>
      <c r="AL279" s="97"/>
    </row>
    <row r="280" spans="1:38" ht="12.75" customHeight="1" x14ac:dyDescent="0.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c r="AK280" s="97"/>
      <c r="AL280" s="97"/>
    </row>
    <row r="281" spans="1:38" ht="12.75" customHeight="1" x14ac:dyDescent="0.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c r="AK281" s="97"/>
      <c r="AL281" s="97"/>
    </row>
    <row r="282" spans="1:38" ht="12.75" customHeight="1" x14ac:dyDescent="0.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c r="AK282" s="97"/>
      <c r="AL282" s="97"/>
    </row>
    <row r="283" spans="1:38" ht="12.75" customHeight="1" x14ac:dyDescent="0.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c r="AK283" s="97"/>
      <c r="AL283" s="97"/>
    </row>
    <row r="284" spans="1:38" ht="12.75" customHeight="1" x14ac:dyDescent="0.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c r="AK284" s="97"/>
      <c r="AL284" s="97"/>
    </row>
    <row r="285" spans="1:38" ht="12.75" customHeight="1" x14ac:dyDescent="0.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c r="AK285" s="97"/>
      <c r="AL285" s="97"/>
    </row>
    <row r="286" spans="1:38" ht="12.75" customHeight="1" x14ac:dyDescent="0.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c r="AK286" s="97"/>
      <c r="AL286" s="97"/>
    </row>
    <row r="287" spans="1:38" ht="12.75" customHeight="1" x14ac:dyDescent="0.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c r="AK287" s="97"/>
      <c r="AL287" s="97"/>
    </row>
    <row r="288" spans="1:38" ht="12.75" customHeight="1" x14ac:dyDescent="0.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c r="AK288" s="97"/>
      <c r="AL288" s="97"/>
    </row>
    <row r="289" spans="1:38" ht="12.75" customHeight="1" x14ac:dyDescent="0.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c r="AK289" s="97"/>
      <c r="AL289" s="97"/>
    </row>
    <row r="290" spans="1:38" ht="12.75" customHeight="1" x14ac:dyDescent="0.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c r="AK290" s="97"/>
      <c r="AL290" s="97"/>
    </row>
    <row r="291" spans="1:38" ht="12.75" customHeight="1" x14ac:dyDescent="0.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c r="AK291" s="97"/>
      <c r="AL291" s="97"/>
    </row>
    <row r="292" spans="1:38" ht="12.75" customHeight="1" x14ac:dyDescent="0.25">
      <c r="A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c r="AK292" s="97"/>
      <c r="AL292" s="97"/>
    </row>
    <row r="293" spans="1:38" ht="12.75" customHeight="1" x14ac:dyDescent="0.25">
      <c r="D293" s="97"/>
      <c r="E293" s="97"/>
      <c r="F293" s="97"/>
      <c r="G293" s="97"/>
      <c r="H293" s="97"/>
      <c r="I293" s="97"/>
      <c r="J293" s="97"/>
      <c r="K293" s="97"/>
      <c r="L293" s="97"/>
      <c r="M293" s="97"/>
      <c r="N293" s="97"/>
      <c r="O293" s="97"/>
      <c r="P293" s="97"/>
    </row>
  </sheetData>
  <mergeCells count="25">
    <mergeCell ref="B33:C33"/>
    <mergeCell ref="E41:M41"/>
    <mergeCell ref="B5:S5"/>
    <mergeCell ref="C9:D9"/>
    <mergeCell ref="E9:G9"/>
    <mergeCell ref="H9:M9"/>
    <mergeCell ref="C10:D10"/>
    <mergeCell ref="E10:G10"/>
    <mergeCell ref="H10:M10"/>
    <mergeCell ref="E49:M49"/>
    <mergeCell ref="C11:D11"/>
    <mergeCell ref="E11:G11"/>
    <mergeCell ref="H11:M11"/>
    <mergeCell ref="C12:D12"/>
    <mergeCell ref="E12:G12"/>
    <mergeCell ref="H12:M12"/>
    <mergeCell ref="B34:C34"/>
    <mergeCell ref="E36:M36"/>
    <mergeCell ref="B32:C32"/>
    <mergeCell ref="E28:M28"/>
    <mergeCell ref="B29:C31"/>
    <mergeCell ref="B36:C36"/>
    <mergeCell ref="I45:L47"/>
    <mergeCell ref="F32:I34"/>
    <mergeCell ref="B35:C35"/>
  </mergeCells>
  <dataValidations disablePrompts="1" count="5">
    <dataValidation type="decimal" operator="greaterThanOrEqual" allowBlank="1" showInputMessage="1" showErrorMessage="1" sqref="C19">
      <formula1>1.2</formula1>
    </dataValidation>
    <dataValidation type="decimal" allowBlank="1" showInputMessage="1" showErrorMessage="1" sqref="C23">
      <formula1>0</formula1>
      <formula2>7</formula2>
    </dataValidation>
    <dataValidation type="list" allowBlank="1" showInputMessage="1" showErrorMessage="1" sqref="H11:M11">
      <formula1>$Q$10:$Q$25</formula1>
    </dataValidation>
    <dataValidation type="decimal" operator="greaterThanOrEqual" allowBlank="1" showInputMessage="1" showErrorMessage="1" sqref="C18">
      <formula1>0</formula1>
    </dataValidation>
    <dataValidation type="list" allowBlank="1" showInputMessage="1" showErrorMessage="1" sqref="H9:J9">
      <formula1>#REF!</formula1>
    </dataValidation>
  </dataValidations>
  <pageMargins left="0.75" right="0.75" top="1" bottom="1" header="0.4921259845" footer="0.4921259845"/>
  <pageSetup paperSize="9" scale="70" orientation="landscape" r:id="rId1"/>
  <headerFooter alignWithMargins="0"/>
  <rowBreaks count="1" manualBreakCount="1">
    <brk id="11" min="1" max="16"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00B050"/>
    <pageSetUpPr fitToPage="1"/>
  </sheetPr>
  <dimension ref="A1:O68"/>
  <sheetViews>
    <sheetView view="pageBreakPreview" topLeftCell="A13" zoomScale="70" zoomScaleNormal="100" zoomScaleSheetLayoutView="70" workbookViewId="0">
      <selection activeCell="C31" sqref="C31"/>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
      <c r="B2" s="217" t="s">
        <v>80</v>
      </c>
      <c r="C2" s="3"/>
      <c r="D2" s="4"/>
      <c r="E2" s="4"/>
      <c r="F2" s="4"/>
      <c r="G2" s="4"/>
      <c r="H2" s="220"/>
      <c r="I2" s="116" t="s">
        <v>315</v>
      </c>
      <c r="J2" s="3"/>
      <c r="K2" s="4"/>
      <c r="L2" s="4"/>
      <c r="M2" s="7"/>
      <c r="N2" s="10"/>
    </row>
    <row r="3" spans="2:14" ht="18" x14ac:dyDescent="0.2">
      <c r="B3" s="222" t="s">
        <v>316</v>
      </c>
      <c r="C3" s="9"/>
      <c r="D3" s="10"/>
      <c r="E3" s="10"/>
      <c r="F3" s="10"/>
      <c r="G3" s="10"/>
      <c r="H3" s="225"/>
      <c r="I3" s="117" t="s">
        <v>317</v>
      </c>
      <c r="J3" s="12"/>
      <c r="K3" s="10"/>
      <c r="L3" s="10"/>
      <c r="M3" s="13"/>
      <c r="N3" s="10"/>
    </row>
    <row r="4" spans="2:14" ht="18" x14ac:dyDescent="0.2">
      <c r="B4" s="222"/>
      <c r="C4" s="10"/>
      <c r="D4" s="10"/>
      <c r="E4" s="10"/>
      <c r="F4" s="10"/>
      <c r="G4" s="10"/>
      <c r="H4" s="10"/>
      <c r="I4" s="12"/>
      <c r="J4" s="10"/>
      <c r="K4" s="10"/>
      <c r="L4" s="10"/>
      <c r="M4" s="13"/>
      <c r="N4" s="10"/>
    </row>
    <row r="5" spans="2:14" ht="16.5" thickBot="1" x14ac:dyDescent="0.3">
      <c r="B5" s="1181" t="s">
        <v>350</v>
      </c>
      <c r="C5" s="1182"/>
      <c r="D5" s="1182"/>
      <c r="E5" s="1182"/>
      <c r="F5" s="1182"/>
      <c r="G5" s="1182"/>
      <c r="H5" s="1182"/>
      <c r="I5" s="1182"/>
      <c r="J5" s="1182"/>
      <c r="K5" s="1182"/>
      <c r="L5" s="1182"/>
      <c r="M5" s="1183"/>
      <c r="N5" s="280"/>
    </row>
    <row r="6" spans="2:14" ht="15" x14ac:dyDescent="0.2">
      <c r="B6" s="245" t="s">
        <v>351</v>
      </c>
      <c r="C6" s="28" t="s">
        <v>28</v>
      </c>
      <c r="D6" s="1"/>
      <c r="E6" s="1"/>
      <c r="F6" s="1"/>
      <c r="G6" s="1"/>
      <c r="H6" s="1"/>
      <c r="I6" s="1"/>
      <c r="J6" s="1"/>
      <c r="K6" s="1"/>
      <c r="L6" s="1"/>
      <c r="M6" s="1"/>
      <c r="N6" s="1"/>
    </row>
    <row r="7" spans="2:14" ht="15" x14ac:dyDescent="0.2">
      <c r="B7" s="28"/>
      <c r="C7" s="28" t="s">
        <v>29</v>
      </c>
      <c r="D7" s="1"/>
      <c r="E7" s="1"/>
      <c r="F7" s="1"/>
      <c r="G7" s="1"/>
      <c r="H7" s="1"/>
      <c r="I7" s="1"/>
      <c r="J7" s="1"/>
      <c r="K7" s="1"/>
      <c r="L7" s="1"/>
      <c r="M7" s="1"/>
      <c r="N7" s="1"/>
    </row>
    <row r="8" spans="2:14" ht="15" x14ac:dyDescent="0.2">
      <c r="B8" s="1"/>
      <c r="C8" s="28"/>
      <c r="D8" s="1"/>
      <c r="E8" s="1"/>
      <c r="F8" s="1"/>
      <c r="G8" s="1"/>
      <c r="H8" s="1"/>
      <c r="I8" s="1"/>
      <c r="J8" s="1"/>
      <c r="K8" s="1"/>
      <c r="L8" s="1"/>
      <c r="M8" s="1"/>
      <c r="N8" s="1"/>
    </row>
    <row r="9" spans="2:14" ht="13.5" thickBot="1" x14ac:dyDescent="0.25">
      <c r="B9" s="246" t="s">
        <v>352</v>
      </c>
      <c r="C9" s="1"/>
      <c r="D9" s="1"/>
      <c r="E9" s="1"/>
      <c r="F9" s="1"/>
      <c r="G9" s="1"/>
      <c r="H9" s="1"/>
      <c r="I9" s="1"/>
      <c r="J9" s="1"/>
      <c r="K9" s="1"/>
      <c r="L9" s="1"/>
      <c r="M9" s="1"/>
      <c r="N9" s="1"/>
    </row>
    <row r="10" spans="2:14" ht="13.5" thickBot="1" x14ac:dyDescent="0.25">
      <c r="B10" s="247" t="s">
        <v>310</v>
      </c>
      <c r="C10" s="1186" t="str">
        <f>'building data'!C9</f>
        <v>807 E Main</v>
      </c>
      <c r="D10" s="1187"/>
      <c r="E10" s="248" t="s">
        <v>319</v>
      </c>
      <c r="F10" s="249" t="s">
        <v>7</v>
      </c>
      <c r="G10" s="19"/>
      <c r="H10" s="1198" t="s">
        <v>354</v>
      </c>
      <c r="I10" s="1199"/>
      <c r="J10" s="1199"/>
      <c r="K10" s="1199"/>
      <c r="L10" s="1199"/>
      <c r="M10" s="1200"/>
      <c r="N10" s="1"/>
    </row>
    <row r="11" spans="2:14" ht="12.75" customHeight="1" x14ac:dyDescent="0.2">
      <c r="B11" s="250" t="s">
        <v>311</v>
      </c>
      <c r="C11" s="1188">
        <f>'building data'!C10</f>
        <v>27332</v>
      </c>
      <c r="D11" s="1188"/>
      <c r="E11" s="251" t="s">
        <v>320</v>
      </c>
      <c r="F11" s="228" t="str">
        <f>'building data'!H10</f>
        <v>807 E Main St</v>
      </c>
      <c r="G11" s="19"/>
      <c r="H11" s="1201" t="s">
        <v>355</v>
      </c>
      <c r="I11" s="1202"/>
      <c r="J11" s="1205" t="s">
        <v>356</v>
      </c>
      <c r="K11" s="1205" t="s">
        <v>357</v>
      </c>
      <c r="L11" s="1205" t="s">
        <v>358</v>
      </c>
      <c r="M11" s="1207" t="s">
        <v>359</v>
      </c>
      <c r="N11" s="1"/>
    </row>
    <row r="12" spans="2:14" ht="13.5" thickBot="1" x14ac:dyDescent="0.25">
      <c r="B12" s="250" t="s">
        <v>312</v>
      </c>
      <c r="C12" s="1188" t="str">
        <f>'building data'!C11</f>
        <v>Ted Bleecker</v>
      </c>
      <c r="D12" s="1188"/>
      <c r="E12" s="251" t="s">
        <v>321</v>
      </c>
      <c r="F12" s="228" t="str">
        <f>'building data'!H11</f>
        <v>USA</v>
      </c>
      <c r="G12" s="19"/>
      <c r="H12" s="1203"/>
      <c r="I12" s="1204"/>
      <c r="J12" s="1206"/>
      <c r="K12" s="1206"/>
      <c r="L12" s="1206"/>
      <c r="M12" s="1208"/>
      <c r="N12" s="1"/>
    </row>
    <row r="13" spans="2:14" ht="13.5" thickBot="1" x14ac:dyDescent="0.25">
      <c r="B13" s="252" t="s">
        <v>353</v>
      </c>
      <c r="C13" s="1189">
        <f ca="1">'building data'!C12</f>
        <v>42655</v>
      </c>
      <c r="D13" s="1190"/>
      <c r="E13" s="253" t="s">
        <v>322</v>
      </c>
      <c r="F13" s="229" t="str">
        <f>'building data'!H12</f>
        <v>ASCE/SEI 7-10</v>
      </c>
      <c r="G13" s="19"/>
      <c r="H13" s="1210">
        <v>1.6</v>
      </c>
      <c r="I13" s="1211"/>
      <c r="J13" s="425">
        <v>1.6</v>
      </c>
      <c r="K13" s="426">
        <v>0.9</v>
      </c>
      <c r="L13" s="426">
        <v>0.9</v>
      </c>
      <c r="M13" s="1209"/>
      <c r="N13" s="1"/>
    </row>
    <row r="14" spans="2:14" ht="12.75" customHeight="1" x14ac:dyDescent="0.2">
      <c r="B14" s="1"/>
      <c r="C14" s="19"/>
      <c r="D14" s="19"/>
      <c r="E14" s="19"/>
      <c r="F14" s="1"/>
      <c r="G14" s="1"/>
      <c r="H14" s="1"/>
      <c r="I14" s="1"/>
      <c r="J14" s="1"/>
      <c r="K14" s="1"/>
      <c r="L14" s="1"/>
      <c r="M14" s="1"/>
      <c r="N14" s="1"/>
    </row>
    <row r="15" spans="2:14" x14ac:dyDescent="0.2">
      <c r="B15" s="1"/>
      <c r="C15" s="1"/>
      <c r="D15" s="1"/>
      <c r="E15" s="1"/>
      <c r="F15" s="1"/>
      <c r="G15" s="1"/>
      <c r="H15" s="1"/>
      <c r="I15" s="1"/>
      <c r="J15" s="1"/>
      <c r="K15" s="1"/>
      <c r="L15" s="1"/>
      <c r="M15" s="1"/>
      <c r="N15" s="1"/>
    </row>
    <row r="16" spans="2:14" x14ac:dyDescent="0.2">
      <c r="B16" s="14" t="s">
        <v>360</v>
      </c>
      <c r="C16" s="1"/>
      <c r="D16" s="1"/>
      <c r="E16" s="1"/>
      <c r="F16" s="1"/>
      <c r="G16" s="1"/>
      <c r="H16" s="1"/>
      <c r="I16" s="1"/>
      <c r="J16" s="1"/>
      <c r="K16" s="1"/>
      <c r="L16" s="1"/>
      <c r="M16" s="1"/>
      <c r="N16" s="1"/>
    </row>
    <row r="17" spans="2:14" x14ac:dyDescent="0.2">
      <c r="B17" s="14" t="s">
        <v>361</v>
      </c>
      <c r="C17" s="1"/>
      <c r="D17" s="1"/>
      <c r="E17" s="1"/>
      <c r="F17" s="1"/>
      <c r="G17" s="1"/>
      <c r="H17" s="1"/>
      <c r="I17" s="1"/>
      <c r="J17" s="1"/>
      <c r="K17" s="1"/>
      <c r="L17" s="1"/>
      <c r="M17" s="1"/>
      <c r="N17" s="1"/>
    </row>
    <row r="18" spans="2:14" ht="13.5" thickBot="1" x14ac:dyDescent="0.3">
      <c r="B18" s="81"/>
    </row>
    <row r="19" spans="2:14" ht="17.25" customHeight="1" thickBot="1" x14ac:dyDescent="0.25">
      <c r="B19" s="254" t="s">
        <v>387</v>
      </c>
      <c r="C19" s="255">
        <f>VLOOKUP(C24,B38:M40,6,0)/1000</f>
        <v>1.0384922145487721</v>
      </c>
      <c r="D19" s="256" t="s">
        <v>2</v>
      </c>
      <c r="E19" s="257" t="s">
        <v>388</v>
      </c>
      <c r="F19" s="258">
        <f>(2/1.25*1000*C19)^0.5</f>
        <v>40.762575277796607</v>
      </c>
      <c r="G19" s="259" t="s">
        <v>8</v>
      </c>
      <c r="H19" s="1191" t="s">
        <v>389</v>
      </c>
      <c r="I19" s="1191"/>
      <c r="J19" s="258">
        <f>F19*3.6</f>
        <v>146.74527100006779</v>
      </c>
      <c r="K19" s="260" t="s">
        <v>9</v>
      </c>
      <c r="L19" s="150"/>
    </row>
    <row r="20" spans="2:14" ht="12.75" customHeight="1" x14ac:dyDescent="0.25"/>
    <row r="21" spans="2:14" ht="12.75" customHeight="1" x14ac:dyDescent="0.25"/>
    <row r="22" spans="2:14" ht="12.75" customHeight="1" x14ac:dyDescent="0.25">
      <c r="B22" s="81"/>
    </row>
    <row r="23" spans="2:14" ht="16.5" thickBot="1" x14ac:dyDescent="0.3">
      <c r="B23" s="261" t="s">
        <v>352</v>
      </c>
    </row>
    <row r="24" spans="2:14" ht="13.5" customHeight="1" x14ac:dyDescent="0.25">
      <c r="B24" s="82" t="s">
        <v>379</v>
      </c>
      <c r="C24" s="718" t="str">
        <f>IF('1-Eng Inputs'!B25="B","Exp. B",IF('1-Eng Inputs'!B25="C","Exp. C","Exp. D"))</f>
        <v>Exp. B</v>
      </c>
      <c r="D24" s="50"/>
      <c r="E24" s="1192" t="s">
        <v>371</v>
      </c>
      <c r="F24" s="1192"/>
      <c r="G24" s="1192"/>
      <c r="H24" s="1192"/>
      <c r="I24" s="1192"/>
      <c r="J24" s="1192"/>
      <c r="K24" s="1192"/>
      <c r="L24" s="1192"/>
      <c r="M24" s="1193"/>
    </row>
    <row r="25" spans="2:14" x14ac:dyDescent="0.25">
      <c r="B25" s="83" t="s">
        <v>367</v>
      </c>
      <c r="C25" s="1194" t="str">
        <f>VLOOKUP(C24,B38:N40,7,0)</f>
        <v>Urban/ suburban areas, wooded areas, or other terrain with numerous closely spaced obstructions having the size of single-family dwellings or larger.</v>
      </c>
      <c r="D25" s="1194"/>
      <c r="E25" s="1194"/>
      <c r="F25" s="1194"/>
      <c r="G25" s="1194"/>
      <c r="H25" s="1194"/>
      <c r="I25" s="1194"/>
      <c r="J25" s="1194"/>
      <c r="K25" s="1194"/>
      <c r="L25" s="1194"/>
      <c r="M25" s="1195"/>
    </row>
    <row r="26" spans="2:14" ht="25.5" customHeight="1" x14ac:dyDescent="0.25">
      <c r="B26" s="84" t="s">
        <v>380</v>
      </c>
      <c r="C26" s="717">
        <f>'1-Eng Inputs'!B29*0.3048</f>
        <v>97.536000000000001</v>
      </c>
      <c r="D26" s="244" t="s">
        <v>378</v>
      </c>
      <c r="E26" s="1196"/>
      <c r="F26" s="1196"/>
      <c r="G26" s="1196"/>
      <c r="H26" s="1196"/>
      <c r="I26" s="1196"/>
      <c r="J26" s="1196"/>
      <c r="K26" s="1196"/>
      <c r="L26" s="1196"/>
      <c r="M26" s="1197"/>
    </row>
    <row r="27" spans="2:14" ht="12.75" customHeight="1" x14ac:dyDescent="0.25">
      <c r="B27" s="85" t="s">
        <v>381</v>
      </c>
      <c r="C27" s="86">
        <f>'building data'!C16</f>
        <v>7.3152000000000008</v>
      </c>
      <c r="D27" s="87" t="s">
        <v>0</v>
      </c>
      <c r="E27" s="1196" t="s">
        <v>372</v>
      </c>
      <c r="F27" s="1196"/>
      <c r="G27" s="1196"/>
      <c r="H27" s="1196"/>
      <c r="I27" s="1196"/>
      <c r="J27" s="1196"/>
      <c r="K27" s="1196"/>
      <c r="L27" s="1196"/>
      <c r="M27" s="1197"/>
    </row>
    <row r="28" spans="2:14" ht="25.5" customHeight="1" x14ac:dyDescent="0.25">
      <c r="B28" s="88" t="s">
        <v>382</v>
      </c>
      <c r="C28" s="719">
        <f>'1-Eng Inputs'!B23*0.44704</f>
        <v>49.174399999999999</v>
      </c>
      <c r="D28" s="87" t="s">
        <v>8</v>
      </c>
      <c r="E28" s="1184" t="s">
        <v>373</v>
      </c>
      <c r="F28" s="1184"/>
      <c r="G28" s="1184"/>
      <c r="H28" s="1184"/>
      <c r="I28" s="1184"/>
      <c r="J28" s="1184"/>
      <c r="K28" s="1184"/>
      <c r="L28" s="1184"/>
      <c r="M28" s="1185"/>
    </row>
    <row r="29" spans="2:14" ht="42.75" customHeight="1" x14ac:dyDescent="0.25">
      <c r="B29" s="88" t="s">
        <v>383</v>
      </c>
      <c r="C29" s="89" t="s">
        <v>30</v>
      </c>
      <c r="D29" s="87" t="s">
        <v>4</v>
      </c>
      <c r="E29" s="1184" t="s">
        <v>374</v>
      </c>
      <c r="F29" s="1184"/>
      <c r="G29" s="1184"/>
      <c r="H29" s="1184"/>
      <c r="I29" s="1184"/>
      <c r="J29" s="1184"/>
      <c r="K29" s="1184"/>
      <c r="L29" s="1184"/>
      <c r="M29" s="1185"/>
    </row>
    <row r="30" spans="2:14" ht="26.25" customHeight="1" x14ac:dyDescent="0.25">
      <c r="B30" s="233" t="s">
        <v>384</v>
      </c>
      <c r="C30" s="86">
        <f>IF('1-Eng Inputs'!B24="I",0.87,IF('1-Eng Inputs'!B24="II",1,1.15))</f>
        <v>1</v>
      </c>
      <c r="D30" s="262"/>
      <c r="E30" s="1216" t="s">
        <v>375</v>
      </c>
      <c r="F30" s="1216"/>
      <c r="G30" s="1216"/>
      <c r="H30" s="1216"/>
      <c r="I30" s="1216"/>
      <c r="J30" s="1216"/>
      <c r="K30" s="1216"/>
      <c r="L30" s="1216"/>
      <c r="M30" s="1217"/>
    </row>
    <row r="31" spans="2:14" ht="12.75" customHeight="1" x14ac:dyDescent="0.25">
      <c r="B31" s="88" t="s">
        <v>385</v>
      </c>
      <c r="C31" s="720">
        <v>1</v>
      </c>
      <c r="D31" s="87"/>
      <c r="E31" s="1218" t="s">
        <v>376</v>
      </c>
      <c r="F31" s="1218"/>
      <c r="G31" s="1218"/>
      <c r="H31" s="1218"/>
      <c r="I31" s="1218"/>
      <c r="J31" s="1218"/>
      <c r="K31" s="1218"/>
      <c r="L31" s="1218"/>
      <c r="M31" s="1219"/>
    </row>
    <row r="32" spans="2:14" ht="25.5" customHeight="1" thickBot="1" x14ac:dyDescent="0.3">
      <c r="B32" s="90" t="s">
        <v>386</v>
      </c>
      <c r="C32" s="91">
        <v>1</v>
      </c>
      <c r="D32" s="92"/>
      <c r="E32" s="1220" t="s">
        <v>377</v>
      </c>
      <c r="F32" s="1220"/>
      <c r="G32" s="1220"/>
      <c r="H32" s="1220"/>
      <c r="I32" s="1220"/>
      <c r="J32" s="1220"/>
      <c r="K32" s="1220"/>
      <c r="L32" s="1220"/>
      <c r="M32" s="1221"/>
    </row>
    <row r="33" spans="1:15" ht="12.75" customHeight="1" x14ac:dyDescent="0.25">
      <c r="B33" s="44"/>
      <c r="C33" s="93"/>
      <c r="D33" s="94"/>
      <c r="E33" s="243"/>
      <c r="F33" s="243"/>
      <c r="G33" s="243"/>
      <c r="H33" s="243"/>
      <c r="I33" s="243"/>
      <c r="J33" s="243"/>
      <c r="K33" s="243"/>
      <c r="L33" s="243"/>
      <c r="M33" s="243"/>
    </row>
    <row r="34" spans="1:15" ht="12.75" customHeight="1" x14ac:dyDescent="0.25">
      <c r="A34" s="43"/>
      <c r="B34" s="44"/>
      <c r="C34" s="93"/>
      <c r="D34" s="94"/>
      <c r="E34" s="243"/>
      <c r="F34" s="243"/>
      <c r="G34" s="243"/>
      <c r="H34" s="243"/>
      <c r="I34" s="243"/>
      <c r="J34" s="243"/>
      <c r="K34" s="243"/>
      <c r="L34" s="243"/>
      <c r="M34" s="243"/>
    </row>
    <row r="35" spans="1:15" x14ac:dyDescent="0.25">
      <c r="G35" s="95"/>
      <c r="H35" s="95"/>
      <c r="J35" s="95"/>
      <c r="K35" s="96"/>
      <c r="L35" s="96"/>
    </row>
    <row r="36" spans="1:15" ht="16.5" thickBot="1" x14ac:dyDescent="0.3">
      <c r="B36" s="263" t="s">
        <v>379</v>
      </c>
      <c r="K36" s="97"/>
      <c r="L36" s="97"/>
      <c r="M36" s="98"/>
      <c r="N36" s="97"/>
    </row>
    <row r="37" spans="1:15" ht="27" customHeight="1" thickBot="1" x14ac:dyDescent="0.3">
      <c r="B37" s="99" t="s">
        <v>366</v>
      </c>
      <c r="C37" s="100" t="s">
        <v>11</v>
      </c>
      <c r="D37" s="100" t="s">
        <v>12</v>
      </c>
      <c r="E37" s="100" t="s">
        <v>13</v>
      </c>
      <c r="F37" s="100" t="s">
        <v>14</v>
      </c>
      <c r="G37" s="100" t="s">
        <v>15</v>
      </c>
      <c r="H37" s="1222" t="s">
        <v>367</v>
      </c>
      <c r="I37" s="1213"/>
      <c r="J37" s="1213"/>
      <c r="K37" s="1213"/>
      <c r="L37" s="1213"/>
      <c r="M37" s="1214"/>
    </row>
    <row r="38" spans="1:15" ht="25.5" customHeight="1" x14ac:dyDescent="0.25">
      <c r="B38" s="101" t="s">
        <v>10</v>
      </c>
      <c r="C38" s="58">
        <v>365.76</v>
      </c>
      <c r="D38" s="58">
        <v>9.14</v>
      </c>
      <c r="E38" s="73">
        <v>7</v>
      </c>
      <c r="F38" s="102">
        <f>IF($C$27&gt;C38,"Fehler",IF($C$27&gt;IF(C29=B51,15*0.3048,30*0.3048),2.01*($C$27/C38)^(2/E38),2.01*(IF(C29=B51,15*0.3048,30*0.3048)/C38)^(2/E38)))</f>
        <v>0.70059112483542563</v>
      </c>
      <c r="G38" s="103">
        <f>0.613*F38*$C$31*$C$32*$C$30*$C$28^2</f>
        <v>1038.4922145487722</v>
      </c>
      <c r="H38" s="1223" t="s">
        <v>368</v>
      </c>
      <c r="I38" s="1224"/>
      <c r="J38" s="1224"/>
      <c r="K38" s="1224"/>
      <c r="L38" s="1224"/>
      <c r="M38" s="1225"/>
    </row>
    <row r="39" spans="1:15" ht="25.5" customHeight="1" x14ac:dyDescent="0.25">
      <c r="B39" s="101" t="s">
        <v>16</v>
      </c>
      <c r="C39" s="102">
        <v>274.32</v>
      </c>
      <c r="D39" s="58">
        <v>4.57</v>
      </c>
      <c r="E39" s="73">
        <v>9.5</v>
      </c>
      <c r="F39" s="102">
        <f>IF($C$27&gt;C39,"Fehler",IF($C$27&gt;15*0.3048,2.01*($C$27/C39)^(2/E39),2.01*(15*0.3048/C39)^(2/E39)))</f>
        <v>0.93717577428821708</v>
      </c>
      <c r="G39" s="103">
        <f>0.613*F39*$C$31*$C$32*$C$30*$C$28^2</f>
        <v>1389.1836632824243</v>
      </c>
      <c r="H39" s="1226" t="s">
        <v>369</v>
      </c>
      <c r="I39" s="1227"/>
      <c r="J39" s="1227"/>
      <c r="K39" s="1227"/>
      <c r="L39" s="1227"/>
      <c r="M39" s="1228"/>
    </row>
    <row r="40" spans="1:15" ht="26.25" customHeight="1" thickBot="1" x14ac:dyDescent="0.3">
      <c r="B40" s="104" t="s">
        <v>17</v>
      </c>
      <c r="C40" s="105">
        <v>213.36</v>
      </c>
      <c r="D40" s="106">
        <v>2.13</v>
      </c>
      <c r="E40" s="107">
        <v>11.5</v>
      </c>
      <c r="F40" s="105">
        <f>IF($C$27&gt;C40,"Fehler",IF($C$27&gt;15*0.3048,2.01*($C$27/C40)^(2/E40),2.01*(15*0.3048/C40)^(2/E40)))</f>
        <v>1.1179776873727965</v>
      </c>
      <c r="G40" s="108">
        <f>0.613*F40*$C$31*$C$32*$C$30*$C$28^2</f>
        <v>1657.1878849430486</v>
      </c>
      <c r="H40" s="1229" t="s">
        <v>370</v>
      </c>
      <c r="I40" s="1230"/>
      <c r="J40" s="1230"/>
      <c r="K40" s="1230"/>
      <c r="L40" s="1230"/>
      <c r="M40" s="1231"/>
    </row>
    <row r="41" spans="1:15" ht="13.5" thickBot="1" x14ac:dyDescent="0.3">
      <c r="B41" s="109"/>
      <c r="C41" s="110"/>
      <c r="D41" s="110"/>
      <c r="F41" s="98"/>
      <c r="G41" s="97"/>
      <c r="H41" s="111"/>
    </row>
    <row r="42" spans="1:15" ht="12.75" customHeight="1" thickBot="1" x14ac:dyDescent="0.3">
      <c r="B42" s="1212" t="s">
        <v>362</v>
      </c>
      <c r="C42" s="1213"/>
      <c r="D42" s="1214"/>
      <c r="E42" s="242"/>
      <c r="F42" s="43"/>
      <c r="O42" s="43"/>
    </row>
    <row r="43" spans="1:15" ht="90.75" customHeight="1" thickBot="1" x14ac:dyDescent="0.3">
      <c r="B43" s="99" t="s">
        <v>363</v>
      </c>
      <c r="C43" s="264" t="s">
        <v>364</v>
      </c>
      <c r="D43" s="265" t="s">
        <v>365</v>
      </c>
      <c r="E43" s="234"/>
      <c r="F43" s="43"/>
      <c r="O43" s="112"/>
    </row>
    <row r="44" spans="1:15" x14ac:dyDescent="0.25">
      <c r="B44" s="266" t="s">
        <v>22</v>
      </c>
      <c r="C44" s="267">
        <v>0.87</v>
      </c>
      <c r="D44" s="268">
        <v>0.77</v>
      </c>
      <c r="E44" s="234"/>
      <c r="F44" s="43"/>
      <c r="O44" s="112"/>
    </row>
    <row r="45" spans="1:15" x14ac:dyDescent="0.25">
      <c r="B45" s="269" t="s">
        <v>23</v>
      </c>
      <c r="C45" s="235">
        <v>1</v>
      </c>
      <c r="D45" s="270">
        <v>1</v>
      </c>
      <c r="E45" s="234"/>
      <c r="F45" s="43"/>
      <c r="O45" s="43"/>
    </row>
    <row r="46" spans="1:15" x14ac:dyDescent="0.25">
      <c r="B46" s="269" t="s">
        <v>24</v>
      </c>
      <c r="C46" s="235">
        <v>1.1499999999999999</v>
      </c>
      <c r="D46" s="270">
        <v>1.1499999999999999</v>
      </c>
      <c r="E46" s="234"/>
      <c r="F46" s="43"/>
      <c r="O46" s="43"/>
    </row>
    <row r="47" spans="1:15" ht="13.5" thickBot="1" x14ac:dyDescent="0.3">
      <c r="B47" s="271" t="s">
        <v>25</v>
      </c>
      <c r="C47" s="272">
        <v>1.1499999999999999</v>
      </c>
      <c r="D47" s="273">
        <v>1.1499999999999999</v>
      </c>
      <c r="E47" s="97"/>
      <c r="F47" s="236"/>
      <c r="G47" s="97"/>
      <c r="H47" s="237"/>
      <c r="I47" s="208"/>
    </row>
    <row r="48" spans="1:15" x14ac:dyDescent="0.25">
      <c r="B48" s="1215"/>
      <c r="C48" s="1215"/>
      <c r="D48" s="43"/>
    </row>
    <row r="49" spans="2:6" x14ac:dyDescent="0.25">
      <c r="B49" s="242"/>
      <c r="C49" s="242"/>
      <c r="D49" s="43"/>
    </row>
    <row r="50" spans="2:6" x14ac:dyDescent="0.25">
      <c r="B50" s="113" t="s">
        <v>30</v>
      </c>
      <c r="C50" s="114"/>
      <c r="D50" s="43"/>
    </row>
    <row r="51" spans="2:6" x14ac:dyDescent="0.25">
      <c r="B51" s="113" t="s">
        <v>31</v>
      </c>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row>
    <row r="56" spans="2:6" x14ac:dyDescent="0.25">
      <c r="B56" s="114"/>
      <c r="C56" s="114"/>
      <c r="D56" s="43"/>
    </row>
    <row r="57" spans="2:6" x14ac:dyDescent="0.25">
      <c r="B57" s="114"/>
      <c r="C57" s="114"/>
      <c r="D57" s="43"/>
    </row>
    <row r="58" spans="2:6" x14ac:dyDescent="0.25">
      <c r="B58" s="114"/>
      <c r="C58" s="114"/>
      <c r="D58" s="43"/>
    </row>
    <row r="59" spans="2:6" x14ac:dyDescent="0.25">
      <c r="B59" s="114"/>
      <c r="C59" s="114"/>
      <c r="D59" s="43"/>
    </row>
    <row r="60" spans="2:6" x14ac:dyDescent="0.25">
      <c r="B60" s="114"/>
      <c r="C60" s="114"/>
      <c r="D60" s="43"/>
    </row>
    <row r="61" spans="2:6" x14ac:dyDescent="0.25">
      <c r="B61" s="114"/>
      <c r="C61" s="114"/>
      <c r="D61" s="43"/>
    </row>
    <row r="62" spans="2:6" x14ac:dyDescent="0.25">
      <c r="B62" s="114"/>
      <c r="C62" s="114"/>
      <c r="D62" s="43"/>
    </row>
    <row r="63" spans="2:6" x14ac:dyDescent="0.25">
      <c r="B63" s="114"/>
      <c r="C63" s="114"/>
      <c r="D63" s="43"/>
      <c r="E63" s="115"/>
      <c r="F63" s="115"/>
    </row>
    <row r="64" spans="2:6" x14ac:dyDescent="0.25">
      <c r="B64" s="114"/>
      <c r="C64" s="114"/>
      <c r="D64" s="43"/>
      <c r="E64" s="115"/>
      <c r="F64" s="115"/>
    </row>
    <row r="65" spans="2:4" x14ac:dyDescent="0.25">
      <c r="B65" s="114"/>
      <c r="C65" s="114"/>
      <c r="D65" s="43"/>
    </row>
    <row r="66" spans="2:4" x14ac:dyDescent="0.25">
      <c r="B66" s="114"/>
      <c r="C66" s="114"/>
      <c r="D66" s="43"/>
    </row>
    <row r="67" spans="2:4" x14ac:dyDescent="0.25">
      <c r="B67" s="114"/>
      <c r="C67" s="114"/>
      <c r="D67" s="43"/>
    </row>
    <row r="68" spans="2:4" x14ac:dyDescent="0.25">
      <c r="B68" s="43"/>
      <c r="C68" s="43"/>
      <c r="D68" s="43"/>
    </row>
  </sheetData>
  <mergeCells count="28">
    <mergeCell ref="M11:M13"/>
    <mergeCell ref="H13:I13"/>
    <mergeCell ref="B42:D42"/>
    <mergeCell ref="B48:C48"/>
    <mergeCell ref="E30:M30"/>
    <mergeCell ref="E31:M31"/>
    <mergeCell ref="E32:M32"/>
    <mergeCell ref="L11:L12"/>
    <mergeCell ref="H37:M37"/>
    <mergeCell ref="H38:M38"/>
    <mergeCell ref="H39:M39"/>
    <mergeCell ref="H40:M40"/>
    <mergeCell ref="B5:M5"/>
    <mergeCell ref="E29:M29"/>
    <mergeCell ref="C10:D10"/>
    <mergeCell ref="C11:D11"/>
    <mergeCell ref="C12:D12"/>
    <mergeCell ref="C13:D13"/>
    <mergeCell ref="H19:I19"/>
    <mergeCell ref="E24:M24"/>
    <mergeCell ref="C25:M25"/>
    <mergeCell ref="E26:M26"/>
    <mergeCell ref="E27:M27"/>
    <mergeCell ref="E28:M28"/>
    <mergeCell ref="H10:M10"/>
    <mergeCell ref="H11:I12"/>
    <mergeCell ref="J11:J12"/>
    <mergeCell ref="K11:K12"/>
  </mergeCells>
  <dataValidations count="3">
    <dataValidation type="list" allowBlank="1" showInputMessage="1" showErrorMessage="1" sqref="C29">
      <formula1>$B$50:$B$51</formula1>
    </dataValidation>
    <dataValidation type="list" allowBlank="1" showInputMessage="1" showErrorMessage="1" sqref="C24">
      <formula1>$B$38:$B$40</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29697"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29697" r:id="rId4"/>
      </mc:Fallback>
    </mc:AlternateContent>
    <mc:AlternateContent xmlns:mc="http://schemas.openxmlformats.org/markup-compatibility/2006">
      <mc:Choice Requires="x14">
        <oleObject progId="Equation.DSMT4" shapeId="29698" r:id="rId6">
          <objectPr defaultSize="0" r:id="rId7">
            <anchor moveWithCells="1">
              <from>
                <xdr:col>2</xdr:col>
                <xdr:colOff>19050</xdr:colOff>
                <xdr:row>31</xdr:row>
                <xdr:rowOff>57150</xdr:rowOff>
              </from>
              <to>
                <xdr:col>2</xdr:col>
                <xdr:colOff>200025</xdr:colOff>
                <xdr:row>31</xdr:row>
                <xdr:rowOff>276225</xdr:rowOff>
              </to>
            </anchor>
          </objectPr>
        </oleObject>
      </mc:Choice>
      <mc:Fallback>
        <oleObject progId="Equation.DSMT4" shapeId="29698" r:id="rId6"/>
      </mc:Fallback>
    </mc:AlternateContent>
    <mc:AlternateContent xmlns:mc="http://schemas.openxmlformats.org/markup-compatibility/2006">
      <mc:Choice Requires="x14">
        <oleObject progId="Equation.DSMT4" shapeId="29700" r:id="rId8">
          <objectPr defaultSize="0" r:id="rId9">
            <anchor moveWithCells="1">
              <from>
                <xdr:col>1</xdr:col>
                <xdr:colOff>1714500</xdr:colOff>
                <xdr:row>29</xdr:row>
                <xdr:rowOff>314325</xdr:rowOff>
              </from>
              <to>
                <xdr:col>2</xdr:col>
                <xdr:colOff>152400</xdr:colOff>
                <xdr:row>31</xdr:row>
                <xdr:rowOff>38100</xdr:rowOff>
              </to>
            </anchor>
          </objectPr>
        </oleObject>
      </mc:Choice>
      <mc:Fallback>
        <oleObject progId="Equation.DSMT4" shapeId="29700" r:id="rId8"/>
      </mc:Fallback>
    </mc:AlternateContent>
    <mc:AlternateContent xmlns:mc="http://schemas.openxmlformats.org/markup-compatibility/2006">
      <mc:Choice Requires="x14">
        <oleObject progId="Equation.DSMT4" shapeId="29701" r:id="rId10">
          <objectPr defaultSize="0" r:id="rId11">
            <anchor moveWithCells="1">
              <from>
                <xdr:col>2</xdr:col>
                <xdr:colOff>9525</xdr:colOff>
                <xdr:row>27</xdr:row>
                <xdr:rowOff>66675</xdr:rowOff>
              </from>
              <to>
                <xdr:col>2</xdr:col>
                <xdr:colOff>180975</xdr:colOff>
                <xdr:row>27</xdr:row>
                <xdr:rowOff>285750</xdr:rowOff>
              </to>
            </anchor>
          </objectPr>
        </oleObject>
      </mc:Choice>
      <mc:Fallback>
        <oleObject progId="Equation.DSMT4" shapeId="29701" r:id="rId10"/>
      </mc:Fallback>
    </mc:AlternateContent>
    <mc:AlternateContent xmlns:mc="http://schemas.openxmlformats.org/markup-compatibility/2006">
      <mc:Choice Requires="x14">
        <oleObject progId="Equation.DSMT4" shapeId="29702" r:id="rId12">
          <objectPr defaultSize="0" autoPict="0" r:id="rId13">
            <anchor moveWithCells="1">
              <from>
                <xdr:col>2</xdr:col>
                <xdr:colOff>19050</xdr:colOff>
                <xdr:row>29</xdr:row>
                <xdr:rowOff>85725</xdr:rowOff>
              </from>
              <to>
                <xdr:col>2</xdr:col>
                <xdr:colOff>95250</xdr:colOff>
                <xdr:row>29</xdr:row>
                <xdr:rowOff>247650</xdr:rowOff>
              </to>
            </anchor>
          </objectPr>
        </oleObject>
      </mc:Choice>
      <mc:Fallback>
        <oleObject progId="Equation.DSMT4" shapeId="29702" r:id="rId12"/>
      </mc:Fallback>
    </mc:AlternateContent>
    <mc:AlternateContent xmlns:mc="http://schemas.openxmlformats.org/markup-compatibility/2006">
      <mc:Choice Requires="x14">
        <oleObject progId="Equation.DSMT4" shapeId="29705" r:id="rId14">
          <objectPr defaultSize="0" autoPict="0" r:id="rId15">
            <anchor moveWithCells="1">
              <from>
                <xdr:col>2</xdr:col>
                <xdr:colOff>19050</xdr:colOff>
                <xdr:row>26</xdr:row>
                <xdr:rowOff>28575</xdr:rowOff>
              </from>
              <to>
                <xdr:col>2</xdr:col>
                <xdr:colOff>133350</xdr:colOff>
                <xdr:row>26</xdr:row>
                <xdr:rowOff>152400</xdr:rowOff>
              </to>
            </anchor>
          </objectPr>
        </oleObject>
      </mc:Choice>
      <mc:Fallback>
        <oleObject progId="Equation.DSMT4" shapeId="29705" r:id="rId1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rgb="FF00B050"/>
    <pageSetUpPr fitToPage="1"/>
  </sheetPr>
  <dimension ref="A1:O60"/>
  <sheetViews>
    <sheetView view="pageBreakPreview" zoomScale="70" zoomScaleNormal="100" zoomScaleSheetLayoutView="70" workbookViewId="0">
      <selection activeCell="B5" sqref="B5:M5"/>
    </sheetView>
  </sheetViews>
  <sheetFormatPr defaultColWidth="9.125" defaultRowHeight="12.75" x14ac:dyDescent="0.25"/>
  <cols>
    <col min="1" max="1" width="8.75" style="178" customWidth="1"/>
    <col min="2" max="2" width="25.875" style="178" customWidth="1"/>
    <col min="3" max="3" width="17.875" style="178" customWidth="1"/>
    <col min="4" max="4" width="18.875" style="178" customWidth="1"/>
    <col min="5" max="5" width="22.25" style="178" customWidth="1"/>
    <col min="6" max="6" width="23.625" style="178" customWidth="1"/>
    <col min="7" max="7" width="17.875" style="178" customWidth="1"/>
    <col min="8" max="9" width="8.625" style="178" customWidth="1"/>
    <col min="10" max="10" width="17.125" style="178" customWidth="1"/>
    <col min="11" max="12" width="18.625" style="178" customWidth="1"/>
    <col min="13" max="13" width="11.625" style="178" customWidth="1"/>
    <col min="14" max="14" width="11.375" style="178" customWidth="1"/>
    <col min="15" max="15" width="17.875" style="178" customWidth="1"/>
    <col min="16" max="16384" width="9.125" style="178"/>
  </cols>
  <sheetData>
    <row r="1" spans="2:14" ht="13.5" thickBot="1" x14ac:dyDescent="0.3"/>
    <row r="2" spans="2:14" ht="18" x14ac:dyDescent="0.25">
      <c r="B2" s="217" t="s">
        <v>80</v>
      </c>
      <c r="C2" s="218"/>
      <c r="D2" s="219"/>
      <c r="E2" s="219"/>
      <c r="F2" s="219"/>
      <c r="G2" s="219"/>
      <c r="H2" s="220"/>
      <c r="I2" s="116" t="s">
        <v>315</v>
      </c>
      <c r="J2" s="218"/>
      <c r="K2" s="219"/>
      <c r="L2" s="219"/>
      <c r="M2" s="221"/>
      <c r="N2" s="224"/>
    </row>
    <row r="3" spans="2:14" ht="18" x14ac:dyDescent="0.25">
      <c r="B3" s="222" t="s">
        <v>316</v>
      </c>
      <c r="C3" s="223"/>
      <c r="D3" s="224"/>
      <c r="E3" s="224"/>
      <c r="F3" s="224"/>
      <c r="G3" s="224"/>
      <c r="H3" s="225"/>
      <c r="I3" s="117" t="s">
        <v>317</v>
      </c>
      <c r="J3" s="226"/>
      <c r="K3" s="224"/>
      <c r="L3" s="224"/>
      <c r="M3" s="227"/>
      <c r="N3" s="224"/>
    </row>
    <row r="4" spans="2:14" ht="18" x14ac:dyDescent="0.25">
      <c r="B4" s="222"/>
      <c r="C4" s="224"/>
      <c r="D4" s="224"/>
      <c r="E4" s="224"/>
      <c r="F4" s="224"/>
      <c r="G4" s="224"/>
      <c r="H4" s="224"/>
      <c r="I4" s="226"/>
      <c r="J4" s="224"/>
      <c r="K4" s="224"/>
      <c r="L4" s="224"/>
      <c r="M4" s="227"/>
      <c r="N4" s="224"/>
    </row>
    <row r="5" spans="2:14" ht="16.5" thickBot="1" x14ac:dyDescent="0.3">
      <c r="B5" s="1169" t="s">
        <v>395</v>
      </c>
      <c r="C5" s="1170"/>
      <c r="D5" s="1170"/>
      <c r="E5" s="1170"/>
      <c r="F5" s="1170"/>
      <c r="G5" s="1170"/>
      <c r="H5" s="1170"/>
      <c r="I5" s="1170"/>
      <c r="J5" s="1170"/>
      <c r="K5" s="1170"/>
      <c r="L5" s="1170"/>
      <c r="M5" s="1171"/>
      <c r="N5" s="383"/>
    </row>
    <row r="6" spans="2:14" ht="15" x14ac:dyDescent="0.25">
      <c r="B6" s="384" t="s">
        <v>351</v>
      </c>
      <c r="C6" s="385" t="s">
        <v>32</v>
      </c>
    </row>
    <row r="7" spans="2:14" ht="15" customHeight="1" x14ac:dyDescent="0.25">
      <c r="B7" s="385"/>
      <c r="C7" s="385" t="s">
        <v>33</v>
      </c>
    </row>
    <row r="8" spans="2:14" ht="15" x14ac:dyDescent="0.25">
      <c r="C8" s="385"/>
    </row>
    <row r="9" spans="2:14" ht="13.5" thickBot="1" x14ac:dyDescent="0.3">
      <c r="B9" s="386" t="s">
        <v>352</v>
      </c>
    </row>
    <row r="10" spans="2:14" ht="15.75" customHeight="1" thickBot="1" x14ac:dyDescent="0.25">
      <c r="B10" s="387" t="s">
        <v>310</v>
      </c>
      <c r="C10" s="1186" t="str">
        <f>'building data'!C9</f>
        <v>807 E Main</v>
      </c>
      <c r="D10" s="1187"/>
      <c r="E10" s="388" t="s">
        <v>319</v>
      </c>
      <c r="F10" s="389" t="s">
        <v>7</v>
      </c>
      <c r="H10" s="1198" t="s">
        <v>354</v>
      </c>
      <c r="I10" s="1199"/>
      <c r="J10" s="1199"/>
      <c r="K10" s="1199"/>
      <c r="L10" s="1199"/>
      <c r="M10" s="1200"/>
    </row>
    <row r="11" spans="2:14" ht="15.75" customHeight="1" x14ac:dyDescent="0.25">
      <c r="B11" s="390" t="s">
        <v>311</v>
      </c>
      <c r="C11" s="1188">
        <f>'building data'!C10</f>
        <v>27332</v>
      </c>
      <c r="D11" s="1188"/>
      <c r="E11" s="391" t="s">
        <v>320</v>
      </c>
      <c r="F11" s="228" t="str">
        <f>'building data'!H10</f>
        <v>807 E Main St</v>
      </c>
      <c r="H11" s="1201" t="s">
        <v>355</v>
      </c>
      <c r="I11" s="1202"/>
      <c r="J11" s="1205" t="s">
        <v>356</v>
      </c>
      <c r="K11" s="1205" t="s">
        <v>357</v>
      </c>
      <c r="L11" s="1205" t="s">
        <v>358</v>
      </c>
      <c r="M11" s="1207" t="s">
        <v>394</v>
      </c>
    </row>
    <row r="12" spans="2:14" ht="15.75" customHeight="1" thickBot="1" x14ac:dyDescent="0.3">
      <c r="B12" s="390" t="s">
        <v>312</v>
      </c>
      <c r="C12" s="1188" t="str">
        <f>'building data'!C11</f>
        <v>Ted Bleecker</v>
      </c>
      <c r="D12" s="1188"/>
      <c r="E12" s="391" t="s">
        <v>321</v>
      </c>
      <c r="F12" s="228" t="str">
        <f>'building data'!H11</f>
        <v>USA</v>
      </c>
      <c r="H12" s="1203"/>
      <c r="I12" s="1204"/>
      <c r="J12" s="1206"/>
      <c r="K12" s="1206"/>
      <c r="L12" s="1206"/>
      <c r="M12" s="1208"/>
    </row>
    <row r="13" spans="2:14" ht="15.75" customHeight="1" thickBot="1" x14ac:dyDescent="0.3">
      <c r="B13" s="392" t="s">
        <v>353</v>
      </c>
      <c r="C13" s="1189">
        <f ca="1">'building data'!C12</f>
        <v>42655</v>
      </c>
      <c r="D13" s="1236"/>
      <c r="E13" s="393" t="s">
        <v>322</v>
      </c>
      <c r="F13" s="229" t="str">
        <f>'building data'!H12</f>
        <v>ASCE/SEI 7-10</v>
      </c>
      <c r="H13" s="1210">
        <v>1</v>
      </c>
      <c r="I13" s="1211"/>
      <c r="J13" s="425">
        <v>1</v>
      </c>
      <c r="K13" s="426">
        <v>0.9</v>
      </c>
      <c r="L13" s="426">
        <v>0.9</v>
      </c>
      <c r="M13" s="1209"/>
    </row>
    <row r="14" spans="2:14" ht="12.75" customHeight="1" x14ac:dyDescent="0.25">
      <c r="C14" s="385"/>
    </row>
    <row r="16" spans="2:14" x14ac:dyDescent="0.25">
      <c r="B16" s="394" t="s">
        <v>396</v>
      </c>
    </row>
    <row r="17" spans="2:13" x14ac:dyDescent="0.25">
      <c r="B17" s="394" t="s">
        <v>397</v>
      </c>
    </row>
    <row r="18" spans="2:13" ht="13.5" thickBot="1" x14ac:dyDescent="0.3">
      <c r="B18" s="81"/>
    </row>
    <row r="19" spans="2:13" ht="17.25" customHeight="1" thickBot="1" x14ac:dyDescent="0.3">
      <c r="B19" s="395" t="s">
        <v>387</v>
      </c>
      <c r="C19" s="396">
        <f>VLOOKUP(C24,B37:M39,6,0)/1000</f>
        <v>1.0384922145487721</v>
      </c>
      <c r="D19" s="397" t="s">
        <v>2</v>
      </c>
      <c r="E19" s="382" t="s">
        <v>388</v>
      </c>
      <c r="F19" s="398">
        <f>(2/1.25*1000*C19)^0.5</f>
        <v>40.762575277796607</v>
      </c>
      <c r="G19" s="399" t="s">
        <v>8</v>
      </c>
      <c r="H19" s="1235" t="s">
        <v>389</v>
      </c>
      <c r="I19" s="1235"/>
      <c r="J19" s="398">
        <f>F19*3.6</f>
        <v>146.74527100006779</v>
      </c>
      <c r="K19" s="400" t="s">
        <v>9</v>
      </c>
      <c r="L19" s="94"/>
    </row>
    <row r="20" spans="2:13" ht="12.75" customHeight="1" x14ac:dyDescent="0.25"/>
    <row r="21" spans="2:13" ht="12.75" customHeight="1" x14ac:dyDescent="0.25"/>
    <row r="22" spans="2:13" ht="12.75" customHeight="1" x14ac:dyDescent="0.25">
      <c r="B22" s="81"/>
    </row>
    <row r="23" spans="2:13" ht="16.5" thickBot="1" x14ac:dyDescent="0.3">
      <c r="B23" s="401" t="s">
        <v>352</v>
      </c>
    </row>
    <row r="24" spans="2:13" ht="13.5" customHeight="1" x14ac:dyDescent="0.25">
      <c r="B24" s="82" t="s">
        <v>379</v>
      </c>
      <c r="C24" s="718" t="str">
        <f>IF('1-Eng Inputs'!B25="B","Exp. B",IF('1-Eng Inputs'!B25="C","Exp. C","Exp. D"))</f>
        <v>Exp. B</v>
      </c>
      <c r="D24" s="50" t="s">
        <v>4</v>
      </c>
      <c r="E24" s="1192" t="s">
        <v>393</v>
      </c>
      <c r="F24" s="1192"/>
      <c r="G24" s="1192"/>
      <c r="H24" s="1192"/>
      <c r="I24" s="1192"/>
      <c r="J24" s="1192"/>
      <c r="K24" s="1192"/>
      <c r="L24" s="1192"/>
      <c r="M24" s="1193"/>
    </row>
    <row r="25" spans="2:13" x14ac:dyDescent="0.25">
      <c r="B25" s="83" t="s">
        <v>367</v>
      </c>
      <c r="C25" s="1194" t="str">
        <f>VLOOKUP(C24,B37:M39,7,0)</f>
        <v>Urban/ suburban areas, wooded areas, or other terrain with numerous closely spaced obstructions having the size of single-family dwellings or larger.</v>
      </c>
      <c r="D25" s="1194"/>
      <c r="E25" s="1194"/>
      <c r="F25" s="1194"/>
      <c r="G25" s="1194"/>
      <c r="H25" s="1194"/>
      <c r="I25" s="1194"/>
      <c r="J25" s="1194"/>
      <c r="K25" s="1194"/>
      <c r="L25" s="1194"/>
      <c r="M25" s="1195"/>
    </row>
    <row r="26" spans="2:13" ht="25.5" customHeight="1" x14ac:dyDescent="0.25">
      <c r="B26" s="84" t="s">
        <v>380</v>
      </c>
      <c r="C26" s="717">
        <f>'1-Eng Inputs'!B29*0.3048</f>
        <v>97.536000000000001</v>
      </c>
      <c r="D26" s="244" t="str">
        <f>IF($F$10="Deutsch","m über NHN",IF($F$10="English","m ASL","Fehler"))</f>
        <v>m ASL</v>
      </c>
      <c r="E26" s="1196"/>
      <c r="F26" s="1196"/>
      <c r="G26" s="1196"/>
      <c r="H26" s="1196"/>
      <c r="I26" s="1196"/>
      <c r="J26" s="1196"/>
      <c r="K26" s="1196"/>
      <c r="L26" s="1196"/>
      <c r="M26" s="1197"/>
    </row>
    <row r="27" spans="2:13" ht="12.75" customHeight="1" x14ac:dyDescent="0.25">
      <c r="B27" s="85" t="s">
        <v>381</v>
      </c>
      <c r="C27" s="86">
        <f>'building data'!C16</f>
        <v>7.3152000000000008</v>
      </c>
      <c r="D27" s="87" t="s">
        <v>0</v>
      </c>
      <c r="E27" s="1196" t="s">
        <v>372</v>
      </c>
      <c r="F27" s="1196"/>
      <c r="G27" s="1196"/>
      <c r="H27" s="1196"/>
      <c r="I27" s="1196"/>
      <c r="J27" s="1196"/>
      <c r="K27" s="1196"/>
      <c r="L27" s="1196"/>
      <c r="M27" s="1197"/>
    </row>
    <row r="28" spans="2:13" ht="25.5" customHeight="1" x14ac:dyDescent="0.25">
      <c r="B28" s="88" t="s">
        <v>382</v>
      </c>
      <c r="C28" s="719">
        <f>'1-Eng Inputs'!B23*0.44704</f>
        <v>49.174399999999999</v>
      </c>
      <c r="D28" s="87" t="s">
        <v>8</v>
      </c>
      <c r="E28" s="1184" t="s">
        <v>390</v>
      </c>
      <c r="F28" s="1184"/>
      <c r="G28" s="1184"/>
      <c r="H28" s="1184"/>
      <c r="I28" s="1184"/>
      <c r="J28" s="1184"/>
      <c r="K28" s="1184"/>
      <c r="L28" s="1184"/>
      <c r="M28" s="1185"/>
    </row>
    <row r="29" spans="2:13" ht="30.75" customHeight="1" x14ac:dyDescent="0.25">
      <c r="B29" s="88" t="s">
        <v>383</v>
      </c>
      <c r="C29" s="89" t="s">
        <v>34</v>
      </c>
      <c r="D29" s="87" t="s">
        <v>4</v>
      </c>
      <c r="E29" s="1184" t="s">
        <v>391</v>
      </c>
      <c r="F29" s="1184"/>
      <c r="G29" s="1184"/>
      <c r="H29" s="1184"/>
      <c r="I29" s="1184"/>
      <c r="J29" s="1184"/>
      <c r="K29" s="1184"/>
      <c r="L29" s="1184"/>
      <c r="M29" s="1185"/>
    </row>
    <row r="30" spans="2:13" ht="12.75" customHeight="1" x14ac:dyDescent="0.25">
      <c r="B30" s="88" t="s">
        <v>385</v>
      </c>
      <c r="C30" s="337">
        <v>1</v>
      </c>
      <c r="D30" s="87" t="s">
        <v>4</v>
      </c>
      <c r="E30" s="1218" t="s">
        <v>376</v>
      </c>
      <c r="F30" s="1218"/>
      <c r="G30" s="1218"/>
      <c r="H30" s="1218"/>
      <c r="I30" s="1218"/>
      <c r="J30" s="1218"/>
      <c r="K30" s="1218"/>
      <c r="L30" s="1218"/>
      <c r="M30" s="1219"/>
    </row>
    <row r="31" spans="2:13" ht="25.5" customHeight="1" thickBot="1" x14ac:dyDescent="0.3">
      <c r="B31" s="90" t="s">
        <v>386</v>
      </c>
      <c r="C31" s="402">
        <v>1</v>
      </c>
      <c r="D31" s="92" t="s">
        <v>4</v>
      </c>
      <c r="E31" s="1220" t="s">
        <v>392</v>
      </c>
      <c r="F31" s="1220"/>
      <c r="G31" s="1220"/>
      <c r="H31" s="1220"/>
      <c r="I31" s="1220"/>
      <c r="J31" s="1220"/>
      <c r="K31" s="1220"/>
      <c r="L31" s="1220"/>
      <c r="M31" s="1221"/>
    </row>
    <row r="32" spans="2:13" ht="12.75" customHeight="1" x14ac:dyDescent="0.25">
      <c r="B32" s="44"/>
      <c r="C32" s="93"/>
      <c r="D32" s="94"/>
      <c r="E32" s="243"/>
      <c r="F32" s="243"/>
      <c r="G32" s="243"/>
      <c r="H32" s="243"/>
      <c r="I32" s="243"/>
      <c r="J32" s="243"/>
      <c r="K32" s="243"/>
      <c r="L32" s="243"/>
      <c r="M32" s="243"/>
    </row>
    <row r="33" spans="1:15" ht="12.75" customHeight="1" x14ac:dyDescent="0.25">
      <c r="A33" s="43"/>
      <c r="B33" s="44"/>
      <c r="C33" s="93"/>
      <c r="D33" s="94"/>
      <c r="E33" s="243"/>
      <c r="F33" s="243"/>
      <c r="G33" s="243"/>
      <c r="H33" s="243"/>
      <c r="I33" s="243"/>
      <c r="J33" s="243"/>
      <c r="K33" s="243"/>
      <c r="L33" s="243"/>
      <c r="M33" s="243"/>
    </row>
    <row r="34" spans="1:15" x14ac:dyDescent="0.25">
      <c r="G34" s="95"/>
      <c r="H34" s="95"/>
      <c r="J34" s="95"/>
      <c r="K34" s="96"/>
      <c r="L34" s="96"/>
    </row>
    <row r="35" spans="1:15" ht="16.5" thickBot="1" x14ac:dyDescent="0.3">
      <c r="B35" s="403" t="s">
        <v>379</v>
      </c>
      <c r="K35" s="97"/>
      <c r="L35" s="97"/>
      <c r="M35" s="98"/>
      <c r="N35" s="97"/>
      <c r="O35" s="97"/>
    </row>
    <row r="36" spans="1:15" ht="27" customHeight="1" thickBot="1" x14ac:dyDescent="0.3">
      <c r="B36" s="99" t="s">
        <v>366</v>
      </c>
      <c r="C36" s="100" t="s">
        <v>11</v>
      </c>
      <c r="D36" s="100" t="s">
        <v>12</v>
      </c>
      <c r="E36" s="100" t="s">
        <v>13</v>
      </c>
      <c r="F36" s="100" t="s">
        <v>14</v>
      </c>
      <c r="G36" s="100" t="s">
        <v>15</v>
      </c>
      <c r="H36" s="1232" t="s">
        <v>367</v>
      </c>
      <c r="I36" s="1233"/>
      <c r="J36" s="1233"/>
      <c r="K36" s="1233"/>
      <c r="L36" s="1233"/>
      <c r="M36" s="1234"/>
    </row>
    <row r="37" spans="1:15" ht="25.5" customHeight="1" x14ac:dyDescent="0.25">
      <c r="B37" s="101" t="s">
        <v>10</v>
      </c>
      <c r="C37" s="58">
        <v>365.76</v>
      </c>
      <c r="D37" s="58">
        <v>9.14</v>
      </c>
      <c r="E37" s="73">
        <v>7</v>
      </c>
      <c r="F37" s="102">
        <f>IF($C$27&gt;C37,"Fehler",IF($C$27&gt;IF(C29=B42,15*0.3048,30*0.3048),2.01*($C$27/C37)^(2/E37),2.01*(IF(C29=B42,15*0.3048,30*0.3048)/C37)^(2/E37)))</f>
        <v>0.70059112483542563</v>
      </c>
      <c r="G37" s="103">
        <f>0.613*F37*$C$30*$C$31*$C$28^2</f>
        <v>1038.4922145487722</v>
      </c>
      <c r="H37" s="1223" t="s">
        <v>368</v>
      </c>
      <c r="I37" s="1224"/>
      <c r="J37" s="1224"/>
      <c r="K37" s="1224"/>
      <c r="L37" s="1224"/>
      <c r="M37" s="1225"/>
    </row>
    <row r="38" spans="1:15" ht="25.5" customHeight="1" x14ac:dyDescent="0.25">
      <c r="B38" s="101" t="s">
        <v>16</v>
      </c>
      <c r="C38" s="102">
        <v>274.32</v>
      </c>
      <c r="D38" s="58">
        <v>4.57</v>
      </c>
      <c r="E38" s="73">
        <v>9.5</v>
      </c>
      <c r="F38" s="102">
        <f>IF($C$27&gt;C38,"Fehler",IF($C$27&gt;15*0.3048,2.01*($C$27/C38)^(2/E38),2.01*(15*0.3048/C38)^(2/E38)))</f>
        <v>0.93717577428821708</v>
      </c>
      <c r="G38" s="103">
        <f t="shared" ref="G38" si="0">0.613*F38*$C$30*$C$31*$C$28^2</f>
        <v>1389.1836632824243</v>
      </c>
      <c r="H38" s="1226" t="s">
        <v>369</v>
      </c>
      <c r="I38" s="1227"/>
      <c r="J38" s="1227"/>
      <c r="K38" s="1227"/>
      <c r="L38" s="1227"/>
      <c r="M38" s="1228"/>
    </row>
    <row r="39" spans="1:15" ht="27.75" customHeight="1" thickBot="1" x14ac:dyDescent="0.3">
      <c r="B39" s="104" t="s">
        <v>17</v>
      </c>
      <c r="C39" s="105">
        <v>213.36</v>
      </c>
      <c r="D39" s="106">
        <v>2.13</v>
      </c>
      <c r="E39" s="107">
        <v>11.5</v>
      </c>
      <c r="F39" s="105">
        <f>IF($C$27&gt;C39,"Fehler",IF($C$27&gt;15*0.3048,2.01*($C$27/C39)^(2/E39),2.01*(15*0.3048/C39)^(2/E39)))</f>
        <v>1.1179776873727965</v>
      </c>
      <c r="G39" s="108">
        <f>0.613*F39*$C$30*$C$31*$C$28^2</f>
        <v>1657.1878849430486</v>
      </c>
      <c r="H39" s="1229" t="s">
        <v>370</v>
      </c>
      <c r="I39" s="1230"/>
      <c r="J39" s="1230"/>
      <c r="K39" s="1230"/>
      <c r="L39" s="1230"/>
      <c r="M39" s="1231"/>
    </row>
    <row r="40" spans="1:15" x14ac:dyDescent="0.25">
      <c r="B40" s="109"/>
      <c r="C40" s="110"/>
      <c r="D40" s="110"/>
      <c r="F40" s="98"/>
      <c r="G40" s="97"/>
      <c r="H40" s="111"/>
    </row>
    <row r="41" spans="1:15" x14ac:dyDescent="0.25">
      <c r="B41" s="381"/>
      <c r="C41" s="381"/>
      <c r="D41" s="43"/>
    </row>
    <row r="42" spans="1:15" x14ac:dyDescent="0.25">
      <c r="B42" s="113" t="s">
        <v>35</v>
      </c>
      <c r="C42" s="114"/>
      <c r="D42" s="43"/>
    </row>
    <row r="43" spans="1:15" x14ac:dyDescent="0.25">
      <c r="B43" s="113" t="s">
        <v>34</v>
      </c>
      <c r="C43" s="114"/>
      <c r="D43" s="43"/>
    </row>
    <row r="44" spans="1:15" x14ac:dyDescent="0.25">
      <c r="B44" s="114"/>
      <c r="C44" s="114"/>
      <c r="D44" s="43"/>
    </row>
    <row r="45" spans="1:15" x14ac:dyDescent="0.25">
      <c r="B45" s="114"/>
      <c r="C45" s="114"/>
      <c r="D45" s="43"/>
    </row>
    <row r="46" spans="1:15" x14ac:dyDescent="0.25">
      <c r="B46" s="114"/>
      <c r="C46" s="114"/>
      <c r="D46" s="43"/>
    </row>
    <row r="47" spans="1:15" x14ac:dyDescent="0.25">
      <c r="B47" s="114"/>
      <c r="C47" s="114"/>
      <c r="D47" s="43"/>
    </row>
    <row r="48" spans="1:15" x14ac:dyDescent="0.25">
      <c r="B48" s="114"/>
      <c r="C48" s="114"/>
      <c r="D48" s="43"/>
    </row>
    <row r="49" spans="2:6" x14ac:dyDescent="0.25">
      <c r="B49" s="114"/>
      <c r="C49" s="114"/>
      <c r="D49" s="43"/>
    </row>
    <row r="50" spans="2:6" x14ac:dyDescent="0.25">
      <c r="B50" s="114"/>
      <c r="C50" s="114"/>
      <c r="D50" s="43"/>
    </row>
    <row r="51" spans="2:6" x14ac:dyDescent="0.25">
      <c r="B51" s="114"/>
      <c r="C51" s="114"/>
      <c r="D51" s="43"/>
    </row>
    <row r="52" spans="2:6" x14ac:dyDescent="0.25">
      <c r="B52" s="114"/>
      <c r="C52" s="114"/>
      <c r="D52" s="43"/>
    </row>
    <row r="53" spans="2:6" x14ac:dyDescent="0.25">
      <c r="B53" s="114"/>
      <c r="C53" s="114"/>
      <c r="D53" s="43"/>
    </row>
    <row r="54" spans="2:6" x14ac:dyDescent="0.25">
      <c r="B54" s="114"/>
      <c r="C54" s="114"/>
      <c r="D54" s="43"/>
    </row>
    <row r="55" spans="2:6" x14ac:dyDescent="0.25">
      <c r="B55" s="114"/>
      <c r="C55" s="114"/>
      <c r="D55" s="43"/>
      <c r="E55" s="115"/>
      <c r="F55" s="115"/>
    </row>
    <row r="56" spans="2:6" x14ac:dyDescent="0.25">
      <c r="B56" s="114"/>
      <c r="C56" s="114"/>
      <c r="D56" s="43"/>
      <c r="E56" s="115"/>
      <c r="F56" s="115"/>
    </row>
    <row r="57" spans="2:6" x14ac:dyDescent="0.25">
      <c r="B57" s="114"/>
      <c r="C57" s="114"/>
      <c r="D57" s="43"/>
    </row>
    <row r="58" spans="2:6" x14ac:dyDescent="0.25">
      <c r="B58" s="114"/>
      <c r="C58" s="114"/>
      <c r="D58" s="43"/>
    </row>
    <row r="59" spans="2:6" x14ac:dyDescent="0.25">
      <c r="B59" s="114"/>
      <c r="C59" s="114"/>
      <c r="D59" s="43"/>
    </row>
    <row r="60" spans="2:6" x14ac:dyDescent="0.25">
      <c r="B60" s="43"/>
      <c r="C60" s="43"/>
      <c r="D60" s="43"/>
    </row>
  </sheetData>
  <mergeCells count="25">
    <mergeCell ref="B5:M5"/>
    <mergeCell ref="C10:D10"/>
    <mergeCell ref="H10:M10"/>
    <mergeCell ref="C11:D11"/>
    <mergeCell ref="H11:I12"/>
    <mergeCell ref="J11:J12"/>
    <mergeCell ref="K11:K12"/>
    <mergeCell ref="M11:M13"/>
    <mergeCell ref="C12:D12"/>
    <mergeCell ref="C13:D13"/>
    <mergeCell ref="H13:I13"/>
    <mergeCell ref="H36:M36"/>
    <mergeCell ref="H37:M37"/>
    <mergeCell ref="H38:M38"/>
    <mergeCell ref="H39:M39"/>
    <mergeCell ref="L11:L12"/>
    <mergeCell ref="E27:M27"/>
    <mergeCell ref="H19:I19"/>
    <mergeCell ref="E24:M24"/>
    <mergeCell ref="C25:M25"/>
    <mergeCell ref="E26:M26"/>
    <mergeCell ref="E28:M28"/>
    <mergeCell ref="E29:M29"/>
    <mergeCell ref="E30:M30"/>
    <mergeCell ref="E31:M31"/>
  </mergeCells>
  <dataValidations count="3">
    <dataValidation type="list" allowBlank="1" showInputMessage="1" showErrorMessage="1" sqref="C29">
      <formula1>$B$42:$B$43</formula1>
    </dataValidation>
    <dataValidation type="list" allowBlank="1" showInputMessage="1" showErrorMessage="1" sqref="C24">
      <formula1>$B$37:$B$39</formula1>
    </dataValidation>
    <dataValidation type="list" allowBlank="1" showInputMessage="1" showErrorMessage="1" sqref="F10">
      <formula1>#REF!</formula1>
    </dataValidation>
  </dataValidations>
  <pageMargins left="0.75" right="0.39" top="0.47" bottom="0.77" header="0.4921259845" footer="0.4921259845"/>
  <pageSetup paperSize="9" scale="64" orientation="landscape" r:id="rId1"/>
  <headerFooter alignWithMargins="0"/>
  <drawing r:id="rId2"/>
  <legacyDrawing r:id="rId3"/>
  <oleObjects>
    <mc:AlternateContent xmlns:mc="http://schemas.openxmlformats.org/markup-compatibility/2006">
      <mc:Choice Requires="x14">
        <oleObject progId="Equation.DSMT4" shapeId="56321" r:id="rId4">
          <objectPr defaultSize="0" autoPict="0" r:id="rId5">
            <anchor moveWithCells="1">
              <from>
                <xdr:col>2</xdr:col>
                <xdr:colOff>9525</xdr:colOff>
                <xdr:row>18</xdr:row>
                <xdr:rowOff>0</xdr:rowOff>
              </from>
              <to>
                <xdr:col>2</xdr:col>
                <xdr:colOff>190500</xdr:colOff>
                <xdr:row>18</xdr:row>
                <xdr:rowOff>200025</xdr:rowOff>
              </to>
            </anchor>
          </objectPr>
        </oleObject>
      </mc:Choice>
      <mc:Fallback>
        <oleObject progId="Equation.DSMT4" shapeId="56321" r:id="rId4"/>
      </mc:Fallback>
    </mc:AlternateContent>
    <mc:AlternateContent xmlns:mc="http://schemas.openxmlformats.org/markup-compatibility/2006">
      <mc:Choice Requires="x14">
        <oleObject progId="Equation.DSMT4" shapeId="56322" r:id="rId6">
          <objectPr defaultSize="0" r:id="rId7">
            <anchor moveWithCells="1">
              <from>
                <xdr:col>2</xdr:col>
                <xdr:colOff>19050</xdr:colOff>
                <xdr:row>30</xdr:row>
                <xdr:rowOff>57150</xdr:rowOff>
              </from>
              <to>
                <xdr:col>2</xdr:col>
                <xdr:colOff>200025</xdr:colOff>
                <xdr:row>30</xdr:row>
                <xdr:rowOff>276225</xdr:rowOff>
              </to>
            </anchor>
          </objectPr>
        </oleObject>
      </mc:Choice>
      <mc:Fallback>
        <oleObject progId="Equation.DSMT4" shapeId="56322" r:id="rId6"/>
      </mc:Fallback>
    </mc:AlternateContent>
    <mc:AlternateContent xmlns:mc="http://schemas.openxmlformats.org/markup-compatibility/2006">
      <mc:Choice Requires="x14">
        <oleObject progId="Equation.DSMT4" shapeId="56323" r:id="rId8">
          <objectPr defaultSize="0" autoPict="0" r:id="rId9">
            <anchor moveWithCells="1">
              <from>
                <xdr:col>2</xdr:col>
                <xdr:colOff>19050</xdr:colOff>
                <xdr:row>26</xdr:row>
                <xdr:rowOff>28575</xdr:rowOff>
              </from>
              <to>
                <xdr:col>2</xdr:col>
                <xdr:colOff>133350</xdr:colOff>
                <xdr:row>26</xdr:row>
                <xdr:rowOff>152400</xdr:rowOff>
              </to>
            </anchor>
          </objectPr>
        </oleObject>
      </mc:Choice>
      <mc:Fallback>
        <oleObject progId="Equation.DSMT4" shapeId="56323" r:id="rId8"/>
      </mc:Fallback>
    </mc:AlternateContent>
    <mc:AlternateContent xmlns:mc="http://schemas.openxmlformats.org/markup-compatibility/2006">
      <mc:Choice Requires="x14">
        <oleObject progId="Equation.DSMT4" shapeId="56324" r:id="rId10">
          <objectPr defaultSize="0" r:id="rId11">
            <anchor moveWithCells="1">
              <from>
                <xdr:col>2</xdr:col>
                <xdr:colOff>9525</xdr:colOff>
                <xdr:row>28</xdr:row>
                <xdr:rowOff>361950</xdr:rowOff>
              </from>
              <to>
                <xdr:col>2</xdr:col>
                <xdr:colOff>180975</xdr:colOff>
                <xdr:row>30</xdr:row>
                <xdr:rowOff>28575</xdr:rowOff>
              </to>
            </anchor>
          </objectPr>
        </oleObject>
      </mc:Choice>
      <mc:Fallback>
        <oleObject progId="Equation.DSMT4" shapeId="56324" r:id="rId10"/>
      </mc:Fallback>
    </mc:AlternateContent>
    <mc:AlternateContent xmlns:mc="http://schemas.openxmlformats.org/markup-compatibility/2006">
      <mc:Choice Requires="x14">
        <oleObject progId="Equation.DSMT4" shapeId="56325" r:id="rId12">
          <objectPr defaultSize="0" r:id="rId13">
            <anchor moveWithCells="1">
              <from>
                <xdr:col>2</xdr:col>
                <xdr:colOff>9525</xdr:colOff>
                <xdr:row>27</xdr:row>
                <xdr:rowOff>66675</xdr:rowOff>
              </from>
              <to>
                <xdr:col>2</xdr:col>
                <xdr:colOff>180975</xdr:colOff>
                <xdr:row>27</xdr:row>
                <xdr:rowOff>285750</xdr:rowOff>
              </to>
            </anchor>
          </objectPr>
        </oleObject>
      </mc:Choice>
      <mc:Fallback>
        <oleObject progId="Equation.DSMT4" shapeId="56325" r:id="rId12"/>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16"/>
  <sheetViews>
    <sheetView workbookViewId="0">
      <selection activeCell="G11" sqref="G11"/>
    </sheetView>
  </sheetViews>
  <sheetFormatPr defaultColWidth="8.875" defaultRowHeight="15" x14ac:dyDescent="0.25"/>
  <cols>
    <col min="1" max="1" width="2.75" style="739" customWidth="1"/>
    <col min="2" max="2" width="15.75" style="739" bestFit="1" customWidth="1"/>
    <col min="3" max="3" width="13.125" style="739" bestFit="1" customWidth="1"/>
    <col min="4" max="4" width="16.875" style="739" hidden="1" customWidth="1"/>
    <col min="5" max="5" width="8.875" style="723" bestFit="1" customWidth="1"/>
    <col min="6" max="6" width="2.75" style="723" customWidth="1"/>
    <col min="7" max="7" width="5.75" style="723" bestFit="1" customWidth="1"/>
    <col min="8" max="16384" width="8.875" style="723"/>
  </cols>
  <sheetData>
    <row r="2" spans="2:8" x14ac:dyDescent="0.25">
      <c r="B2" s="1237" t="s">
        <v>170</v>
      </c>
      <c r="C2" s="1238"/>
      <c r="D2" s="1238"/>
      <c r="E2" s="1239"/>
      <c r="F2" s="722"/>
    </row>
    <row r="3" spans="2:8" x14ac:dyDescent="0.25">
      <c r="B3" s="724" t="s">
        <v>171</v>
      </c>
      <c r="C3" s="725" t="s">
        <v>172</v>
      </c>
      <c r="D3" s="725"/>
      <c r="E3" s="744"/>
      <c r="F3" s="722"/>
    </row>
    <row r="4" spans="2:8" x14ac:dyDescent="0.25">
      <c r="B4" s="732" t="s">
        <v>173</v>
      </c>
      <c r="C4" s="726" t="s">
        <v>174</v>
      </c>
      <c r="D4" s="726" t="str">
        <f>B4&amp;C4</f>
        <v>tpoYes</v>
      </c>
      <c r="E4" s="727">
        <v>0.45</v>
      </c>
      <c r="F4" s="722"/>
      <c r="G4" s="728" t="s">
        <v>154</v>
      </c>
      <c r="H4" s="729" t="s">
        <v>175</v>
      </c>
    </row>
    <row r="5" spans="2:8" x14ac:dyDescent="0.25">
      <c r="B5" s="732" t="s">
        <v>173</v>
      </c>
      <c r="C5" s="726" t="s">
        <v>176</v>
      </c>
      <c r="D5" s="726" t="str">
        <f t="shared" ref="D5:D16" si="0">B5&amp;C5</f>
        <v>tpoNo</v>
      </c>
      <c r="E5" s="730">
        <v>0.44</v>
      </c>
      <c r="F5" s="722"/>
      <c r="G5" s="731" t="s">
        <v>178</v>
      </c>
      <c r="H5" s="729" t="s">
        <v>179</v>
      </c>
    </row>
    <row r="6" spans="2:8" x14ac:dyDescent="0.25">
      <c r="B6" s="732" t="s">
        <v>177</v>
      </c>
      <c r="C6" s="726" t="s">
        <v>174</v>
      </c>
      <c r="D6" s="726" t="str">
        <f t="shared" si="0"/>
        <v>epdmYes</v>
      </c>
      <c r="E6" s="730">
        <v>0.47</v>
      </c>
      <c r="F6" s="722"/>
    </row>
    <row r="7" spans="2:8" x14ac:dyDescent="0.25">
      <c r="B7" s="732" t="s">
        <v>177</v>
      </c>
      <c r="C7" s="726" t="s">
        <v>176</v>
      </c>
      <c r="D7" s="726" t="str">
        <f t="shared" si="0"/>
        <v>epdmNo</v>
      </c>
      <c r="E7" s="730">
        <v>0.49</v>
      </c>
      <c r="F7" s="722"/>
    </row>
    <row r="8" spans="2:8" x14ac:dyDescent="0.25">
      <c r="B8" s="732" t="s">
        <v>149</v>
      </c>
      <c r="C8" s="726" t="s">
        <v>174</v>
      </c>
      <c r="D8" s="726" t="str">
        <f t="shared" si="0"/>
        <v>PVCYes</v>
      </c>
      <c r="E8" s="730">
        <v>0.67</v>
      </c>
      <c r="F8" s="722"/>
    </row>
    <row r="9" spans="2:8" x14ac:dyDescent="0.25">
      <c r="B9" s="732" t="s">
        <v>149</v>
      </c>
      <c r="C9" s="726" t="s">
        <v>176</v>
      </c>
      <c r="D9" s="726" t="str">
        <f t="shared" si="0"/>
        <v>PVCNo</v>
      </c>
      <c r="E9" s="730">
        <v>0.66</v>
      </c>
      <c r="F9" s="722"/>
    </row>
    <row r="10" spans="2:8" x14ac:dyDescent="0.25">
      <c r="B10" s="732" t="s">
        <v>150</v>
      </c>
      <c r="C10" s="726" t="s">
        <v>174</v>
      </c>
      <c r="D10" s="726" t="str">
        <f t="shared" si="0"/>
        <v>Granule CoatedYes</v>
      </c>
      <c r="E10" s="735">
        <v>0.36</v>
      </c>
      <c r="F10" s="722"/>
      <c r="H10" s="729"/>
    </row>
    <row r="11" spans="2:8" x14ac:dyDescent="0.25">
      <c r="B11" s="732" t="s">
        <v>150</v>
      </c>
      <c r="C11" s="726" t="s">
        <v>176</v>
      </c>
      <c r="D11" s="726" t="str">
        <f t="shared" si="0"/>
        <v>Granule CoatedNo</v>
      </c>
      <c r="E11" s="730">
        <v>0.36</v>
      </c>
      <c r="F11" s="733"/>
      <c r="G11" s="734"/>
      <c r="H11" s="734"/>
    </row>
    <row r="12" spans="2:8" x14ac:dyDescent="0.25">
      <c r="B12" s="732" t="s">
        <v>180</v>
      </c>
      <c r="C12" s="726" t="s">
        <v>174</v>
      </c>
      <c r="D12" s="726" t="str">
        <f t="shared" si="0"/>
        <v>gravelYes</v>
      </c>
      <c r="E12" s="735">
        <v>0.2</v>
      </c>
      <c r="F12" s="733"/>
      <c r="G12" s="734"/>
      <c r="H12" s="734"/>
    </row>
    <row r="13" spans="2:8" x14ac:dyDescent="0.25">
      <c r="B13" s="732" t="s">
        <v>180</v>
      </c>
      <c r="C13" s="726" t="s">
        <v>176</v>
      </c>
      <c r="D13" s="726" t="str">
        <f t="shared" si="0"/>
        <v>gravelNo</v>
      </c>
      <c r="E13" s="736">
        <v>0.2</v>
      </c>
      <c r="F13" s="733"/>
      <c r="G13" s="734"/>
    </row>
    <row r="14" spans="2:8" x14ac:dyDescent="0.25">
      <c r="B14" s="732" t="s">
        <v>181</v>
      </c>
      <c r="C14" s="726" t="s">
        <v>174</v>
      </c>
      <c r="D14" s="726" t="str">
        <f t="shared" si="0"/>
        <v>otherYes</v>
      </c>
      <c r="E14" s="735">
        <v>0.2</v>
      </c>
      <c r="F14" s="722"/>
      <c r="H14" s="737"/>
    </row>
    <row r="15" spans="2:8" x14ac:dyDescent="0.25">
      <c r="B15" s="740" t="s">
        <v>181</v>
      </c>
      <c r="C15" s="741" t="s">
        <v>176</v>
      </c>
      <c r="D15" s="726" t="str">
        <f t="shared" si="0"/>
        <v>otherNo</v>
      </c>
      <c r="E15" s="738">
        <v>0.2</v>
      </c>
      <c r="F15" s="722"/>
      <c r="H15" s="737"/>
    </row>
    <row r="16" spans="2:8" x14ac:dyDescent="0.25">
      <c r="B16" s="742" t="str">
        <f>'1-Eng Inputs'!B10</f>
        <v>TPO</v>
      </c>
      <c r="C16" s="743" t="str">
        <f>'1-Eng Inputs'!B37</f>
        <v>YES</v>
      </c>
      <c r="D16" s="743" t="str">
        <f t="shared" si="0"/>
        <v>TPOYES</v>
      </c>
      <c r="E16" s="745">
        <f>VLOOKUP(D16,D4:E15,2,0)</f>
        <v>0.45</v>
      </c>
      <c r="F16" s="722"/>
    </row>
  </sheetData>
  <mergeCells count="1">
    <mergeCell ref="B2:E2"/>
  </mergeCells>
  <pageMargins left="0.7" right="0.7" top="0.75" bottom="0.75" header="0.3" footer="0.3"/>
  <drawing r:id="rId1"/>
  <legacyDrawing r:id="rId2"/>
  <oleObjects>
    <mc:AlternateContent xmlns:mc="http://schemas.openxmlformats.org/markup-compatibility/2006">
      <mc:Choice Requires="x14">
        <oleObject progId="Equation.DSMT4" shapeId="68609" r:id="rId3">
          <objectPr defaultSize="0" autoPict="0" r:id="rId4">
            <anchor moveWithCells="1">
              <from>
                <xdr:col>4</xdr:col>
                <xdr:colOff>247650</xdr:colOff>
                <xdr:row>1</xdr:row>
                <xdr:rowOff>171450</xdr:rowOff>
              </from>
              <to>
                <xdr:col>4</xdr:col>
                <xdr:colOff>400050</xdr:colOff>
                <xdr:row>2</xdr:row>
                <xdr:rowOff>171450</xdr:rowOff>
              </to>
            </anchor>
          </objectPr>
        </oleObject>
      </mc:Choice>
      <mc:Fallback>
        <oleObject progId="Equation.DSMT4" shapeId="68609" r:id="rId3"/>
      </mc:Fallback>
    </mc:AlternateContent>
  </oleObjects>
</worksheet>
</file>

<file path=xl/worksheets/sheet9.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Tabelle4">
    <x:tabColor rgb="FF0070C0"/>
    <x:pageSetUpPr fitToPage="1"/>
  </x:sheetPr>
  <x:dimension ref="A1:EF228"/>
  <x:sheetViews>
    <x:sheetView showGridLines="0" topLeftCell="AA43" zoomScale="70" zoomScaleNormal="70" zoomScaleSheetLayoutView="80" workbookViewId="0">
      <x:selection activeCell="CA86" sqref="BZ86:CA86"/>
    </x:sheetView>
  </x:sheetViews>
  <x:sheetFormatPr defaultColWidth="9.125" defaultRowHeight="12.75" x14ac:dyDescent="0.2"/>
  <x:cols>
    <x:col min="1" max="1" width="8.75" style="1" customWidth="1"/>
    <x:col min="2" max="2" width="43.125" style="1" customWidth="1"/>
    <x:col min="3" max="13" width="20.625" style="1" customWidth="1"/>
    <x:col min="14" max="25" width="20.625" style="1" hidden="1" customWidth="1"/>
    <x:col min="26" max="27" width="20.625" style="1" customWidth="1"/>
    <x:col min="28" max="28" width="2.875" style="1" customWidth="1"/>
    <x:col min="29" max="29" width="15" style="1" customWidth="1"/>
    <x:col min="30" max="32" width="2.625" style="1" customWidth="1"/>
    <x:col min="33" max="77" width="2.875" style="1" customWidth="1"/>
    <x:col min="78" max="79" width="2.625" style="1" customWidth="1"/>
    <x:col min="80" max="82" width="7.125" style="1" customWidth="1"/>
    <x:col min="83" max="83" width="15" style="1" customWidth="1"/>
    <x:col min="84" max="86" width="2.625" style="1" customWidth="1"/>
    <x:col min="87" max="131" width="2.875" style="1" customWidth="1"/>
    <x:col min="132" max="133" width="2.625" style="1" customWidth="1"/>
    <x:col min="134" max="136" width="7.125" style="1" customWidth="1"/>
    <x:col min="137" max="16384" width="9.125" style="1"/>
  </x:cols>
  <x:sheetData>
    <x:row r="1" spans="2:135" ht="13.5" thickBot="1" x14ac:dyDescent="0.25"/>
    <x:row r="2" spans="2:135" ht="18" x14ac:dyDescent="0.25">
      <x:c r="B2" s="2" t="str">
        <x:f>'building data'!B2</x:f>
        <x:v>Ecolibrium Solar, Inc.</x:v>
      </x:c>
      <x:c r="C2" s="3"/>
      <x:c r="D2" s="4"/>
      <x:c r="E2" s="4"/>
      <x:c r="F2" s="4"/>
      <x:c r="G2" s="5"/>
      <x:c r="H2" s="116" t="s">
        <x:v>315</x:v>
      </x:c>
      <x:c r="I2" s="982"/>
      <x:c r="J2" s="4"/>
      <x:c r="K2" s="4"/>
      <x:c r="L2" s="4"/>
      <x:c r="M2" s="4"/>
      <x:c r="N2" s="4"/>
      <x:c r="O2" s="4"/>
      <x:c r="P2" s="4"/>
      <x:c r="Q2" s="4"/>
      <x:c r="R2" s="4"/>
      <x:c r="S2" s="4"/>
      <x:c r="T2" s="4"/>
      <x:c r="U2" s="4"/>
      <x:c r="V2" s="4"/>
      <x:c r="W2" s="4"/>
      <x:c r="X2" s="4"/>
      <x:c r="Y2" s="4"/>
      <x:c r="Z2" s="4"/>
      <x:c r="AA2" s="4"/>
      <x:c r="AB2" s="6"/>
      <x:c r="AC2" s="3"/>
      <x:c r="AD2" s="4"/>
      <x:c r="AE2" s="4"/>
      <x:c r="AF2" s="4"/>
      <x:c r="AG2" s="4"/>
      <x:c r="AH2" s="4"/>
      <x:c r="AI2" s="4"/>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c r="DV2" s="4"/>
      <x:c r="DW2" s="4"/>
      <x:c r="DX2" s="4"/>
      <x:c r="DY2" s="4"/>
      <x:c r="DZ2" s="4"/>
      <x:c r="EA2" s="4"/>
      <x:c r="EB2" s="4"/>
      <x:c r="EC2" s="4"/>
      <x:c r="ED2" s="4"/>
      <x:c r="EE2" s="7"/>
    </x:row>
    <x:row r="3" spans="2:135" ht="18" x14ac:dyDescent="0.25">
      <x:c r="B3" s="8" t="str">
        <x:f>'building data'!B3</x:f>
        <x:v>Solar ballasted roof mount system EcoFoot 3</x:v>
      </x:c>
      <x:c r="C3" s="9"/>
      <x:c r="D3" s="10"/>
      <x:c r="E3" s="10"/>
      <x:c r="F3" s="10"/>
      <x:c r="G3" s="26"/>
      <x:c r="H3" s="117" t="s">
        <x:v>317</x:v>
      </x:c>
      <x:c r="J3" s="10"/>
      <x:c r="K3" s="10"/>
      <x:c r="L3" s="10"/>
      <x:c r="M3" s="10"/>
      <x:c r="N3" s="10"/>
      <x:c r="O3" s="10"/>
      <x:c r="P3" s="10"/>
      <x:c r="Q3" s="10"/>
      <x:c r="R3" s="10"/>
      <x:c r="S3" s="10"/>
      <x:c r="T3" s="10"/>
      <x:c r="U3" s="10"/>
      <x:c r="V3" s="10"/>
      <x:c r="W3" s="10"/>
      <x:c r="X3" s="10"/>
      <x:c r="Y3" s="10"/>
      <x:c r="Z3" s="10"/>
      <x:c r="AA3" s="10"/>
      <x:c r="AB3" s="11"/>
      <x:c r="AC3" s="12"/>
      <x:c r="AD3" s="10"/>
      <x:c r="AE3" s="10"/>
      <x:c r="AF3" s="10"/>
      <x:c r="AG3" s="10"/>
      <x:c r="AH3" s="10"/>
      <x:c r="AI3" s="10"/>
      <x:c r="AJ3" s="10"/>
      <x:c r="AK3" s="10"/>
      <x:c r="AL3" s="10"/>
      <x:c r="AM3" s="10"/>
      <x:c r="AN3" s="10"/>
      <x:c r="AO3" s="10"/>
      <x:c r="AP3" s="10"/>
      <x:c r="AQ3" s="10"/>
      <x:c r="AR3" s="10"/>
      <x:c r="AS3" s="10"/>
      <x:c r="AT3" s="10"/>
      <x:c r="AU3" s="10"/>
      <x:c r="AV3" s="10"/>
      <x:c r="AW3" s="10"/>
      <x:c r="AX3" s="10"/>
      <x:c r="AY3" s="10"/>
      <x:c r="AZ3" s="10"/>
      <x:c r="BA3" s="10"/>
      <x:c r="BB3" s="10"/>
      <x:c r="BC3" s="10"/>
      <x:c r="BD3" s="10"/>
      <x:c r="BE3" s="10"/>
      <x:c r="BF3" s="10"/>
      <x:c r="BG3" s="10"/>
      <x:c r="BH3" s="10"/>
      <x:c r="BI3" s="10"/>
      <x:c r="BJ3" s="10"/>
      <x:c r="BK3" s="10"/>
      <x:c r="BL3" s="10"/>
      <x:c r="BM3" s="10"/>
      <x:c r="BN3" s="10"/>
      <x:c r="BO3" s="10"/>
      <x:c r="BP3" s="10"/>
      <x:c r="BQ3" s="10"/>
      <x:c r="BR3" s="10"/>
      <x:c r="BS3" s="10"/>
      <x:c r="BT3" s="10"/>
      <x:c r="BU3" s="10"/>
      <x:c r="BV3" s="10"/>
      <x:c r="BW3" s="10"/>
      <x:c r="BX3" s="10"/>
      <x:c r="BY3" s="10"/>
      <x:c r="BZ3" s="10"/>
      <x:c r="CA3" s="10"/>
      <x:c r="CB3" s="10"/>
      <x:c r="CC3" s="10"/>
      <x:c r="CD3" s="10"/>
      <x:c r="CE3" s="10"/>
      <x:c r="CF3" s="10"/>
      <x:c r="CG3" s="10"/>
      <x:c r="CH3" s="10"/>
      <x:c r="CI3" s="10"/>
      <x:c r="CJ3" s="10"/>
      <x:c r="CK3" s="10"/>
      <x:c r="CL3" s="10"/>
      <x:c r="CM3" s="10"/>
      <x:c r="CN3" s="10"/>
      <x:c r="CO3" s="10"/>
      <x:c r="CP3" s="10"/>
      <x:c r="CQ3" s="10"/>
      <x:c r="CR3" s="10"/>
      <x:c r="CS3" s="10"/>
      <x:c r="CT3" s="10"/>
      <x:c r="CU3" s="10"/>
      <x:c r="CV3" s="10"/>
      <x:c r="CW3" s="10"/>
      <x:c r="CX3" s="10"/>
      <x:c r="CY3" s="10"/>
      <x:c r="CZ3" s="10"/>
      <x:c r="DA3" s="10"/>
      <x:c r="DB3" s="10"/>
      <x:c r="DC3" s="10"/>
      <x:c r="DD3" s="10"/>
      <x:c r="DE3" s="10"/>
      <x:c r="DF3" s="10"/>
      <x:c r="DG3" s="10"/>
      <x:c r="DH3" s="10"/>
      <x:c r="DI3" s="10"/>
      <x:c r="DJ3" s="10"/>
      <x:c r="DK3" s="10"/>
      <x:c r="DL3" s="10"/>
      <x:c r="DM3" s="10"/>
      <x:c r="DN3" s="10"/>
      <x:c r="DO3" s="10"/>
      <x:c r="DP3" s="10"/>
      <x:c r="DQ3" s="10"/>
      <x:c r="DR3" s="10"/>
      <x:c r="DS3" s="10"/>
      <x:c r="DT3" s="10"/>
      <x:c r="DU3" s="10"/>
      <x:c r="DV3" s="10"/>
      <x:c r="DW3" s="10"/>
      <x:c r="DX3" s="10"/>
      <x:c r="DY3" s="10"/>
      <x:c r="DZ3" s="10"/>
      <x:c r="EA3" s="10"/>
      <x:c r="EB3" s="10"/>
      <x:c r="EC3" s="10"/>
      <x:c r="ED3" s="10"/>
      <x:c r="EE3" s="13"/>
    </x:row>
    <x:row r="4" spans="2:135" ht="18" customHeight="1" x14ac:dyDescent="0.25">
      <x:c r="B4" s="8" t="s">
        <x:v>398</x:v>
      </x:c>
      <x:c r="C4" s="10"/>
      <x:c r="D4" s="10"/>
      <x:c r="E4" s="10"/>
      <x:c r="F4" s="10"/>
      <x:c r="G4" s="10"/>
      <x:c r="H4" s="10"/>
      <x:c r="I4" s="10"/>
      <x:c r="J4" s="10"/>
      <x:c r="K4" s="10"/>
      <x:c r="L4" s="10"/>
      <x:c r="M4" s="10"/>
      <x:c r="N4" s="10"/>
      <x:c r="O4" s="10"/>
      <x:c r="P4" s="10"/>
      <x:c r="Q4" s="10"/>
      <x:c r="R4" s="10"/>
      <x:c r="S4" s="10"/>
      <x:c r="T4" s="10"/>
      <x:c r="U4" s="10"/>
      <x:c r="V4" s="10"/>
      <x:c r="W4" s="10"/>
      <x:c r="X4" s="10"/>
      <x:c r="Y4" s="10"/>
      <x:c r="Z4" s="10"/>
      <x:c r="AA4" s="10"/>
      <x:c r="AB4" s="12"/>
      <x:c r="AC4" s="10"/>
      <x:c r="AD4" s="10"/>
      <x:c r="AE4" s="10"/>
      <x:c r="AF4" s="10"/>
      <x:c r="AG4" s="27"/>
      <x:c r="AH4" s="27"/>
      <x:c r="AI4" s="27"/>
      <x:c r="AJ4" s="27"/>
      <x:c r="AK4" s="27"/>
      <x:c r="AL4" s="27"/>
      <x:c r="AM4" s="27"/>
      <x:c r="AN4" s="27"/>
      <x:c r="AO4" s="27"/>
      <x:c r="AP4" s="27"/>
      <x:c r="AQ4" s="27"/>
      <x:c r="AR4" s="27"/>
      <x:c r="AS4" s="27"/>
      <x:c r="AT4" s="27"/>
      <x:c r="AU4" s="27"/>
      <x:c r="AV4" s="27"/>
      <x:c r="AW4" s="27"/>
      <x:c r="AX4" s="27"/>
      <x:c r="AY4" s="27"/>
      <x:c r="AZ4" s="27"/>
      <x:c r="BA4" s="27"/>
      <x:c r="BB4" s="27"/>
      <x:c r="BC4" s="27"/>
      <x:c r="BD4" s="27"/>
      <x:c r="BE4" s="27"/>
      <x:c r="BF4" s="27"/>
      <x:c r="BG4" s="27"/>
      <x:c r="BH4" s="27"/>
      <x:c r="BI4" s="27"/>
      <x:c r="BJ4" s="27"/>
      <x:c r="BK4" s="27"/>
      <x:c r="BL4" s="27"/>
      <x:c r="BM4" s="27"/>
      <x:c r="BN4" s="27"/>
      <x:c r="BO4" s="27"/>
      <x:c r="BP4" s="10"/>
      <x:c r="BQ4" s="10"/>
      <x:c r="BR4" s="10"/>
      <x:c r="BS4" s="10"/>
      <x:c r="BT4" s="10"/>
      <x:c r="BU4" s="10"/>
      <x:c r="BV4" s="10"/>
      <x:c r="BW4" s="10"/>
      <x:c r="BX4" s="10"/>
      <x:c r="BY4" s="10"/>
      <x:c r="BZ4" s="10"/>
      <x:c r="CA4" s="10"/>
      <x:c r="CB4" s="10"/>
      <x:c r="CC4" s="10"/>
      <x:c r="CD4" s="10"/>
      <x:c r="CE4" s="10"/>
      <x:c r="CF4" s="10"/>
      <x:c r="CG4" s="10"/>
      <x:c r="CH4" s="10"/>
      <x:c r="CI4" s="10"/>
      <x:c r="CJ4" s="10"/>
      <x:c r="CK4" s="10"/>
      <x:c r="CL4" s="10"/>
      <x:c r="CM4" s="10"/>
      <x:c r="CN4" s="10"/>
      <x:c r="CO4" s="10"/>
      <x:c r="CP4" s="10"/>
      <x:c r="CQ4" s="10"/>
      <x:c r="CR4" s="10"/>
      <x:c r="CS4" s="10"/>
      <x:c r="CT4" s="10"/>
      <x:c r="CU4" s="10"/>
      <x:c r="CV4" s="10"/>
      <x:c r="CW4" s="10"/>
      <x:c r="CX4" s="10"/>
      <x:c r="CY4" s="10"/>
      <x:c r="CZ4" s="10"/>
      <x:c r="DA4" s="10"/>
      <x:c r="DB4" s="10"/>
      <x:c r="DC4" s="10"/>
      <x:c r="DD4" s="10"/>
      <x:c r="DE4" s="10"/>
      <x:c r="DF4" s="10"/>
      <x:c r="DG4" s="10"/>
      <x:c r="DH4" s="10"/>
      <x:c r="DI4" s="10"/>
      <x:c r="DJ4" s="10"/>
      <x:c r="DK4" s="10"/>
      <x:c r="DL4" s="10"/>
      <x:c r="DM4" s="10"/>
      <x:c r="DN4" s="10"/>
      <x:c r="DO4" s="10"/>
      <x:c r="DP4" s="10"/>
      <x:c r="DQ4" s="10"/>
      <x:c r="DR4" s="10"/>
      <x:c r="DS4" s="10"/>
      <x:c r="DT4" s="10"/>
      <x:c r="DU4" s="10"/>
      <x:c r="DV4" s="10"/>
      <x:c r="DW4" s="10"/>
      <x:c r="DX4" s="10"/>
      <x:c r="DY4" s="10"/>
      <x:c r="DZ4" s="10"/>
      <x:c r="EA4" s="10"/>
      <x:c r="EB4" s="10"/>
      <x:c r="EC4" s="10"/>
      <x:c r="ED4" s="10"/>
      <x:c r="EE4" s="13"/>
    </x:row>
    <x:row r="5" spans="2:135" ht="16.5" thickBot="1" x14ac:dyDescent="0.3">
      <x:c r="B5" s="999"/>
      <x:c r="C5" s="1000"/>
      <x:c r="D5" s="1000"/>
      <x:c r="E5" s="1000"/>
      <x:c r="F5" s="1000"/>
      <x:c r="G5" s="1000"/>
      <x:c r="H5" s="1000"/>
      <x:c r="I5" s="949" t="s">
        <x:v>308</x:v>
      </x:c>
      <x:c r="J5" s="1000"/>
      <x:c r="K5" s="1000"/>
      <x:c r="L5" s="1000"/>
      <x:c r="M5" s="1000"/>
      <x:c r="N5" s="1000"/>
      <x:c r="O5" s="1000"/>
      <x:c r="P5" s="1000"/>
      <x:c r="Q5" s="1000"/>
      <x:c r="R5" s="1000"/>
      <x:c r="S5" s="1000"/>
      <x:c r="T5" s="1000"/>
      <x:c r="U5" s="1000"/>
      <x:c r="V5" s="1000"/>
      <x:c r="W5" s="1000"/>
      <x:c r="X5" s="1000"/>
      <x:c r="Y5" s="1000"/>
      <x:c r="Z5" s="1000"/>
      <x:c r="AA5" s="1000"/>
      <x:c r="AB5" s="1000"/>
      <x:c r="AC5" s="1000"/>
      <x:c r="AD5" s="1000"/>
      <x:c r="AE5" s="1000"/>
      <x:c r="AF5" s="1000"/>
      <x:c r="AG5" s="1000"/>
      <x:c r="AH5" s="1000"/>
      <x:c r="AI5" s="1000"/>
      <x:c r="AJ5" s="1000"/>
      <x:c r="AK5" s="1000"/>
      <x:c r="AL5" s="1000"/>
      <x:c r="AM5" s="1000"/>
      <x:c r="AN5" s="1000"/>
      <x:c r="AO5" s="1000"/>
      <x:c r="AP5" s="1000"/>
      <x:c r="AQ5" s="1000"/>
      <x:c r="AR5" s="1000"/>
      <x:c r="AS5" s="1000"/>
      <x:c r="AT5" s="1000"/>
      <x:c r="AU5" s="1000"/>
      <x:c r="AV5" s="1000"/>
      <x:c r="AW5" s="1000"/>
      <x:c r="AX5" s="1000"/>
      <x:c r="AY5" s="1000"/>
      <x:c r="AZ5" s="1000"/>
      <x:c r="BA5" s="1000"/>
      <x:c r="BB5" s="1000"/>
      <x:c r="BC5" s="1000"/>
      <x:c r="BD5" s="1000"/>
      <x:c r="BE5" s="1000"/>
      <x:c r="BF5" s="1000"/>
      <x:c r="BG5" s="1000"/>
      <x:c r="BH5" s="1000"/>
      <x:c r="BI5" s="1000"/>
      <x:c r="BJ5" s="1000"/>
      <x:c r="BK5" s="1000"/>
      <x:c r="BL5" s="1000"/>
      <x:c r="BM5" s="1000"/>
      <x:c r="BN5" s="1000"/>
      <x:c r="BO5" s="1000"/>
      <x:c r="BP5" s="1000"/>
      <x:c r="BQ5" s="1000"/>
      <x:c r="BR5" s="1000"/>
      <x:c r="BS5" s="1000"/>
      <x:c r="BT5" s="1000"/>
      <x:c r="BU5" s="1000"/>
      <x:c r="BV5" s="1000"/>
      <x:c r="BW5" s="1000"/>
      <x:c r="BX5" s="1000"/>
      <x:c r="BY5" s="1000"/>
      <x:c r="BZ5" s="1000"/>
      <x:c r="CA5" s="1000"/>
      <x:c r="CB5" s="1000"/>
      <x:c r="CC5" s="587"/>
      <x:c r="CD5" s="587"/>
      <x:c r="CE5" s="587"/>
      <x:c r="CF5" s="587"/>
      <x:c r="CG5" s="587"/>
      <x:c r="CH5" s="587"/>
      <x:c r="CI5" s="587"/>
      <x:c r="CJ5" s="587"/>
      <x:c r="CK5" s="587"/>
      <x:c r="CL5" s="587"/>
      <x:c r="CM5" s="587"/>
      <x:c r="CN5" s="587"/>
      <x:c r="CO5" s="587"/>
      <x:c r="CP5" s="587"/>
      <x:c r="CQ5" s="587"/>
      <x:c r="CR5" s="587"/>
      <x:c r="CS5" s="587"/>
      <x:c r="CT5" s="587"/>
      <x:c r="CU5" s="587"/>
      <x:c r="CV5" s="587"/>
      <x:c r="CW5" s="587"/>
      <x:c r="CX5" s="587"/>
      <x:c r="CY5" s="587"/>
      <x:c r="CZ5" s="587"/>
      <x:c r="DA5" s="587"/>
      <x:c r="DB5" s="587"/>
      <x:c r="DC5" s="587"/>
      <x:c r="DD5" s="587"/>
      <x:c r="DE5" s="587"/>
      <x:c r="DF5" s="587"/>
      <x:c r="DG5" s="587"/>
      <x:c r="DH5" s="587"/>
      <x:c r="DI5" s="587"/>
      <x:c r="DJ5" s="587"/>
      <x:c r="DK5" s="587"/>
      <x:c r="DL5" s="587"/>
      <x:c r="DM5" s="587"/>
      <x:c r="DN5" s="587"/>
      <x:c r="DO5" s="587"/>
      <x:c r="DP5" s="587"/>
      <x:c r="DQ5" s="587"/>
      <x:c r="DR5" s="587"/>
      <x:c r="DS5" s="587"/>
      <x:c r="DT5" s="587"/>
      <x:c r="DU5" s="587"/>
      <x:c r="DV5" s="587"/>
      <x:c r="DW5" s="587"/>
      <x:c r="DX5" s="587"/>
      <x:c r="DY5" s="587"/>
      <x:c r="DZ5" s="587"/>
      <x:c r="EA5" s="587"/>
      <x:c r="EB5" s="587"/>
      <x:c r="EC5" s="587"/>
      <x:c r="ED5" s="587"/>
      <x:c r="EE5" s="588"/>
    </x:row>
    <x:row r="6" spans="2:135" ht="13.5" customHeight="1" x14ac:dyDescent="0.2">
      <x:c r="B6" s="28"/>
      <x:c r="C6" s="28"/>
      <x:c r="AG6" s="19"/>
      <x:c r="AH6" s="19"/>
      <x:c r="AI6" s="232"/>
      <x:c r="AJ6" s="232"/>
      <x:c r="AK6" s="232"/>
      <x:c r="AL6" s="19"/>
      <x:c r="AM6" s="19"/>
      <x:c r="AN6" s="19"/>
    </x:row>
    <x:row r="7" spans="2:135" ht="13.5" customHeight="1" x14ac:dyDescent="0.2">
      <x:c r="B7" s="28"/>
      <x:c r="C7" s="28"/>
      <x:c r="AG7" s="19"/>
      <x:c r="AH7" s="19"/>
      <x:c r="AI7" s="201"/>
      <x:c r="AJ7" s="201"/>
      <x:c r="AK7" s="201"/>
      <x:c r="AL7" s="19"/>
      <x:c r="AM7" s="19"/>
      <x:c r="AN7" s="19"/>
    </x:row>
    <x:row r="8" spans="2:135" ht="13.5" customHeight="1" thickBot="1" x14ac:dyDescent="0.25">
      <x:c r="B8" s="14" t="s">
        <x:v>314</x:v>
      </x:c>
      <x:c r="AG8" s="19"/>
      <x:c r="AH8" s="19"/>
      <x:c r="AI8" s="29"/>
      <x:c r="AJ8" s="19"/>
      <x:c r="AK8" s="150"/>
      <x:c r="AL8" s="19"/>
      <x:c r="AM8" s="19"/>
      <x:c r="AN8" s="19"/>
    </x:row>
    <x:row r="9" spans="2:135" ht="13.5" customHeight="1" x14ac:dyDescent="0.2">
      <x:c r="B9" s="15" t="s">
        <x:v>310</x:v>
      </x:c>
      <x:c r="C9" s="1434" t="str">
        <x:f>'building data'!C9</x:f>
        <x:v>807 E Main</x:v>
      </x:c>
      <x:c r="D9" s="1435"/>
      <x:c r="E9" s="30" t="s">
        <x:v>319</x:v>
      </x:c>
      <x:c r="F9" s="1413" t="str">
        <x:f>'building data'!H9</x:f>
        <x:v>English</x:v>
      </x:c>
      <x:c r="G9" s="1414"/>
      <x:c r="H9" s="21"/>
      <x:c r="I9" s="21"/>
      <x:c r="J9" s="37"/>
      <x:c r="K9" s="230"/>
      <x:c r="L9" s="230"/>
      <x:c r="M9" s="230"/>
      <x:c r="N9" s="230"/>
      <x:c r="O9" s="230"/>
      <x:c r="P9" s="230"/>
      <x:c r="Q9" s="230"/>
      <x:c r="R9" s="230"/>
      <x:c r="S9" s="230"/>
      <x:c r="T9" s="230"/>
      <x:c r="U9" s="230"/>
      <x:c r="V9" s="230"/>
      <x:c r="W9" s="230"/>
      <x:c r="X9" s="230"/>
      <x:c r="Y9" s="230"/>
      <x:c r="Z9" s="230"/>
      <x:c r="AA9" s="230"/>
      <x:c r="AF9" s="19"/>
      <x:c r="AG9" s="19"/>
      <x:c r="AH9" s="29"/>
      <x:c r="AI9" s="19"/>
      <x:c r="AJ9" s="150"/>
      <x:c r="AK9" s="19"/>
      <x:c r="AL9" s="19"/>
      <x:c r="AM9" s="19"/>
    </x:row>
    <x:row r="10" spans="2:135" ht="13.5" customHeight="1" x14ac:dyDescent="0.2">
      <x:c r="B10" s="16" t="s">
        <x:v>311</x:v>
      </x:c>
      <x:c r="C10" s="31">
        <x:f>'building data'!C10</x:f>
        <x:v>27332</x:v>
      </x:c>
      <x:c r="D10" s="32"/>
      <x:c r="E10" s="33" t="s">
        <x:v>320</x:v>
      </x:c>
      <x:c r="F10" s="1415" t="str">
        <x:f>'building data'!H10</x:f>
        <x:v>807 E Main St</x:v>
      </x:c>
      <x:c r="G10" s="1416"/>
      <x:c r="H10" s="21"/>
      <x:c r="I10" s="21"/>
      <x:c r="J10" s="23"/>
      <x:c r="K10" s="230"/>
      <x:c r="L10" s="230"/>
      <x:c r="M10" s="230"/>
      <x:c r="N10" s="230"/>
      <x:c r="O10" s="230"/>
      <x:c r="P10" s="230"/>
      <x:c r="Q10" s="230"/>
      <x:c r="R10" s="230"/>
      <x:c r="S10" s="230"/>
      <x:c r="T10" s="230"/>
      <x:c r="U10" s="230"/>
      <x:c r="V10" s="230"/>
      <x:c r="W10" s="230"/>
      <x:c r="X10" s="230"/>
      <x:c r="Y10" s="230"/>
      <x:c r="Z10" s="230"/>
      <x:c r="AA10" s="230"/>
      <x:c r="AF10" s="19"/>
      <x:c r="AG10" s="19"/>
      <x:c r="AH10" s="29"/>
      <x:c r="AI10" s="19"/>
      <x:c r="AJ10" s="150"/>
      <x:c r="AK10" s="19"/>
      <x:c r="AL10" s="19"/>
      <x:c r="AM10" s="19"/>
    </x:row>
    <x:row r="11" spans="2:135" ht="13.5" customHeight="1" x14ac:dyDescent="0.2">
      <x:c r="B11" s="16" t="s">
        <x:v>312</x:v>
      </x:c>
      <x:c r="C11" s="31" t="str">
        <x:f>'building data'!C11</x:f>
        <x:v>Ted Bleecker</x:v>
      </x:c>
      <x:c r="D11" s="32"/>
      <x:c r="E11" s="33" t="s">
        <x:v>321</x:v>
      </x:c>
      <x:c r="F11" s="1415" t="str">
        <x:f>'building data'!H11</x:f>
        <x:v>USA</x:v>
      </x:c>
      <x:c r="G11" s="1416"/>
      <x:c r="H11" s="21"/>
      <x:c r="I11" s="21"/>
      <x:c r="J11" s="18"/>
      <x:c r="K11" s="230"/>
      <x:c r="L11" s="230"/>
      <x:c r="M11" s="230"/>
      <x:c r="N11" s="230"/>
      <x:c r="O11" s="230"/>
      <x:c r="P11" s="230"/>
      <x:c r="Q11" s="230"/>
      <x:c r="R11" s="230"/>
      <x:c r="S11" s="230"/>
      <x:c r="T11" s="230"/>
      <x:c r="U11" s="230"/>
      <x:c r="V11" s="230"/>
      <x:c r="W11" s="230"/>
      <x:c r="X11" s="230"/>
      <x:c r="Y11" s="230"/>
      <x:c r="Z11" s="230"/>
      <x:c r="AA11" s="230"/>
      <x:c r="AF11" s="19"/>
      <x:c r="AG11" s="19"/>
      <x:c r="AH11" s="29"/>
      <x:c r="AI11" s="19"/>
      <x:c r="AJ11" s="19"/>
      <x:c r="AK11" s="19"/>
      <x:c r="AL11" s="19"/>
      <x:c r="AM11" s="19"/>
    </x:row>
    <x:row r="12" spans="2:135" ht="13.5" customHeight="1" thickBot="1" x14ac:dyDescent="0.25">
      <x:c r="B12" s="17" t="s">
        <x:v>313</x:v>
      </x:c>
      <x:c r="C12" s="34">
        <x:f ca="1">'building data'!C12</x:f>
        <x:v>42655</x:v>
      </x:c>
      <x:c r="D12" s="35"/>
      <x:c r="E12" s="36" t="s">
        <x:v>322</x:v>
      </x:c>
      <x:c r="F12" s="1417" t="str">
        <x:f>'building data'!H12</x:f>
        <x:v>ASCE/SEI 7-10</x:v>
      </x:c>
      <x:c r="G12" s="1418"/>
      <x:c r="H12" s="21"/>
      <x:c r="I12" s="970"/>
      <x:c r="J12" s="18"/>
      <x:c r="K12" s="230"/>
      <x:c r="L12" s="230"/>
      <x:c r="M12" s="230"/>
      <x:c r="N12" s="230"/>
      <x:c r="O12" s="230"/>
      <x:c r="P12" s="230"/>
      <x:c r="Q12" s="230"/>
      <x:c r="R12" s="230"/>
      <x:c r="S12" s="230"/>
      <x:c r="T12" s="230"/>
      <x:c r="U12" s="230"/>
      <x:c r="V12" s="230"/>
      <x:c r="W12" s="230"/>
      <x:c r="X12" s="230"/>
      <x:c r="Y12" s="230"/>
      <x:c r="Z12" s="230"/>
      <x:c r="AA12" s="230"/>
      <x:c r="AF12" s="19"/>
      <x:c r="AG12" s="19"/>
      <x:c r="AH12" s="29"/>
      <x:c r="AI12" s="19"/>
      <x:c r="AJ12" s="19"/>
      <x:c r="AK12" s="19"/>
      <x:c r="AL12" s="19"/>
      <x:c r="AM12" s="19"/>
    </x:row>
    <x:row r="13" spans="2:135" ht="13.5" customHeight="1" x14ac:dyDescent="0.2">
      <x:c r="B13" s="14"/>
      <x:c r="C13" s="19"/>
      <x:c r="D13" s="19"/>
      <x:c r="E13" s="19"/>
      <x:c r="F13" s="19"/>
      <x:c r="K13" s="114"/>
      <x:c r="L13" s="114"/>
      <x:c r="M13" s="114"/>
      <x:c r="N13" s="114"/>
      <x:c r="O13" s="114"/>
      <x:c r="P13" s="114"/>
      <x:c r="Q13" s="114"/>
      <x:c r="R13" s="114"/>
      <x:c r="S13" s="114"/>
      <x:c r="T13" s="114"/>
      <x:c r="U13" s="114"/>
      <x:c r="V13" s="114"/>
      <x:c r="W13" s="114"/>
      <x:c r="X13" s="114"/>
      <x:c r="Y13" s="114"/>
      <x:c r="Z13" s="114"/>
      <x:c r="AA13" s="114"/>
      <x:c r="AB13" s="37"/>
      <x:c r="AC13" s="38"/>
      <x:c r="AD13" s="38"/>
      <x:c r="AF13" s="19"/>
      <x:c r="AG13" s="19"/>
      <x:c r="AH13" s="19"/>
      <x:c r="AI13" s="29"/>
      <x:c r="AJ13" s="19"/>
      <x:c r="AK13" s="150"/>
    </x:row>
    <x:row r="14" spans="2:135" ht="13.5" customHeight="1" x14ac:dyDescent="0.2">
      <x:c r="B14" s="14"/>
      <x:c r="C14" s="19"/>
      <x:c r="D14" s="19"/>
      <x:c r="E14" s="19"/>
      <x:c r="F14" s="19"/>
      <x:c r="G14" s="19"/>
      <x:c r="H14" s="19"/>
      <x:c r="I14" s="19"/>
      <x:c r="J14" s="19"/>
      <x:c r="K14" s="19"/>
      <x:c r="L14" s="19"/>
      <x:c r="M14" s="19"/>
      <x:c r="N14" s="19"/>
      <x:c r="O14" s="19"/>
      <x:c r="P14" s="19"/>
      <x:c r="Q14" s="19"/>
      <x:c r="R14" s="19"/>
      <x:c r="S14" s="19"/>
      <x:c r="T14" s="19"/>
      <x:c r="U14" s="19"/>
      <x:c r="V14" s="19"/>
      <x:c r="W14" s="19"/>
      <x:c r="X14" s="19"/>
      <x:c r="Y14" s="19"/>
      <x:c r="Z14" s="19"/>
      <x:c r="AA14" s="19"/>
      <x:c r="AB14" s="37"/>
      <x:c r="AC14" s="38"/>
      <x:c r="AD14" s="38"/>
      <x:c r="AF14" s="19"/>
      <x:c r="AG14" s="19"/>
      <x:c r="AH14" s="19"/>
      <x:c r="AI14" s="29"/>
      <x:c r="AJ14" s="19"/>
      <x:c r="AK14" s="150"/>
    </x:row>
    <x:row r="15" spans="2:135" ht="18.75" customHeight="1" thickBot="1" x14ac:dyDescent="0.25">
      <x:c r="B15" s="39" t="s">
        <x:v>399</x:v>
      </x:c>
      <x:c r="C15" s="178"/>
      <x:c r="D15" s="178"/>
      <x:c r="E15" s="178"/>
      <x:c r="F15" s="178"/>
      <x:c r="G15" s="178"/>
      <x:c r="H15" s="178"/>
      <x:c r="I15" s="178"/>
      <x:c r="J15" s="178"/>
      <x:c r="K15" s="178"/>
      <x:c r="L15" s="178"/>
      <x:c r="M15" s="178"/>
      <x:c r="N15" s="178"/>
      <x:c r="O15" s="178"/>
      <x:c r="P15" s="178"/>
      <x:c r="Q15" s="178"/>
      <x:c r="R15" s="178"/>
      <x:c r="S15" s="178"/>
      <x:c r="T15" s="178"/>
      <x:c r="U15" s="178"/>
      <x:c r="V15" s="178"/>
      <x:c r="W15" s="178"/>
      <x:c r="X15" s="178"/>
      <x:c r="Y15" s="178"/>
      <x:c r="Z15" s="178"/>
      <x:c r="AA15" s="178"/>
      <x:c r="AB15" s="19"/>
      <x:c r="AC15" s="19"/>
      <x:c r="AD15" s="19"/>
      <x:c r="AL15" s="40" t="s">
        <x:v>451</x:v>
      </x:c>
    </x:row>
    <x:row r="16" spans="2:135" ht="13.5" customHeight="1" thickTop="1" thickBot="1" x14ac:dyDescent="0.25">
      <x:c r="B16" s="1425" t="s">
        <x:v>400</x:v>
      </x:c>
      <x:c r="C16" s="1426"/>
      <x:c r="D16" s="1426"/>
      <x:c r="E16" s="1426"/>
      <x:c r="F16" s="1426"/>
      <x:c r="G16" s="1426"/>
      <x:c r="H16" s="1426"/>
      <x:c r="I16" s="1426"/>
      <x:c r="J16" s="1427"/>
      <x:c r="K16" s="973"/>
      <x:c r="L16" s="19"/>
      <x:c r="M16" s="19"/>
      <x:c r="N16" s="19"/>
      <x:c r="O16" s="19"/>
      <x:c r="P16" s="19"/>
      <x:c r="Q16" s="19"/>
      <x:c r="R16" s="19"/>
      <x:c r="S16" s="19"/>
      <x:c r="T16" s="19"/>
      <x:c r="U16" s="19"/>
      <x:c r="V16" s="19"/>
      <x:c r="W16" s="19"/>
      <x:c r="X16" s="19"/>
      <x:c r="Y16" s="19"/>
      <x:c r="Z16" s="19"/>
      <x:c r="AA16" s="19"/>
      <x:c r="AC16" s="19"/>
      <x:c r="AD16" s="23"/>
      <x:c r="AE16" s="18"/>
      <x:c r="AF16" s="18"/>
      <x:c r="AG16" s="18"/>
      <x:c r="AH16" s="18"/>
      <x:c r="AI16" s="18"/>
      <x:c r="AJ16" s="18"/>
      <x:c r="AK16" s="18"/>
      <x:c r="AL16" s="1556" t="s">
        <x:v>452</x:v>
      </x:c>
      <x:c r="AM16" s="1556"/>
      <x:c r="AN16" s="1556"/>
      <x:c r="AO16" s="1556"/>
      <x:c r="AP16" s="1556"/>
      <x:c r="AQ16" s="1556"/>
      <x:c r="AR16" s="1556"/>
      <x:c r="AS16" s="1556"/>
      <x:c r="AT16" s="1556"/>
      <x:c r="AU16" s="1556"/>
      <x:c r="AV16" s="1556"/>
      <x:c r="AW16" s="1556"/>
      <x:c r="AX16" s="1556"/>
      <x:c r="AY16" s="1556"/>
      <x:c r="AZ16" s="1556"/>
      <x:c r="BA16" s="1556"/>
      <x:c r="BB16" s="1556"/>
      <x:c r="BC16" s="1556"/>
      <x:c r="BD16" s="1556"/>
      <x:c r="BE16" s="1556"/>
      <x:c r="BF16" s="1556"/>
      <x:c r="BG16" s="1556"/>
      <x:c r="BH16" s="1556"/>
      <x:c r="BI16" s="1556"/>
      <x:c r="BJ16" s="1556"/>
      <x:c r="BK16" s="1556"/>
      <x:c r="BL16" s="1556"/>
      <x:c r="BM16" s="1556"/>
      <x:c r="BN16" s="1556"/>
      <x:c r="BO16" s="1556"/>
      <x:c r="BP16" s="1556"/>
      <x:c r="BQ16" s="1556"/>
      <x:c r="BR16" s="1556"/>
      <x:c r="BS16" s="1556"/>
      <x:c r="BT16" s="1556"/>
      <x:c r="BU16" s="1556"/>
      <x:c r="BV16" s="18"/>
      <x:c r="BW16" s="18"/>
      <x:c r="BX16" s="18"/>
      <x:c r="BY16" s="18"/>
    </x:row>
    <x:row r="17" spans="2:135" ht="13.5" customHeight="1" x14ac:dyDescent="0.2">
      <x:c r="B17" s="959"/>
      <x:c r="C17" s="327"/>
      <x:c r="D17" s="327"/>
      <x:c r="E17" s="327"/>
      <x:c r="F17" s="327"/>
      <x:c r="G17" s="327"/>
      <x:c r="H17" s="327"/>
      <x:c r="I17" s="327"/>
      <x:c r="J17" s="327"/>
      <x:c r="K17" s="974"/>
      <x:c r="L17" s="41"/>
      <x:c r="M17" s="41"/>
      <x:c r="N17" s="41"/>
      <x:c r="O17" s="41"/>
      <x:c r="P17" s="41"/>
      <x:c r="Q17" s="41"/>
      <x:c r="R17" s="41"/>
      <x:c r="S17" s="41"/>
      <x:c r="T17" s="41"/>
      <x:c r="U17" s="41"/>
      <x:c r="V17" s="41"/>
      <x:c r="W17" s="41"/>
      <x:c r="X17" s="41"/>
      <x:c r="Y17" s="41"/>
      <x:c r="Z17" s="41"/>
      <x:c r="AA17" s="41"/>
      <x:c r="AC17" s="19"/>
      <x:c r="AD17" s="23"/>
      <x:c r="AE17" s="18"/>
      <x:c r="AF17" s="18"/>
      <x:c r="AG17" s="18"/>
      <x:c r="AH17" s="18"/>
      <x:c r="AI17" s="18"/>
      <x:c r="AJ17" s="18"/>
      <x:c r="AK17" s="18"/>
      <x:c r="AL17" s="1556"/>
      <x:c r="AM17" s="1556"/>
      <x:c r="AN17" s="1556"/>
      <x:c r="AO17" s="1556"/>
      <x:c r="AP17" s="1556"/>
      <x:c r="AQ17" s="1556"/>
      <x:c r="AR17" s="1556"/>
      <x:c r="AS17" s="1556"/>
      <x:c r="AT17" s="1556"/>
      <x:c r="AU17" s="1556"/>
      <x:c r="AV17" s="1556"/>
      <x:c r="AW17" s="1556"/>
      <x:c r="AX17" s="1556"/>
      <x:c r="AY17" s="1556"/>
      <x:c r="AZ17" s="1556"/>
      <x:c r="BA17" s="1556"/>
      <x:c r="BB17" s="1556"/>
      <x:c r="BC17" s="1556"/>
      <x:c r="BD17" s="1556"/>
      <x:c r="BE17" s="1556"/>
      <x:c r="BF17" s="1556"/>
      <x:c r="BG17" s="1556"/>
      <x:c r="BH17" s="1556"/>
      <x:c r="BI17" s="1556"/>
      <x:c r="BJ17" s="1556"/>
      <x:c r="BK17" s="1556"/>
      <x:c r="BL17" s="1556"/>
      <x:c r="BM17" s="1556"/>
      <x:c r="BN17" s="1556"/>
      <x:c r="BO17" s="1556"/>
      <x:c r="BP17" s="1556"/>
      <x:c r="BQ17" s="1556"/>
      <x:c r="BR17" s="1556"/>
      <x:c r="BS17" s="1556"/>
      <x:c r="BT17" s="1556"/>
      <x:c r="BU17" s="1556"/>
      <x:c r="BV17" s="18"/>
      <x:c r="BW17" s="18"/>
      <x:c r="BX17" s="18"/>
      <x:c r="BY17" s="18"/>
    </x:row>
    <x:row r="18" spans="2:135" ht="13.5" customHeight="1" x14ac:dyDescent="0.2">
      <x:c r="B18" s="961" t="s">
        <x:v>401</x:v>
      </x:c>
      <x:c r="C18" s="721">
        <x:f>C21/F21</x:f>
        <x:v>10.827189451773217</x:v>
      </x:c>
      <x:c r="D18" s="43" t="s">
        <x:v>3</x:v>
      </x:c>
      <x:c r="E18" s="541" t="s">
        <x:v>403</x:v>
      </x:c>
      <x:c r="F18" s="427">
        <x:v>10</x:v>
      </x:c>
      <x:c r="G18" s="43" t="s">
        <x:v>407</x:v>
      </x:c>
      <x:c r="H18" s="541" t="s">
        <x:v>408</x:v>
      </x:c>
      <x:c r="I18" s="427">
        <x:v>62.4</x:v>
      </x:c>
      <x:c r="J18" s="971" t="s">
        <x:v>407</x:v>
      </x:c>
      <x:c r="K18" s="974"/>
      <x:c r="L18" s="41"/>
      <x:c r="M18" s="41"/>
      <x:c r="N18" s="41"/>
      <x:c r="O18" s="41"/>
      <x:c r="P18" s="41"/>
      <x:c r="Q18" s="41"/>
      <x:c r="R18" s="41"/>
      <x:c r="S18" s="41"/>
      <x:c r="T18" s="41"/>
      <x:c r="U18" s="41"/>
      <x:c r="V18" s="41"/>
      <x:c r="W18" s="41"/>
      <x:c r="X18" s="41"/>
      <x:c r="Y18" s="41"/>
      <x:c r="Z18" s="41"/>
      <x:c r="AA18" s="41"/>
      <x:c r="AC18" s="19"/>
      <x:c r="AD18" s="23"/>
      <x:c r="AE18" s="18"/>
      <x:c r="AF18" s="18"/>
      <x:c r="AG18" s="18"/>
      <x:c r="AH18" s="18"/>
      <x:c r="AI18" s="18"/>
      <x:c r="AJ18" s="18"/>
      <x:c r="AK18" s="18"/>
      <x:c r="AL18" s="1556"/>
      <x:c r="AM18" s="1556"/>
      <x:c r="AN18" s="1556"/>
      <x:c r="AO18" s="1556"/>
      <x:c r="AP18" s="1556"/>
      <x:c r="AQ18" s="1556"/>
      <x:c r="AR18" s="1556"/>
      <x:c r="AS18" s="1556"/>
      <x:c r="AT18" s="1556"/>
      <x:c r="AU18" s="1556"/>
      <x:c r="AV18" s="1556"/>
      <x:c r="AW18" s="1556"/>
      <x:c r="AX18" s="1556"/>
      <x:c r="AY18" s="1556"/>
      <x:c r="AZ18" s="1556"/>
      <x:c r="BA18" s="1556"/>
      <x:c r="BB18" s="1556"/>
      <x:c r="BC18" s="1556"/>
      <x:c r="BD18" s="1556"/>
      <x:c r="BE18" s="1556"/>
      <x:c r="BF18" s="1556"/>
      <x:c r="BG18" s="1556"/>
      <x:c r="BH18" s="1556"/>
      <x:c r="BI18" s="1556"/>
      <x:c r="BJ18" s="1556"/>
      <x:c r="BK18" s="1556"/>
      <x:c r="BL18" s="1556"/>
      <x:c r="BM18" s="1556"/>
      <x:c r="BN18" s="1556"/>
      <x:c r="BO18" s="1556"/>
      <x:c r="BP18" s="1556"/>
      <x:c r="BQ18" s="1556"/>
      <x:c r="BR18" s="1556"/>
      <x:c r="BS18" s="1556"/>
      <x:c r="BT18" s="1556"/>
      <x:c r="BU18" s="1556"/>
      <x:c r="BV18" s="18"/>
      <x:c r="BW18" s="18"/>
      <x:c r="BX18" s="18"/>
      <x:c r="BY18" s="18"/>
    </x:row>
    <x:row r="19" spans="2:135" ht="13.5" customHeight="1" x14ac:dyDescent="0.2">
      <x:c r="B19" s="961" t="s">
        <x:v>306</x:v>
      </x:c>
      <x:c r="C19" s="721">
        <x:f>C22/F21</x:f>
        <x:v>2.7820872727865171</x:v>
      </x:c>
      <x:c r="D19" s="43" t="s">
        <x:v>3</x:v>
      </x:c>
      <x:c r="E19" s="44" t="s">
        <x:v>404</x:v>
      </x:c>
      <x:c r="F19" s="721">
        <x:f>'1-Eng Inputs'!B16*0.0254</x:f>
        <x:v>1.0007599999999999</x:v>
      </x:c>
      <x:c r="G19" s="19" t="s">
        <x:v>0</x:v>
      </x:c>
      <x:c r="H19" s="44" t="s">
        <x:v>409</x:v>
      </x:c>
      <x:c r="I19" s="413">
        <x:v>0.22489999999999999</x:v>
      </x:c>
      <x:c r="J19" s="43" t="s">
        <x:v>0</x:v>
      </x:c>
      <x:c r="K19" s="974"/>
      <x:c r="L19" s="41"/>
      <x:c r="M19" s="41"/>
      <x:c r="N19" s="41"/>
      <x:c r="O19" s="41"/>
      <x:c r="P19" s="41"/>
      <x:c r="Q19" s="41"/>
      <x:c r="R19" s="41"/>
      <x:c r="S19" s="41"/>
      <x:c r="T19" s="41"/>
      <x:c r="U19" s="41"/>
      <x:c r="V19" s="41"/>
      <x:c r="W19" s="41"/>
      <x:c r="X19" s="41"/>
      <x:c r="Y19" s="41"/>
      <x:c r="Z19" s="41"/>
      <x:c r="AA19" s="41"/>
      <x:c r="AC19" s="19"/>
      <x:c r="AD19" s="23"/>
      <x:c r="AE19" s="18"/>
      <x:c r="AF19" s="18"/>
      <x:c r="AG19" s="18"/>
      <x:c r="AH19" s="18"/>
      <x:c r="AI19" s="18"/>
      <x:c r="AJ19" s="18"/>
      <x:c r="AK19" s="18"/>
      <x:c r="AL19" s="1556"/>
      <x:c r="AM19" s="1556"/>
      <x:c r="AN19" s="1556"/>
      <x:c r="AO19" s="1556"/>
      <x:c r="AP19" s="1556"/>
      <x:c r="AQ19" s="1556"/>
      <x:c r="AR19" s="1556"/>
      <x:c r="AS19" s="1556"/>
      <x:c r="AT19" s="1556"/>
      <x:c r="AU19" s="1556"/>
      <x:c r="AV19" s="1556"/>
      <x:c r="AW19" s="1556"/>
      <x:c r="AX19" s="1556"/>
      <x:c r="AY19" s="1556"/>
      <x:c r="AZ19" s="1556"/>
      <x:c r="BA19" s="1556"/>
      <x:c r="BB19" s="1556"/>
      <x:c r="BC19" s="1556"/>
      <x:c r="BD19" s="1556"/>
      <x:c r="BE19" s="1556"/>
      <x:c r="BF19" s="1556"/>
      <x:c r="BG19" s="1556"/>
      <x:c r="BH19" s="1556"/>
      <x:c r="BI19" s="1556"/>
      <x:c r="BJ19" s="1556"/>
      <x:c r="BK19" s="1556"/>
      <x:c r="BL19" s="1556"/>
      <x:c r="BM19" s="1556"/>
      <x:c r="BN19" s="1556"/>
      <x:c r="BO19" s="1556"/>
      <x:c r="BP19" s="1556"/>
      <x:c r="BQ19" s="1556"/>
      <x:c r="BR19" s="1556"/>
      <x:c r="BS19" s="1556"/>
      <x:c r="BT19" s="1556"/>
      <x:c r="BU19" s="1556"/>
      <x:c r="BV19" s="18"/>
      <x:c r="BW19" s="18"/>
      <x:c r="BX19" s="18"/>
      <x:c r="BY19" s="18"/>
    </x:row>
    <x:row r="20" spans="2:135" ht="13.5" customHeight="1" x14ac:dyDescent="0.2">
      <x:c r="B20" s="961" t="s">
        <x:v>402</x:v>
      </x:c>
      <x:c r="C20" s="414">
        <x:f>C18+C19</x:f>
        <x:v>13.609276724559734</x:v>
      </x:c>
      <x:c r="D20" s="43" t="s">
        <x:v>3</x:v>
      </x:c>
      <x:c r="E20" s="44" t="s">
        <x:v>405</x:v>
      </x:c>
      <x:c r="F20" s="721">
        <x:f>'1-Eng Inputs'!B15*0.0254</x:f>
        <x:v>1.9926299999999999</x:v>
      </x:c>
      <x:c r="G20" s="19" t="s">
        <x:v>0</x:v>
      </x:c>
      <x:c r="H20" s="44" t="s">
        <x:v>410</x:v>
      </x:c>
      <x:c r="I20" s="721">
        <x:f>F20</x:f>
        <x:v>1.9926299999999999</x:v>
      </x:c>
      <x:c r="J20" s="43" t="s">
        <x:v>0</x:v>
      </x:c>
      <x:c r="K20" s="975"/>
      <x:c r="L20" s="47"/>
      <x:c r="M20" s="47"/>
      <x:c r="N20" s="47"/>
      <x:c r="O20" s="47"/>
      <x:c r="P20" s="47"/>
      <x:c r="Q20" s="47"/>
      <x:c r="R20" s="47"/>
      <x:c r="S20" s="47"/>
      <x:c r="T20" s="47"/>
      <x:c r="U20" s="47"/>
      <x:c r="V20" s="47"/>
      <x:c r="W20" s="47"/>
      <x:c r="X20" s="47"/>
      <x:c r="Y20" s="47"/>
      <x:c r="Z20" s="47"/>
      <x:c r="AA20" s="47"/>
      <x:c r="AC20" s="19"/>
      <x:c r="AD20" s="23"/>
      <x:c r="AE20" s="18"/>
      <x:c r="AF20" s="18"/>
      <x:c r="AG20" s="18"/>
      <x:c r="AH20" s="18"/>
      <x:c r="AI20" s="18"/>
      <x:c r="AJ20" s="18"/>
      <x:c r="AK20" s="18"/>
      <x:c r="AL20" s="1556"/>
      <x:c r="AM20" s="1556"/>
      <x:c r="AN20" s="1556"/>
      <x:c r="AO20" s="1556"/>
      <x:c r="AP20" s="1556"/>
      <x:c r="AQ20" s="1556"/>
      <x:c r="AR20" s="1556"/>
      <x:c r="AS20" s="1556"/>
      <x:c r="AT20" s="1556"/>
      <x:c r="AU20" s="1556"/>
      <x:c r="AV20" s="1556"/>
      <x:c r="AW20" s="1556"/>
      <x:c r="AX20" s="1556"/>
      <x:c r="AY20" s="1556"/>
      <x:c r="AZ20" s="1556"/>
      <x:c r="BA20" s="1556"/>
      <x:c r="BB20" s="1556"/>
      <x:c r="BC20" s="1556"/>
      <x:c r="BD20" s="1556"/>
      <x:c r="BE20" s="1556"/>
      <x:c r="BF20" s="1556"/>
      <x:c r="BG20" s="1556"/>
      <x:c r="BH20" s="1556"/>
      <x:c r="BI20" s="1556"/>
      <x:c r="BJ20" s="1556"/>
      <x:c r="BK20" s="1556"/>
      <x:c r="BL20" s="1556"/>
      <x:c r="BM20" s="1556"/>
      <x:c r="BN20" s="1556"/>
      <x:c r="BO20" s="1556"/>
      <x:c r="BP20" s="1556"/>
      <x:c r="BQ20" s="1556"/>
      <x:c r="BR20" s="1556"/>
      <x:c r="BS20" s="1556"/>
      <x:c r="BT20" s="1556"/>
      <x:c r="BU20" s="1556"/>
      <x:c r="BV20" s="18"/>
      <x:c r="BW20" s="18"/>
      <x:c r="BX20" s="18"/>
      <x:c r="BY20" s="18"/>
    </x:row>
    <x:row r="21" spans="2:135" ht="13.5" customHeight="1" x14ac:dyDescent="0.2">
      <x:c r="B21" s="964" t="s">
        <x:v>168</x:v>
      </x:c>
      <x:c r="C21" s="721">
        <x:f>'1-Eng Inputs'!B17*0.453592</x:f>
        <x:v>21.5909792</x:v>
      </x:c>
      <x:c r="D21" s="43" t="s">
        <x:v>169</x:v>
      </x:c>
      <x:c r="E21" s="44" t="s">
        <x:v>406</x:v>
      </x:c>
      <x:c r="F21" s="414">
        <x:f>F20*F19</x:f>
        <x:v>1.9941443987999996</x:v>
      </x:c>
      <x:c r="G21" s="19" t="s">
        <x:v>1</x:v>
      </x:c>
      <x:c r="H21" s="44" t="s">
        <x:v>411</x:v>
      </x:c>
      <x:c r="I21" s="414">
        <x:f>I20*I19</x:f>
        <x:v>0.44814248699999998</x:v>
      </x:c>
      <x:c r="J21" s="43" t="s">
        <x:v>1</x:v>
      </x:c>
      <x:c r="K21" s="975"/>
      <x:c r="L21" s="47"/>
      <x:c r="M21" s="47"/>
      <x:c r="N21" s="47"/>
      <x:c r="O21" s="47"/>
      <x:c r="P21" s="47"/>
      <x:c r="Q21" s="47"/>
      <x:c r="R21" s="47"/>
      <x:c r="S21" s="47"/>
      <x:c r="T21" s="47"/>
      <x:c r="U21" s="47"/>
      <x:c r="V21" s="47"/>
      <x:c r="W21" s="47"/>
      <x:c r="X21" s="47"/>
      <x:c r="Y21" s="47"/>
      <x:c r="Z21" s="47"/>
      <x:c r="AA21" s="47"/>
      <x:c r="AC21" s="19"/>
      <x:c r="AD21" s="23"/>
      <x:c r="AE21" s="1523" t="str">
        <x:f>AC27</x:f>
        <x:v>setback a</x:v>
      </x:c>
      <x:c r="AF21" s="1524"/>
      <x:c r="AG21" s="18"/>
      <x:c r="AH21" s="18"/>
      <x:c r="AI21" s="18"/>
      <x:c r="AJ21" s="18"/>
      <x:c r="AK21" s="18"/>
      <x:c r="AL21" s="151"/>
      <x:c r="AM21" s="151"/>
      <x:c r="AN21" s="151"/>
      <x:c r="AO21" s="151"/>
      <x:c r="AP21" s="151"/>
      <x:c r="AQ21" s="151"/>
      <x:c r="AR21" s="151"/>
      <x:c r="AS21" s="151"/>
      <x:c r="AT21" s="151"/>
      <x:c r="AU21" s="151"/>
      <x:c r="AV21" s="151"/>
      <x:c r="AW21" s="151"/>
      <x:c r="AX21" s="151"/>
      <x:c r="AY21" s="151"/>
      <x:c r="AZ21" s="151"/>
      <x:c r="BA21" s="151"/>
      <x:c r="BB21" s="151"/>
      <x:c r="BC21" s="151"/>
      <x:c r="BD21" s="151"/>
      <x:c r="BE21" s="151"/>
      <x:c r="BF21" s="151"/>
      <x:c r="BG21" s="151"/>
      <x:c r="BH21" s="151"/>
      <x:c r="BI21" s="151"/>
      <x:c r="BJ21" s="151"/>
      <x:c r="BK21" s="151"/>
      <x:c r="BL21" s="151"/>
      <x:c r="BM21" s="151"/>
      <x:c r="BN21" s="151"/>
      <x:c r="BO21" s="151"/>
      <x:c r="BP21" s="151"/>
      <x:c r="BQ21" s="151"/>
      <x:c r="BR21" s="151"/>
      <x:c r="BS21" s="151"/>
      <x:c r="BT21" s="18"/>
      <x:c r="BU21" s="18"/>
      <x:c r="BV21" s="18"/>
      <x:c r="BW21" s="18"/>
      <x:c r="BX21" s="18"/>
      <x:c r="BY21" s="18"/>
      <x:c r="BZ21" s="1523" t="str">
        <x:f>AC27</x:f>
        <x:v>setback a</x:v>
      </x:c>
      <x:c r="CA21" s="1524"/>
      <x:c r="CE21" s="19"/>
      <x:c r="CF21" s="23"/>
      <x:c r="CG21" s="1523" t="str">
        <x:f>CE27</x:f>
        <x:v>setback a</x:v>
      </x:c>
      <x:c r="CH21" s="1524"/>
      <x:c r="CI21" s="18"/>
      <x:c r="CJ21" s="18"/>
      <x:c r="CK21" s="18"/>
      <x:c r="CL21" s="18"/>
      <x:c r="CM21" s="18"/>
      <x:c r="CN21" s="151"/>
      <x:c r="CO21" s="151"/>
      <x:c r="CP21" s="151"/>
      <x:c r="CQ21" s="151"/>
      <x:c r="CR21" s="151"/>
      <x:c r="CS21" s="151"/>
      <x:c r="CT21" s="151"/>
      <x:c r="CU21" s="151"/>
      <x:c r="CV21" s="151"/>
      <x:c r="CW21" s="151"/>
      <x:c r="CX21" s="151"/>
      <x:c r="CY21" s="151"/>
      <x:c r="CZ21" s="151"/>
      <x:c r="DA21" s="151"/>
      <x:c r="DB21" s="151"/>
      <x:c r="DC21" s="151"/>
      <x:c r="DD21" s="151"/>
      <x:c r="DE21" s="151"/>
      <x:c r="DF21" s="151"/>
      <x:c r="DG21" s="151"/>
      <x:c r="DH21" s="151"/>
      <x:c r="DI21" s="151"/>
      <x:c r="DJ21" s="151"/>
      <x:c r="DK21" s="151"/>
      <x:c r="DL21" s="151"/>
      <x:c r="DM21" s="151"/>
      <x:c r="DN21" s="151"/>
      <x:c r="DO21" s="151"/>
      <x:c r="DP21" s="151"/>
      <x:c r="DQ21" s="151"/>
      <x:c r="DR21" s="151"/>
      <x:c r="DS21" s="151"/>
      <x:c r="DT21" s="151"/>
      <x:c r="DU21" s="151"/>
      <x:c r="DV21" s="18"/>
      <x:c r="DW21" s="18"/>
      <x:c r="DX21" s="18"/>
      <x:c r="DY21" s="18"/>
      <x:c r="DZ21" s="18"/>
      <x:c r="EA21" s="18"/>
      <x:c r="EB21" s="1523" t="str">
        <x:f>CE27</x:f>
        <x:v>setback a</x:v>
      </x:c>
      <x:c r="EC21" s="1524"/>
    </x:row>
    <x:row r="22" spans="2:135" ht="13.5" customHeight="1" x14ac:dyDescent="0.2">
      <x:c r="B22" s="964" t="s">
        <x:v>307</x:v>
      </x:c>
      <x:c r="C22" s="721">
        <x:f>((SUM('2-Quote Inputs'!K7:K8)*2)+IF('2-Quote Inputs'!G31="YES",'2-Quote Inputs'!K9,0)+IF('1-Eng Inputs'!B32="YES",'2-Quote Inputs'!K15,0))*0.453592</x:f>
        <x:v>5.5478837519999997</x:v>
      </x:c>
      <x:c r="D22" s="43" t="s">
        <x:v>169</x:v>
      </x:c>
      <x:c r="E22" s="19"/>
      <x:c r="F22" s="19"/>
      <x:c r="G22" s="19"/>
      <x:c r="H22" s="19"/>
      <x:c r="I22" s="19"/>
      <x:c r="J22" s="19"/>
      <x:c r="K22" s="976"/>
      <x:c r="L22" s="152"/>
      <x:c r="M22" s="152"/>
      <x:c r="N22" s="152"/>
      <x:c r="O22" s="152"/>
      <x:c r="P22" s="152"/>
      <x:c r="Q22" s="152"/>
      <x:c r="R22" s="152"/>
      <x:c r="S22" s="152"/>
      <x:c r="T22" s="152"/>
      <x:c r="U22" s="152"/>
      <x:c r="V22" s="152"/>
      <x:c r="W22" s="152"/>
      <x:c r="X22" s="152"/>
      <x:c r="Y22" s="152"/>
      <x:c r="Z22" s="152"/>
      <x:c r="AA22" s="152"/>
      <x:c r="AC22" s="19"/>
      <x:c r="AD22" s="23"/>
      <x:c r="AE22" s="1523"/>
      <x:c r="AF22" s="1524"/>
      <x:c r="AG22" s="18"/>
      <x:c r="AH22" s="18"/>
      <x:c r="AI22" s="18"/>
      <x:c r="AJ22" s="18"/>
      <x:c r="AK22" s="18"/>
      <x:c r="AL22" s="18"/>
      <x:c r="AM22" s="18"/>
      <x:c r="AN22" s="18"/>
      <x:c r="AO22" s="18"/>
      <x:c r="AP22" s="18"/>
      <x:c r="AQ22" s="18"/>
      <x:c r="AR22" s="18"/>
      <x:c r="AS22" s="18"/>
      <x:c r="AT22" s="18"/>
      <x:c r="AU22" s="18"/>
      <x:c r="AV22" s="18"/>
      <x:c r="AW22" s="18"/>
      <x:c r="AX22" s="18"/>
      <x:c r="AY22" s="18"/>
      <x:c r="AZ22" s="18"/>
      <x:c r="BA22" s="18"/>
      <x:c r="BB22" s="18"/>
      <x:c r="BC22" s="18"/>
      <x:c r="BD22" s="18"/>
      <x:c r="BE22" s="18"/>
      <x:c r="BF22" s="18"/>
      <x:c r="BG22" s="18"/>
      <x:c r="BH22" s="18"/>
      <x:c r="BI22" s="18"/>
      <x:c r="BJ22" s="18"/>
      <x:c r="BK22" s="18"/>
      <x:c r="BL22" s="18"/>
      <x:c r="BM22" s="18"/>
      <x:c r="BN22" s="18"/>
      <x:c r="BO22" s="18"/>
      <x:c r="BP22" s="18"/>
      <x:c r="BQ22" s="18"/>
      <x:c r="BR22" s="18"/>
      <x:c r="BS22" s="18"/>
      <x:c r="BT22" s="18"/>
      <x:c r="BU22" s="18"/>
      <x:c r="BV22" s="18"/>
      <x:c r="BW22" s="18"/>
      <x:c r="BX22" s="18"/>
      <x:c r="BY22" s="18"/>
      <x:c r="BZ22" s="1523"/>
      <x:c r="CA22" s="1524"/>
      <x:c r="CE22" s="19"/>
      <x:c r="CF22" s="23"/>
      <x:c r="CG22" s="1523"/>
      <x:c r="CH22" s="1524"/>
      <x:c r="CI22" s="18"/>
      <x:c r="CJ22" s="18"/>
      <x:c r="CK22" s="18"/>
      <x:c r="CL22" s="18"/>
      <x:c r="CM22" s="18"/>
      <x:c r="CN22" s="18"/>
      <x:c r="CO22" s="18"/>
      <x:c r="CP22" s="18"/>
      <x:c r="CQ22" s="18"/>
      <x:c r="CR22" s="18"/>
      <x:c r="CS22" s="18"/>
      <x:c r="CT22" s="18"/>
      <x:c r="CU22" s="18"/>
      <x:c r="CV22" s="18"/>
      <x:c r="CW22" s="18"/>
      <x:c r="CX22" s="18"/>
      <x:c r="CY22" s="18"/>
      <x:c r="CZ22" s="18"/>
      <x:c r="DA22" s="18"/>
      <x:c r="DB22" s="18"/>
      <x:c r="DC22" s="18"/>
      <x:c r="DD22" s="18"/>
      <x:c r="DE22" s="18"/>
      <x:c r="DF22" s="18"/>
      <x:c r="DG22" s="18"/>
      <x:c r="DH22" s="18"/>
      <x:c r="DI22" s="18"/>
      <x:c r="DJ22" s="18"/>
      <x:c r="DK22" s="18"/>
      <x:c r="DL22" s="18"/>
      <x:c r="DM22" s="18"/>
      <x:c r="DN22" s="18"/>
      <x:c r="DO22" s="18"/>
      <x:c r="DP22" s="18"/>
      <x:c r="DQ22" s="18"/>
      <x:c r="DR22" s="18"/>
      <x:c r="DS22" s="18"/>
      <x:c r="DT22" s="18"/>
      <x:c r="DU22" s="18"/>
      <x:c r="DV22" s="18"/>
      <x:c r="DW22" s="18"/>
      <x:c r="DX22" s="18"/>
      <x:c r="DY22" s="18"/>
      <x:c r="DZ22" s="18"/>
      <x:c r="EA22" s="18"/>
      <x:c r="EB22" s="1523"/>
      <x:c r="EC22" s="1524"/>
    </x:row>
    <x:row r="23" spans="2:135" ht="13.5" customHeight="1" thickBot="1" x14ac:dyDescent="0.25">
      <x:c r="B23" s="966"/>
      <x:c r="C23" s="967"/>
      <x:c r="D23" s="968"/>
      <x:c r="E23" s="968"/>
      <x:c r="F23" s="967"/>
      <x:c r="G23" s="967"/>
      <x:c r="H23" s="967"/>
      <x:c r="I23" s="967"/>
      <x:c r="J23" s="967"/>
      <x:c r="K23" s="975"/>
      <x:c r="L23" s="47"/>
      <x:c r="M23" s="47"/>
      <x:c r="N23" s="47"/>
      <x:c r="O23" s="47"/>
      <x:c r="P23" s="47"/>
      <x:c r="Q23" s="47"/>
      <x:c r="R23" s="47"/>
      <x:c r="S23" s="47"/>
      <x:c r="T23" s="47"/>
      <x:c r="U23" s="47"/>
      <x:c r="V23" s="47"/>
      <x:c r="W23" s="47"/>
      <x:c r="X23" s="47"/>
      <x:c r="Y23" s="47"/>
      <x:c r="Z23" s="47"/>
      <x:c r="AA23" s="47"/>
      <x:c r="AD23" s="19"/>
      <x:c r="AE23" s="1523"/>
      <x:c r="AF23" s="1524"/>
      <x:c r="AG23" s="333"/>
      <x:c r="AH23" s="334"/>
      <x:c r="AI23" s="334"/>
      <x:c r="AJ23" s="334"/>
      <x:c r="AK23" s="335"/>
      <x:c r="AL23" s="335"/>
      <x:c r="AM23" s="335"/>
      <x:c r="AN23" s="335"/>
      <x:c r="AO23" s="335"/>
      <x:c r="AP23" s="335"/>
      <x:c r="AQ23" s="335"/>
      <x:c r="AR23" s="335"/>
      <x:c r="AS23" s="335"/>
      <x:c r="AT23" s="335"/>
      <x:c r="AU23" s="335"/>
      <x:c r="AV23" s="335"/>
      <x:c r="AW23" s="335"/>
      <x:c r="AX23" s="335"/>
      <x:c r="AY23" s="335"/>
      <x:c r="AZ23" s="335"/>
      <x:c r="BA23" s="335"/>
      <x:c r="BB23" s="335"/>
      <x:c r="BC23" s="335"/>
      <x:c r="BD23" s="335"/>
      <x:c r="BE23" s="335"/>
      <x:c r="BF23" s="335"/>
      <x:c r="BG23" s="335"/>
      <x:c r="BH23" s="335"/>
      <x:c r="BI23" s="335"/>
      <x:c r="BJ23" s="335"/>
      <x:c r="BK23" s="335"/>
      <x:c r="BL23" s="335"/>
      <x:c r="BM23" s="335"/>
      <x:c r="BN23" s="335"/>
      <x:c r="BO23" s="335"/>
      <x:c r="BP23" s="335"/>
      <x:c r="BQ23" s="335"/>
      <x:c r="BR23" s="335"/>
      <x:c r="BS23" s="335"/>
      <x:c r="BT23" s="335"/>
      <x:c r="BU23" s="335"/>
      <x:c r="BV23" s="335"/>
      <x:c r="BW23" s="335"/>
      <x:c r="BX23" s="335"/>
      <x:c r="BY23" s="336"/>
      <x:c r="BZ23" s="1523"/>
      <x:c r="CA23" s="1524"/>
      <x:c r="CB23" s="180"/>
      <x:c r="CE23" s="19"/>
      <x:c r="CF23" s="19"/>
      <x:c r="CG23" s="1523"/>
      <x:c r="CH23" s="1524"/>
      <x:c r="CI23" s="333"/>
      <x:c r="CJ23" s="334"/>
      <x:c r="CK23" s="334"/>
      <x:c r="CL23" s="334"/>
      <x:c r="CM23" s="335"/>
      <x:c r="CN23" s="335"/>
      <x:c r="CO23" s="335"/>
      <x:c r="CP23" s="335"/>
      <x:c r="CQ23" s="335"/>
      <x:c r="CR23" s="335"/>
      <x:c r="CS23" s="335"/>
      <x:c r="CT23" s="335"/>
      <x:c r="CU23" s="335"/>
      <x:c r="CV23" s="335"/>
      <x:c r="CW23" s="335"/>
      <x:c r="CX23" s="335"/>
      <x:c r="CY23" s="335"/>
      <x:c r="CZ23" s="335"/>
      <x:c r="DA23" s="335"/>
      <x:c r="DB23" s="335"/>
      <x:c r="DC23" s="335"/>
      <x:c r="DD23" s="335"/>
      <x:c r="DE23" s="335"/>
      <x:c r="DF23" s="335"/>
      <x:c r="DG23" s="335"/>
      <x:c r="DH23" s="335"/>
      <x:c r="DI23" s="335"/>
      <x:c r="DJ23" s="335"/>
      <x:c r="DK23" s="335"/>
      <x:c r="DL23" s="335"/>
      <x:c r="DM23" s="335"/>
      <x:c r="DN23" s="335"/>
      <x:c r="DO23" s="335"/>
      <x:c r="DP23" s="335"/>
      <x:c r="DQ23" s="335"/>
      <x:c r="DR23" s="335"/>
      <x:c r="DS23" s="335"/>
      <x:c r="DT23" s="335"/>
      <x:c r="DU23" s="335"/>
      <x:c r="DV23" s="335"/>
      <x:c r="DW23" s="335"/>
      <x:c r="DX23" s="335"/>
      <x:c r="DY23" s="335"/>
      <x:c r="DZ23" s="335"/>
      <x:c r="EA23" s="336"/>
      <x:c r="EB23" s="1523"/>
      <x:c r="EC23" s="1524"/>
      <x:c r="ED23" s="180"/>
    </x:row>
    <x:row r="24" spans="2:135" ht="13.5" customHeight="1" thickBot="1" x14ac:dyDescent="0.25">
      <x:c r="B24" s="1428" t="s">
        <x:v>412</x:v>
      </x:c>
      <x:c r="C24" s="1429"/>
      <x:c r="D24" s="1429"/>
      <x:c r="E24" s="1429"/>
      <x:c r="F24" s="1429"/>
      <x:c r="G24" s="1429"/>
      <x:c r="H24" s="1429"/>
      <x:c r="I24" s="1429"/>
      <x:c r="J24" s="1430"/>
      <x:c r="K24" s="975"/>
      <x:c r="L24" s="47"/>
      <x:c r="M24" s="47"/>
      <x:c r="N24" s="47"/>
      <x:c r="O24" s="47"/>
      <x:c r="P24" s="47"/>
      <x:c r="Q24" s="47"/>
      <x:c r="R24" s="47"/>
      <x:c r="S24" s="47"/>
      <x:c r="T24" s="47"/>
      <x:c r="U24" s="47"/>
      <x:c r="V24" s="47"/>
      <x:c r="W24" s="47"/>
      <x:c r="X24" s="47"/>
      <x:c r="Y24" s="47"/>
      <x:c r="Z24" s="47"/>
      <x:c r="AA24" s="47"/>
      <x:c r="AC24" s="19"/>
      <x:c r="AD24" s="21"/>
      <x:c r="AE24" s="1523"/>
      <x:c r="AF24" s="1524"/>
      <x:c r="AG24" s="333"/>
      <x:c r="AH24" s="334"/>
      <x:c r="AI24" s="334"/>
      <x:c r="AJ24" s="334"/>
      <x:c r="AK24" s="335"/>
      <x:c r="AL24" s="1485" t="s">
        <x:v>346</x:v>
      </x:c>
      <x:c r="AM24" s="1485"/>
      <x:c r="AN24" s="1485"/>
      <x:c r="AO24" s="1485"/>
      <x:c r="AP24" s="1485"/>
      <x:c r="AQ24" s="1485"/>
      <x:c r="AR24" s="1485"/>
      <x:c r="AS24" s="1485"/>
      <x:c r="AT24" s="1485"/>
      <x:c r="AU24" s="1485"/>
      <x:c r="AV24" s="1485"/>
      <x:c r="AW24" s="1485"/>
      <x:c r="AX24" s="1485"/>
      <x:c r="AY24" s="1485"/>
      <x:c r="AZ24" s="1485"/>
      <x:c r="BA24" s="1485"/>
      <x:c r="BB24" s="1485"/>
      <x:c r="BC24" s="1485"/>
      <x:c r="BD24" s="1485"/>
      <x:c r="BE24" s="1485"/>
      <x:c r="BF24" s="1485"/>
      <x:c r="BG24" s="1485"/>
      <x:c r="BH24" s="1485"/>
      <x:c r="BI24" s="1485"/>
      <x:c r="BJ24" s="1485"/>
      <x:c r="BK24" s="1485"/>
      <x:c r="BL24" s="1485"/>
      <x:c r="BM24" s="1485"/>
      <x:c r="BN24" s="1485"/>
      <x:c r="BO24" s="1485"/>
      <x:c r="BP24" s="1485"/>
      <x:c r="BQ24" s="1485"/>
      <x:c r="BR24" s="1485"/>
      <x:c r="BS24" s="1485"/>
      <x:c r="BT24" s="1485"/>
      <x:c r="BU24" s="1485"/>
      <x:c r="BV24" s="335"/>
      <x:c r="BW24" s="335"/>
      <x:c r="BX24" s="335"/>
      <x:c r="BY24" s="336"/>
      <x:c r="BZ24" s="1523"/>
      <x:c r="CA24" s="1524"/>
      <x:c r="CB24" s="180"/>
      <x:c r="CE24" s="21"/>
      <x:c r="CF24" s="21"/>
      <x:c r="CG24" s="1523"/>
      <x:c r="CH24" s="1524"/>
      <x:c r="CI24" s="333"/>
      <x:c r="CJ24" s="334"/>
      <x:c r="CK24" s="334"/>
      <x:c r="CL24" s="334"/>
      <x:c r="CM24" s="335"/>
      <x:c r="CN24" s="1485" t="s">
        <x:v>349</x:v>
      </x:c>
      <x:c r="CO24" s="1485"/>
      <x:c r="CP24" s="1485"/>
      <x:c r="CQ24" s="1485"/>
      <x:c r="CR24" s="1485"/>
      <x:c r="CS24" s="1485"/>
      <x:c r="CT24" s="1485"/>
      <x:c r="CU24" s="1485"/>
      <x:c r="CV24" s="1485"/>
      <x:c r="CW24" s="1485"/>
      <x:c r="CX24" s="1485"/>
      <x:c r="CY24" s="1485"/>
      <x:c r="CZ24" s="1485"/>
      <x:c r="DA24" s="1485"/>
      <x:c r="DB24" s="1485"/>
      <x:c r="DC24" s="1485"/>
      <x:c r="DD24" s="1485"/>
      <x:c r="DE24" s="1485"/>
      <x:c r="DF24" s="1485"/>
      <x:c r="DG24" s="1485"/>
      <x:c r="DH24" s="1485"/>
      <x:c r="DI24" s="1485"/>
      <x:c r="DJ24" s="1485"/>
      <x:c r="DK24" s="1485"/>
      <x:c r="DL24" s="1485"/>
      <x:c r="DM24" s="1485"/>
      <x:c r="DN24" s="1485"/>
      <x:c r="DO24" s="1485"/>
      <x:c r="DP24" s="1485"/>
      <x:c r="DQ24" s="1485"/>
      <x:c r="DR24" s="1485"/>
      <x:c r="DS24" s="1485"/>
      <x:c r="DT24" s="1485"/>
      <x:c r="DU24" s="1485"/>
      <x:c r="DV24" s="1485"/>
      <x:c r="DW24" s="1485"/>
      <x:c r="DX24" s="335"/>
      <x:c r="DY24" s="335"/>
      <x:c r="DZ24" s="335"/>
      <x:c r="EA24" s="336"/>
      <x:c r="EB24" s="1523"/>
      <x:c r="EC24" s="1524"/>
      <x:c r="ED24" s="180"/>
    </x:row>
    <x:row r="25" spans="2:135" ht="13.5" customHeight="1" x14ac:dyDescent="0.2">
      <x:c r="B25" s="49" t="s">
        <x:v>413</x:v>
      </x:c>
      <x:c r="C25" s="415">
        <x:f>VLOOKUP($F$11,$C$196:$F$211,3,FALSE)</x:f>
        <x:v>1.0384922145487721</x:v>
      </x:c>
      <x:c r="D25" s="50" t="s">
        <x:v>2</x:v>
      </x:c>
      <x:c r="E25" s="50"/>
      <x:c r="F25" s="50"/>
      <x:c r="G25" s="50"/>
      <x:c r="H25" s="50"/>
      <x:c r="I25" s="50"/>
      <x:c r="J25" s="50"/>
      <x:c r="K25" s="975"/>
      <x:c r="L25" s="47"/>
      <x:c r="M25" s="47"/>
      <x:c r="N25" s="47"/>
      <x:c r="O25" s="47"/>
      <x:c r="P25" s="47"/>
      <x:c r="Q25" s="47"/>
      <x:c r="R25" s="47"/>
      <x:c r="S25" s="47"/>
      <x:c r="T25" s="47"/>
      <x:c r="U25" s="47"/>
      <x:c r="V25" s="47"/>
      <x:c r="W25" s="47"/>
      <x:c r="X25" s="47"/>
      <x:c r="Y25" s="47"/>
      <x:c r="Z25" s="47"/>
      <x:c r="AA25" s="47"/>
      <x:c r="AC25" s="19"/>
      <x:c r="AD25" s="19"/>
      <x:c r="AE25" s="1523"/>
      <x:c r="AF25" s="1524"/>
      <x:c r="AG25" s="333"/>
      <x:c r="AH25" s="334"/>
      <x:c r="AI25" s="334"/>
      <x:c r="AJ25" s="334"/>
      <x:c r="AK25" s="335"/>
      <x:c r="AL25" s="335"/>
      <x:c r="AM25" s="335"/>
      <x:c r="AN25" s="335"/>
      <x:c r="AO25" s="335"/>
      <x:c r="AP25" s="335"/>
      <x:c r="AQ25" s="335"/>
      <x:c r="AR25" s="335"/>
      <x:c r="AS25" s="335"/>
      <x:c r="AT25" s="335"/>
      <x:c r="AU25" s="335"/>
      <x:c r="AV25" s="335"/>
      <x:c r="AW25" s="335"/>
      <x:c r="AX25" s="335"/>
      <x:c r="AY25" s="335"/>
      <x:c r="AZ25" s="335"/>
      <x:c r="BA25" s="335"/>
      <x:c r="BB25" s="335"/>
      <x:c r="BC25" s="335"/>
      <x:c r="BD25" s="335"/>
      <x:c r="BE25" s="335"/>
      <x:c r="BF25" s="335"/>
      <x:c r="BG25" s="335"/>
      <x:c r="BH25" s="335"/>
      <x:c r="BI25" s="335"/>
      <x:c r="BJ25" s="335"/>
      <x:c r="BK25" s="335"/>
      <x:c r="BL25" s="335"/>
      <x:c r="BM25" s="335"/>
      <x:c r="BN25" s="335"/>
      <x:c r="BO25" s="335"/>
      <x:c r="BP25" s="335"/>
      <x:c r="BQ25" s="335"/>
      <x:c r="BR25" s="335"/>
      <x:c r="BS25" s="335"/>
      <x:c r="BT25" s="335"/>
      <x:c r="BU25" s="335"/>
      <x:c r="BV25" s="335"/>
      <x:c r="BW25" s="335"/>
      <x:c r="BX25" s="335"/>
      <x:c r="BY25" s="336"/>
      <x:c r="BZ25" s="1523"/>
      <x:c r="CA25" s="1524"/>
      <x:c r="CB25" s="180"/>
      <x:c r="CE25" s="19"/>
      <x:c r="CF25" s="19"/>
      <x:c r="CG25" s="1523"/>
      <x:c r="CH25" s="1524"/>
      <x:c r="CI25" s="333"/>
      <x:c r="CJ25" s="334"/>
      <x:c r="CK25" s="334"/>
      <x:c r="CL25" s="334"/>
      <x:c r="CM25" s="335"/>
      <x:c r="CN25" s="335"/>
      <x:c r="CO25" s="335"/>
      <x:c r="CP25" s="335"/>
      <x:c r="CQ25" s="335"/>
      <x:c r="CR25" s="335"/>
      <x:c r="CS25" s="335"/>
      <x:c r="CT25" s="335"/>
      <x:c r="CU25" s="335"/>
      <x:c r="CV25" s="335"/>
      <x:c r="CW25" s="335"/>
      <x:c r="CX25" s="335"/>
      <x:c r="CY25" s="335"/>
      <x:c r="CZ25" s="335"/>
      <x:c r="DA25" s="335"/>
      <x:c r="DB25" s="335"/>
      <x:c r="DC25" s="335"/>
      <x:c r="DD25" s="335"/>
      <x:c r="DE25" s="335"/>
      <x:c r="DF25" s="335"/>
      <x:c r="DG25" s="335"/>
      <x:c r="DH25" s="335"/>
      <x:c r="DI25" s="335"/>
      <x:c r="DJ25" s="335"/>
      <x:c r="DK25" s="335"/>
      <x:c r="DL25" s="335"/>
      <x:c r="DM25" s="335"/>
      <x:c r="DN25" s="335"/>
      <x:c r="DO25" s="335"/>
      <x:c r="DP25" s="335"/>
      <x:c r="DQ25" s="335"/>
      <x:c r="DR25" s="335"/>
      <x:c r="DS25" s="335"/>
      <x:c r="DT25" s="335"/>
      <x:c r="DU25" s="335"/>
      <x:c r="DV25" s="335"/>
      <x:c r="DW25" s="335"/>
      <x:c r="DX25" s="335"/>
      <x:c r="DY25" s="335"/>
      <x:c r="DZ25" s="335"/>
      <x:c r="EA25" s="336"/>
      <x:c r="EB25" s="1523"/>
      <x:c r="EC25" s="1524"/>
      <x:c r="ED25" s="180"/>
    </x:row>
    <x:row r="26" spans="2:135" ht="13.5" customHeight="1" thickBot="1" x14ac:dyDescent="0.25">
      <x:c r="B26" s="42" t="s">
        <x:v>379</x:v>
      </x:c>
      <x:c r="C26" s="504" t="str">
        <x:f>VLOOKUP($F$11,$C$196:$F$211,4,FALSE)</x:f>
        <x:v>Exp. B</x:v>
      </x:c>
      <x:c r="D26" s="94" t="s">
        <x:v>4</x:v>
      </x:c>
      <x:c r="E26" s="94"/>
      <x:c r="F26" s="43"/>
      <x:c r="G26" s="43"/>
      <x:c r="H26" s="43"/>
      <x:c r="I26" s="43"/>
      <x:c r="J26" s="43"/>
      <x:c r="K26" s="975"/>
      <x:c r="L26" s="47"/>
      <x:c r="M26" s="47"/>
      <x:c r="N26" s="47"/>
      <x:c r="O26" s="47"/>
      <x:c r="P26" s="47"/>
      <x:c r="Q26" s="47"/>
      <x:c r="R26" s="47"/>
      <x:c r="S26" s="47"/>
      <x:c r="T26" s="47"/>
      <x:c r="U26" s="47"/>
      <x:c r="V26" s="47"/>
      <x:c r="W26" s="47"/>
      <x:c r="X26" s="47"/>
      <x:c r="Y26" s="47"/>
      <x:c r="Z26" s="47"/>
      <x:c r="AA26" s="47"/>
      <x:c r="AC26" s="52"/>
      <x:c r="AD26" s="52"/>
      <x:c r="AG26" s="118"/>
      <x:c r="AH26" s="118"/>
      <x:c r="AI26" s="118"/>
      <x:c r="AJ26" s="118"/>
      <x:c r="AK26" s="153"/>
      <x:c r="AL26" s="153"/>
      <x:c r="AM26" s="153"/>
      <x:c r="AN26" s="153"/>
      <x:c r="AO26" s="118"/>
      <x:c r="AP26" s="118"/>
      <x:c r="AQ26" s="118"/>
      <x:c r="AR26" s="118"/>
      <x:c r="AS26" s="118"/>
      <x:c r="AT26" s="118"/>
      <x:c r="AU26" s="118"/>
      <x:c r="AV26" s="118"/>
      <x:c r="AW26" s="118"/>
      <x:c r="AX26" s="118"/>
      <x:c r="AY26" s="118"/>
      <x:c r="AZ26" s="118"/>
      <x:c r="BA26" s="118"/>
      <x:c r="BB26" s="153"/>
      <x:c r="BC26" s="153"/>
      <x:c r="BD26" s="153"/>
      <x:c r="BE26" s="118"/>
      <x:c r="BF26" s="118"/>
      <x:c r="BG26" s="118"/>
      <x:c r="BH26" s="118"/>
      <x:c r="BI26" s="118"/>
      <x:c r="BJ26" s="118"/>
      <x:c r="BK26" s="118"/>
      <x:c r="BL26" s="118"/>
      <x:c r="BM26" s="118"/>
      <x:c r="BN26" s="118"/>
      <x:c r="BO26" s="118"/>
      <x:c r="BP26" s="118"/>
      <x:c r="BQ26" s="118"/>
      <x:c r="BR26" s="118"/>
      <x:c r="BS26" s="118"/>
      <x:c r="BT26" s="118"/>
      <x:c r="BU26" s="118"/>
      <x:c r="BV26" s="153"/>
      <x:c r="BW26" s="153"/>
      <x:c r="BX26" s="153"/>
      <x:c r="BY26" s="153"/>
      <x:c r="CB26" s="180"/>
      <x:c r="CE26" s="52"/>
      <x:c r="CF26" s="52"/>
      <x:c r="CI26" s="118"/>
      <x:c r="CJ26" s="118"/>
      <x:c r="CK26" s="118"/>
      <x:c r="CL26" s="118"/>
      <x:c r="CM26" s="153"/>
      <x:c r="CN26" s="153"/>
      <x:c r="CO26" s="153"/>
      <x:c r="CP26" s="153"/>
      <x:c r="CQ26" s="118"/>
      <x:c r="CR26" s="118"/>
      <x:c r="CS26" s="118"/>
      <x:c r="CT26" s="118"/>
      <x:c r="CU26" s="118"/>
      <x:c r="CV26" s="118"/>
      <x:c r="CW26" s="118"/>
      <x:c r="CX26" s="118"/>
      <x:c r="CY26" s="118"/>
      <x:c r="CZ26" s="118"/>
      <x:c r="DA26" s="118"/>
      <x:c r="DB26" s="118"/>
      <x:c r="DC26" s="118"/>
      <x:c r="DD26" s="153"/>
      <x:c r="DE26" s="153"/>
      <x:c r="DF26" s="153"/>
      <x:c r="DG26" s="118"/>
      <x:c r="DH26" s="118"/>
      <x:c r="DI26" s="118"/>
      <x:c r="DJ26" s="118"/>
      <x:c r="DK26" s="118"/>
      <x:c r="DL26" s="118"/>
      <x:c r="DM26" s="118"/>
      <x:c r="DN26" s="118"/>
      <x:c r="DO26" s="118"/>
      <x:c r="DP26" s="118"/>
      <x:c r="DQ26" s="118"/>
      <x:c r="DR26" s="118"/>
      <x:c r="DS26" s="118"/>
      <x:c r="DT26" s="118"/>
      <x:c r="DU26" s="118"/>
      <x:c r="DV26" s="118"/>
      <x:c r="DW26" s="118"/>
      <x:c r="DX26" s="153"/>
      <x:c r="DY26" s="153"/>
      <x:c r="DZ26" s="153"/>
      <x:c r="EA26" s="153"/>
      <x:c r="ED26" s="180"/>
    </x:row>
    <x:row r="27" spans="2:135" ht="13.5" customHeight="1" thickTop="1" thickBot="1" x14ac:dyDescent="0.25">
      <x:c r="B27" s="274"/>
      <x:c r="C27" s="416"/>
      <x:c r="D27" s="46"/>
      <x:c r="E27" s="46"/>
      <x:c r="F27" s="46"/>
      <x:c r="G27" s="46"/>
      <x:c r="H27" s="46"/>
      <x:c r="I27" s="46"/>
      <x:c r="J27" s="46"/>
      <x:c r="K27" s="973"/>
      <x:c r="L27" s="19"/>
      <x:c r="M27" s="19"/>
      <x:c r="N27" s="19"/>
      <x:c r="O27" s="19"/>
      <x:c r="P27" s="19"/>
      <x:c r="Q27" s="19"/>
      <x:c r="R27" s="19"/>
      <x:c r="S27" s="19"/>
      <x:c r="T27" s="19"/>
      <x:c r="U27" s="19"/>
      <x:c r="V27" s="19"/>
      <x:c r="W27" s="19"/>
      <x:c r="X27" s="19"/>
      <x:c r="Y27" s="19"/>
      <x:c r="Z27" s="19"/>
      <x:c r="AA27" s="19"/>
      <x:c r="AC27" s="1314" t="s">
        <x:v>445</x:v>
      </x:c>
      <x:c r="AD27" s="52"/>
      <x:c r="AE27" s="363"/>
      <x:c r="AF27" s="364"/>
      <x:c r="AG27" s="1319" t="s">
        <x:v>447</x:v>
      </x:c>
      <x:c r="AH27" s="1320"/>
      <x:c r="AI27" s="1320"/>
      <x:c r="AJ27" s="1320"/>
      <x:c r="AK27" s="1320"/>
      <x:c r="AL27" s="1320"/>
      <x:c r="AM27" s="1320"/>
      <x:c r="AN27" s="1320"/>
      <x:c r="AO27" s="1320"/>
      <x:c r="AP27" s="1320"/>
      <x:c r="AQ27" s="1320"/>
      <x:c r="AR27" s="1320"/>
      <x:c r="AS27" s="1320"/>
      <x:c r="AT27" s="1320"/>
      <x:c r="AU27" s="1320"/>
      <x:c r="AV27" s="1320"/>
      <x:c r="AW27" s="1320"/>
      <x:c r="AX27" s="1320"/>
      <x:c r="AY27" s="1320"/>
      <x:c r="AZ27" s="1320"/>
      <x:c r="BA27" s="1320"/>
      <x:c r="BB27" s="1320"/>
      <x:c r="BC27" s="1320"/>
      <x:c r="BD27" s="1320"/>
      <x:c r="BE27" s="1320"/>
      <x:c r="BF27" s="1320"/>
      <x:c r="BG27" s="1320"/>
      <x:c r="BH27" s="1320"/>
      <x:c r="BI27" s="1320"/>
      <x:c r="BJ27" s="1320"/>
      <x:c r="BK27" s="1320"/>
      <x:c r="BL27" s="1320"/>
      <x:c r="BM27" s="1320"/>
      <x:c r="BN27" s="1320"/>
      <x:c r="BO27" s="1320"/>
      <x:c r="BP27" s="1320"/>
      <x:c r="BQ27" s="1320"/>
      <x:c r="BR27" s="1320"/>
      <x:c r="BS27" s="1320"/>
      <x:c r="BT27" s="1320"/>
      <x:c r="BU27" s="1320"/>
      <x:c r="BV27" s="1320"/>
      <x:c r="BW27" s="1320"/>
      <x:c r="BX27" s="1320"/>
      <x:c r="BY27" s="1321"/>
      <x:c r="BZ27" s="365"/>
      <x:c r="CA27" s="366"/>
      <x:c r="CB27" s="359"/>
      <x:c r="CC27" s="484"/>
      <x:c r="CE27" s="1314" t="s">
        <x:v>445</x:v>
      </x:c>
      <x:c r="CF27" s="52"/>
      <x:c r="CG27" s="363"/>
      <x:c r="CH27" s="364"/>
      <x:c r="CI27" s="1319" t="s">
        <x:v>447</x:v>
      </x:c>
      <x:c r="CJ27" s="1320"/>
      <x:c r="CK27" s="1320"/>
      <x:c r="CL27" s="1320"/>
      <x:c r="CM27" s="1320"/>
      <x:c r="CN27" s="1320"/>
      <x:c r="CO27" s="1320"/>
      <x:c r="CP27" s="1320"/>
      <x:c r="CQ27" s="1320"/>
      <x:c r="CR27" s="1320"/>
      <x:c r="CS27" s="1320"/>
      <x:c r="CT27" s="1320"/>
      <x:c r="CU27" s="1320"/>
      <x:c r="CV27" s="1320"/>
      <x:c r="CW27" s="1320"/>
      <x:c r="CX27" s="1320"/>
      <x:c r="CY27" s="1320"/>
      <x:c r="CZ27" s="1320"/>
      <x:c r="DA27" s="1320"/>
      <x:c r="DB27" s="1320"/>
      <x:c r="DC27" s="1320"/>
      <x:c r="DD27" s="1320"/>
      <x:c r="DE27" s="1320"/>
      <x:c r="DF27" s="1320"/>
      <x:c r="DG27" s="1320"/>
      <x:c r="DH27" s="1320"/>
      <x:c r="DI27" s="1320"/>
      <x:c r="DJ27" s="1320"/>
      <x:c r="DK27" s="1320"/>
      <x:c r="DL27" s="1320"/>
      <x:c r="DM27" s="1320"/>
      <x:c r="DN27" s="1320"/>
      <x:c r="DO27" s="1320"/>
      <x:c r="DP27" s="1320"/>
      <x:c r="DQ27" s="1320"/>
      <x:c r="DR27" s="1320"/>
      <x:c r="DS27" s="1320"/>
      <x:c r="DT27" s="1320"/>
      <x:c r="DU27" s="1320"/>
      <x:c r="DV27" s="1320"/>
      <x:c r="DW27" s="1320"/>
      <x:c r="DX27" s="1320"/>
      <x:c r="DY27" s="1320"/>
      <x:c r="DZ27" s="1320"/>
      <x:c r="EA27" s="1321"/>
      <x:c r="EB27" s="365"/>
      <x:c r="EC27" s="366"/>
      <x:c r="ED27" s="359"/>
      <x:c r="EE27" s="484"/>
    </x:row>
    <x:row r="28" spans="2:135" ht="13.5" customHeight="1" thickBot="1" x14ac:dyDescent="0.25">
      <x:c r="B28" s="1428" t="s">
        <x:v>414</x:v>
      </x:c>
      <x:c r="C28" s="1429"/>
      <x:c r="D28" s="1429"/>
      <x:c r="E28" s="1429"/>
      <x:c r="F28" s="1429"/>
      <x:c r="G28" s="1429"/>
      <x:c r="H28" s="1429"/>
      <x:c r="I28" s="1429"/>
      <x:c r="J28" s="1430"/>
      <x:c r="K28" s="973"/>
      <x:c r="L28" s="19"/>
      <x:c r="M28" s="19"/>
      <x:c r="N28" s="19"/>
      <x:c r="O28" s="19"/>
      <x:c r="P28" s="19"/>
      <x:c r="Q28" s="19"/>
      <x:c r="R28" s="19"/>
      <x:c r="S28" s="19"/>
      <x:c r="T28" s="19"/>
      <x:c r="U28" s="19"/>
      <x:c r="V28" s="19"/>
      <x:c r="W28" s="19"/>
      <x:c r="X28" s="19"/>
      <x:c r="Y28" s="19"/>
      <x:c r="Z28" s="19"/>
      <x:c r="AA28" s="19"/>
      <x:c r="AC28" s="1315"/>
      <x:c r="AD28" s="52"/>
      <x:c r="AE28" s="367"/>
      <x:c r="AF28" s="154"/>
      <x:c r="AG28" s="1322"/>
      <x:c r="AH28" s="1323"/>
      <x:c r="AI28" s="1323"/>
      <x:c r="AJ28" s="1323"/>
      <x:c r="AK28" s="1323"/>
      <x:c r="AL28" s="1323"/>
      <x:c r="AM28" s="1323"/>
      <x:c r="AN28" s="1323"/>
      <x:c r="AO28" s="1323"/>
      <x:c r="AP28" s="1323"/>
      <x:c r="AQ28" s="1323"/>
      <x:c r="AR28" s="1323"/>
      <x:c r="AS28" s="1323"/>
      <x:c r="AT28" s="1323"/>
      <x:c r="AU28" s="1323"/>
      <x:c r="AV28" s="1323"/>
      <x:c r="AW28" s="1323"/>
      <x:c r="AX28" s="1323"/>
      <x:c r="AY28" s="1323"/>
      <x:c r="AZ28" s="1323"/>
      <x:c r="BA28" s="1323"/>
      <x:c r="BB28" s="1323"/>
      <x:c r="BC28" s="1323"/>
      <x:c r="BD28" s="1323"/>
      <x:c r="BE28" s="1323"/>
      <x:c r="BF28" s="1323"/>
      <x:c r="BG28" s="1323"/>
      <x:c r="BH28" s="1323"/>
      <x:c r="BI28" s="1323"/>
      <x:c r="BJ28" s="1323"/>
      <x:c r="BK28" s="1323"/>
      <x:c r="BL28" s="1323"/>
      <x:c r="BM28" s="1323"/>
      <x:c r="BN28" s="1323"/>
      <x:c r="BO28" s="1323"/>
      <x:c r="BP28" s="1323"/>
      <x:c r="BQ28" s="1323"/>
      <x:c r="BR28" s="1323"/>
      <x:c r="BS28" s="1323"/>
      <x:c r="BT28" s="1323"/>
      <x:c r="BU28" s="1323"/>
      <x:c r="BV28" s="1323"/>
      <x:c r="BW28" s="1323"/>
      <x:c r="BX28" s="1323"/>
      <x:c r="BY28" s="1324"/>
      <x:c r="BZ28" s="48"/>
      <x:c r="CA28" s="368"/>
      <x:c r="CB28" s="360"/>
      <x:c r="CC28" s="485"/>
      <x:c r="CE28" s="1315"/>
      <x:c r="CF28" s="52"/>
      <x:c r="CG28" s="367"/>
      <x:c r="CH28" s="154"/>
      <x:c r="CI28" s="1322"/>
      <x:c r="CJ28" s="1323"/>
      <x:c r="CK28" s="1323"/>
      <x:c r="CL28" s="1323"/>
      <x:c r="CM28" s="1323"/>
      <x:c r="CN28" s="1323"/>
      <x:c r="CO28" s="1323"/>
      <x:c r="CP28" s="1323"/>
      <x:c r="CQ28" s="1323"/>
      <x:c r="CR28" s="1323"/>
      <x:c r="CS28" s="1323"/>
      <x:c r="CT28" s="1323"/>
      <x:c r="CU28" s="1323"/>
      <x:c r="CV28" s="1323"/>
      <x:c r="CW28" s="1323"/>
      <x:c r="CX28" s="1323"/>
      <x:c r="CY28" s="1323"/>
      <x:c r="CZ28" s="1323"/>
      <x:c r="DA28" s="1323"/>
      <x:c r="DB28" s="1323"/>
      <x:c r="DC28" s="1323"/>
      <x:c r="DD28" s="1323"/>
      <x:c r="DE28" s="1323"/>
      <x:c r="DF28" s="1323"/>
      <x:c r="DG28" s="1323"/>
      <x:c r="DH28" s="1323"/>
      <x:c r="DI28" s="1323"/>
      <x:c r="DJ28" s="1323"/>
      <x:c r="DK28" s="1323"/>
      <x:c r="DL28" s="1323"/>
      <x:c r="DM28" s="1323"/>
      <x:c r="DN28" s="1323"/>
      <x:c r="DO28" s="1323"/>
      <x:c r="DP28" s="1323"/>
      <x:c r="DQ28" s="1323"/>
      <x:c r="DR28" s="1323"/>
      <x:c r="DS28" s="1323"/>
      <x:c r="DT28" s="1323"/>
      <x:c r="DU28" s="1323"/>
      <x:c r="DV28" s="1323"/>
      <x:c r="DW28" s="1323"/>
      <x:c r="DX28" s="1323"/>
      <x:c r="DY28" s="1323"/>
      <x:c r="DZ28" s="1323"/>
      <x:c r="EA28" s="1324"/>
      <x:c r="EB28" s="48"/>
      <x:c r="EC28" s="368"/>
      <x:c r="ED28" s="360"/>
      <x:c r="EE28" s="485"/>
    </x:row>
    <x:row r="29" spans="2:135" ht="13.5" customHeight="1" thickTop="1" x14ac:dyDescent="0.2">
      <x:c r="B29" s="326"/>
      <x:c r="C29" s="340"/>
      <x:c r="D29" s="327"/>
      <x:c r="E29" s="327"/>
      <x:c r="F29" s="327"/>
      <x:c r="G29" s="327"/>
      <x:c r="H29" s="327"/>
      <x:c r="I29" s="327"/>
      <x:c r="J29" s="327"/>
      <x:c r="K29" s="973"/>
      <x:c r="L29" s="19"/>
      <x:c r="M29" s="19"/>
      <x:c r="N29" s="19"/>
      <x:c r="O29" s="19"/>
      <x:c r="P29" s="19"/>
      <x:c r="Q29" s="19"/>
      <x:c r="R29" s="19"/>
      <x:c r="S29" s="19"/>
      <x:c r="T29" s="19"/>
      <x:c r="U29" s="19"/>
      <x:c r="V29" s="19"/>
      <x:c r="W29" s="19"/>
      <x:c r="X29" s="19"/>
      <x:c r="Y29" s="19"/>
      <x:c r="Z29" s="19"/>
      <x:c r="AA29" s="19"/>
      <x:c r="AC29" s="490"/>
      <x:c r="AD29" s="52"/>
      <x:c r="AE29" s="1547" t="s">
        <x:v>446</x:v>
      </x:c>
      <x:c r="AF29" s="1548"/>
      <x:c r="AG29" s="1537" t="str">
        <x:f>AL29</x:f>
        <x:v>North row
Interior modules</x:v>
      </x:c>
      <x:c r="AH29" s="1535"/>
      <x:c r="AI29" s="1535"/>
      <x:c r="AJ29" s="1535"/>
      <x:c r="AK29" s="1536"/>
      <x:c r="AL29" s="1534" t="str">
        <x:f>CONCATENATE(B139,CHAR(10),E140)</x:f>
        <x:v>North row
Interior modules</x:v>
      </x:c>
      <x:c r="AM29" s="1535"/>
      <x:c r="AN29" s="1535"/>
      <x:c r="AO29" s="1535"/>
      <x:c r="AP29" s="1536"/>
      <x:c r="AQ29" s="1513" t="str">
        <x:f>CONCATENATE(B139,CHAR(10),E139)</x:f>
        <x:v>North row
1st-4th module</x:v>
      </x:c>
      <x:c r="AR29" s="1514"/>
      <x:c r="AS29" s="1514"/>
      <x:c r="AT29" s="1514"/>
      <x:c r="AU29" s="1515"/>
      <x:c r="AV29" s="1541" t="str">
        <x:f>CONCATENATE(B130,CHAR(10),E131)</x:f>
        <x:v>North row
Interior modules</x:v>
      </x:c>
      <x:c r="AW29" s="1542"/>
      <x:c r="AX29" s="1542"/>
      <x:c r="AY29" s="1542"/>
      <x:c r="AZ29" s="1543"/>
      <x:c r="BA29" s="1544" t="str">
        <x:f>CONCATENATE(B130,CHAR(10),E130)</x:f>
        <x:v>North row
1st-4th module</x:v>
      </x:c>
      <x:c r="BB29" s="1545"/>
      <x:c r="BC29" s="1545"/>
      <x:c r="BD29" s="1545"/>
      <x:c r="BE29" s="1546"/>
      <x:c r="BF29" s="1538" t="str">
        <x:f>CONCATENATE(B121,CHAR(10),E122)</x:f>
        <x:v>North row
Interior modules</x:v>
      </x:c>
      <x:c r="BG29" s="1539"/>
      <x:c r="BH29" s="1539"/>
      <x:c r="BI29" s="1539"/>
      <x:c r="BJ29" s="1540"/>
      <x:c r="BK29" s="1531" t="str">
        <x:f>CONCATENATE(B121,CHAR(10),E121)</x:f>
        <x:v>North row
1st-4th module</x:v>
      </x:c>
      <x:c r="BL29" s="1532"/>
      <x:c r="BM29" s="1532"/>
      <x:c r="BN29" s="1532"/>
      <x:c r="BO29" s="1533"/>
      <x:c r="BP29" s="1528" t="str">
        <x:f>CONCATENATE(B103,CHAR(10),E104)</x:f>
        <x:v>North row
Interior modules</x:v>
      </x:c>
      <x:c r="BQ29" s="1529"/>
      <x:c r="BR29" s="1529"/>
      <x:c r="BS29" s="1529"/>
      <x:c r="BT29" s="1530"/>
      <x:c r="BU29" s="1525" t="str">
        <x:f>CONCATENATE(B103,CHAR(10),E103)</x:f>
        <x:v>North row
1st-4th module</x:v>
      </x:c>
      <x:c r="BV29" s="1526"/>
      <x:c r="BW29" s="1526"/>
      <x:c r="BX29" s="1526"/>
      <x:c r="BY29" s="1527"/>
      <x:c r="BZ29" s="1547" t="s">
        <x:v>448</x:v>
      </x:c>
      <x:c r="CA29" s="1548"/>
      <x:c r="CB29" s="360"/>
      <x:c r="CC29" s="485"/>
      <x:c r="CE29" s="490"/>
      <x:c r="CF29" s="52"/>
      <x:c r="CG29" s="1547" t="s">
        <x:v>446</x:v>
      </x:c>
      <x:c r="CH29" s="1548"/>
      <x:c r="CI29" s="1629" t="str">
        <x:f>BU29</x:f>
        <x:v>North row
1st-4th module</x:v>
      </x:c>
      <x:c r="CJ29" s="1630"/>
      <x:c r="CK29" s="1630"/>
      <x:c r="CL29" s="1630"/>
      <x:c r="CM29" s="1631"/>
      <x:c r="CN29" s="1638" t="str">
        <x:f>BP29</x:f>
        <x:v>North row
Interior modules</x:v>
      </x:c>
      <x:c r="CO29" s="1639"/>
      <x:c r="CP29" s="1639"/>
      <x:c r="CQ29" s="1639"/>
      <x:c r="CR29" s="1640"/>
      <x:c r="CS29" s="1641" t="str">
        <x:f>BK29</x:f>
        <x:v>North row
1st-4th module</x:v>
      </x:c>
      <x:c r="CT29" s="1642"/>
      <x:c r="CU29" s="1642"/>
      <x:c r="CV29" s="1642"/>
      <x:c r="CW29" s="1643"/>
      <x:c r="CX29" s="1538" t="str">
        <x:f>BF29</x:f>
        <x:v>North row
Interior modules</x:v>
      </x:c>
      <x:c r="CY29" s="1539"/>
      <x:c r="CZ29" s="1539"/>
      <x:c r="DA29" s="1539"/>
      <x:c r="DB29" s="1540"/>
      <x:c r="DC29" s="1544" t="str">
        <x:f>BA29</x:f>
        <x:v>North row
1st-4th module</x:v>
      </x:c>
      <x:c r="DD29" s="1545"/>
      <x:c r="DE29" s="1545"/>
      <x:c r="DF29" s="1545"/>
      <x:c r="DG29" s="1546"/>
      <x:c r="DH29" s="1541" t="str">
        <x:f>AV29</x:f>
        <x:v>North row
Interior modules</x:v>
      </x:c>
      <x:c r="DI29" s="1542"/>
      <x:c r="DJ29" s="1542"/>
      <x:c r="DK29" s="1542"/>
      <x:c r="DL29" s="1543"/>
      <x:c r="DM29" s="1513" t="str">
        <x:f>AQ29</x:f>
        <x:v>North row
1st-4th module</x:v>
      </x:c>
      <x:c r="DN29" s="1514"/>
      <x:c r="DO29" s="1514"/>
      <x:c r="DP29" s="1514"/>
      <x:c r="DQ29" s="1515"/>
      <x:c r="DR29" s="1534" t="str">
        <x:f>AL29</x:f>
        <x:v>North row
Interior modules</x:v>
      </x:c>
      <x:c r="DS29" s="1535"/>
      <x:c r="DT29" s="1535"/>
      <x:c r="DU29" s="1535"/>
      <x:c r="DV29" s="1536"/>
      <x:c r="DW29" s="1534" t="str">
        <x:f>AG29</x:f>
        <x:v>North row
Interior modules</x:v>
      </x:c>
      <x:c r="DX29" s="1535"/>
      <x:c r="DY29" s="1535"/>
      <x:c r="DZ29" s="1535"/>
      <x:c r="EA29" s="1644"/>
      <x:c r="EB29" s="1547" t="s">
        <x:v>448</x:v>
      </x:c>
      <x:c r="EC29" s="1548"/>
      <x:c r="ED29" s="360"/>
      <x:c r="EE29" s="485"/>
    </x:row>
    <x:row r="30" spans="2:135" ht="13.5" customHeight="1" x14ac:dyDescent="0.2">
      <x:c r="B30" s="274" t="s">
        <x:v>415</x:v>
      </x:c>
      <x:c r="C30" s="746">
        <x:f>'Friction Data'!E16</x:f>
        <x:v>0.45</x:v>
      </x:c>
      <x:c r="D30" s="46" t="s">
        <x:v>4</x:v>
      </x:c>
      <x:c r="E30" s="46"/>
      <x:c r="F30" s="46"/>
      <x:c r="G30" s="43"/>
      <x:c r="H30" s="43"/>
      <x:c r="I30" s="43"/>
      <x:c r="J30" s="43"/>
      <x:c r="K30" s="973"/>
      <x:c r="L30" s="19"/>
      <x:c r="M30" s="19"/>
      <x:c r="N30" s="19"/>
      <x:c r="O30" s="19"/>
      <x:c r="P30" s="19"/>
      <x:c r="Q30" s="19"/>
      <x:c r="R30" s="19"/>
      <x:c r="S30" s="19"/>
      <x:c r="T30" s="19"/>
      <x:c r="U30" s="19"/>
      <x:c r="V30" s="19"/>
      <x:c r="W30" s="19"/>
      <x:c r="X30" s="19"/>
      <x:c r="Y30" s="19"/>
      <x:c r="Z30" s="19"/>
      <x:c r="AA30" s="19"/>
      <x:c r="AC30" s="491"/>
      <x:c r="AD30" s="54"/>
      <x:c r="AE30" s="1549"/>
      <x:c r="AF30" s="1550"/>
      <x:c r="AG30" s="1304"/>
      <x:c r="AH30" s="1253"/>
      <x:c r="AI30" s="1253"/>
      <x:c r="AJ30" s="1253"/>
      <x:c r="AK30" s="1254"/>
      <x:c r="AL30" s="1252"/>
      <x:c r="AM30" s="1253"/>
      <x:c r="AN30" s="1253"/>
      <x:c r="AO30" s="1253"/>
      <x:c r="AP30" s="1254"/>
      <x:c r="AQ30" s="1243"/>
      <x:c r="AR30" s="1244"/>
      <x:c r="AS30" s="1244"/>
      <x:c r="AT30" s="1244"/>
      <x:c r="AU30" s="1245"/>
      <x:c r="AV30" s="1279"/>
      <x:c r="AW30" s="1280"/>
      <x:c r="AX30" s="1280"/>
      <x:c r="AY30" s="1280"/>
      <x:c r="AZ30" s="1281"/>
      <x:c r="BA30" s="1288"/>
      <x:c r="BB30" s="1289"/>
      <x:c r="BC30" s="1289"/>
      <x:c r="BD30" s="1289"/>
      <x:c r="BE30" s="1290"/>
      <x:c r="BF30" s="1297"/>
      <x:c r="BG30" s="1298"/>
      <x:c r="BH30" s="1298"/>
      <x:c r="BI30" s="1298"/>
      <x:c r="BJ30" s="1299"/>
      <x:c r="BK30" s="1489"/>
      <x:c r="BL30" s="1490"/>
      <x:c r="BM30" s="1490"/>
      <x:c r="BN30" s="1490"/>
      <x:c r="BO30" s="1491"/>
      <x:c r="BP30" s="1507"/>
      <x:c r="BQ30" s="1508"/>
      <x:c r="BR30" s="1508"/>
      <x:c r="BS30" s="1508"/>
      <x:c r="BT30" s="1509"/>
      <x:c r="BU30" s="1498"/>
      <x:c r="BV30" s="1499"/>
      <x:c r="BW30" s="1499"/>
      <x:c r="BX30" s="1499"/>
      <x:c r="BY30" s="1500"/>
      <x:c r="BZ30" s="1549"/>
      <x:c r="CA30" s="1550"/>
      <x:c r="CB30" s="360"/>
      <x:c r="CC30" s="485"/>
      <x:c r="CE30" s="491"/>
      <x:c r="CF30" s="54"/>
      <x:c r="CG30" s="1549"/>
      <x:c r="CH30" s="1550"/>
      <x:c r="CI30" s="1632"/>
      <x:c r="CJ30" s="1633"/>
      <x:c r="CK30" s="1633"/>
      <x:c r="CL30" s="1633"/>
      <x:c r="CM30" s="1634"/>
      <x:c r="CN30" s="1605"/>
      <x:c r="CO30" s="1606"/>
      <x:c r="CP30" s="1606"/>
      <x:c r="CQ30" s="1606"/>
      <x:c r="CR30" s="1607"/>
      <x:c r="CS30" s="1575"/>
      <x:c r="CT30" s="1576"/>
      <x:c r="CU30" s="1576"/>
      <x:c r="CV30" s="1576"/>
      <x:c r="CW30" s="1577"/>
      <x:c r="CX30" s="1297"/>
      <x:c r="CY30" s="1298"/>
      <x:c r="CZ30" s="1298"/>
      <x:c r="DA30" s="1298"/>
      <x:c r="DB30" s="1299"/>
      <x:c r="DC30" s="1288"/>
      <x:c r="DD30" s="1289"/>
      <x:c r="DE30" s="1289"/>
      <x:c r="DF30" s="1289"/>
      <x:c r="DG30" s="1290"/>
      <x:c r="DH30" s="1279"/>
      <x:c r="DI30" s="1280"/>
      <x:c r="DJ30" s="1280"/>
      <x:c r="DK30" s="1280"/>
      <x:c r="DL30" s="1281"/>
      <x:c r="DM30" s="1243"/>
      <x:c r="DN30" s="1244"/>
      <x:c r="DO30" s="1244"/>
      <x:c r="DP30" s="1244"/>
      <x:c r="DQ30" s="1245"/>
      <x:c r="DR30" s="1252"/>
      <x:c r="DS30" s="1253"/>
      <x:c r="DT30" s="1253"/>
      <x:c r="DU30" s="1253"/>
      <x:c r="DV30" s="1254"/>
      <x:c r="DW30" s="1252"/>
      <x:c r="DX30" s="1253"/>
      <x:c r="DY30" s="1253"/>
      <x:c r="DZ30" s="1253"/>
      <x:c r="EA30" s="1483"/>
      <x:c r="EB30" s="1549"/>
      <x:c r="EC30" s="1550"/>
      <x:c r="ED30" s="360"/>
      <x:c r="EE30" s="485"/>
    </x:row>
    <x:row r="31" spans="2:135" ht="13.5" customHeight="1" x14ac:dyDescent="0.2">
      <x:c r="B31" s="274" t="s">
        <x:v>416</x:v>
      </x:c>
      <x:c r="C31" s="414">
        <x:f>'building data'!C23</x:f>
        <x:v>1.1934894239820351</x:v>
      </x:c>
      <x:c r="D31" s="43" t="s">
        <x:v>5</x:v>
      </x:c>
      <x:c r="E31" s="43"/>
      <x:c r="F31" s="43"/>
      <x:c r="G31" s="43"/>
      <x:c r="H31" s="43"/>
      <x:c r="I31" s="43"/>
      <x:c r="J31" s="43"/>
      <x:c r="K31" s="977"/>
      <x:c r="L31" s="156"/>
      <x:c r="M31" s="156"/>
      <x:c r="N31" s="156"/>
      <x:c r="O31" s="156"/>
      <x:c r="P31" s="156"/>
      <x:c r="Q31" s="156"/>
      <x:c r="R31" s="156"/>
      <x:c r="S31" s="156"/>
      <x:c r="T31" s="156"/>
      <x:c r="U31" s="156"/>
      <x:c r="V31" s="156"/>
      <x:c r="W31" s="156"/>
      <x:c r="X31" s="156"/>
      <x:c r="Y31" s="156"/>
      <x:c r="Z31" s="156"/>
      <x:c r="AA31" s="156"/>
      <x:c r="AC31" s="491"/>
      <x:c r="AD31" s="54"/>
      <x:c r="AE31" s="1549"/>
      <x:c r="AF31" s="1550"/>
      <x:c r="AG31" s="1305"/>
      <x:c r="AH31" s="1256"/>
      <x:c r="AI31" s="1256"/>
      <x:c r="AJ31" s="1256"/>
      <x:c r="AK31" s="1257"/>
      <x:c r="AL31" s="1255"/>
      <x:c r="AM31" s="1256"/>
      <x:c r="AN31" s="1256"/>
      <x:c r="AO31" s="1256"/>
      <x:c r="AP31" s="1257"/>
      <x:c r="AQ31" s="1246"/>
      <x:c r="AR31" s="1247"/>
      <x:c r="AS31" s="1247"/>
      <x:c r="AT31" s="1247"/>
      <x:c r="AU31" s="1248"/>
      <x:c r="AV31" s="1282"/>
      <x:c r="AW31" s="1283"/>
      <x:c r="AX31" s="1283"/>
      <x:c r="AY31" s="1283"/>
      <x:c r="AZ31" s="1284"/>
      <x:c r="BA31" s="1291"/>
      <x:c r="BB31" s="1292"/>
      <x:c r="BC31" s="1292"/>
      <x:c r="BD31" s="1292"/>
      <x:c r="BE31" s="1293"/>
      <x:c r="BF31" s="1300"/>
      <x:c r="BG31" s="1301"/>
      <x:c r="BH31" s="1301"/>
      <x:c r="BI31" s="1301"/>
      <x:c r="BJ31" s="1302"/>
      <x:c r="BK31" s="1492"/>
      <x:c r="BL31" s="1493"/>
      <x:c r="BM31" s="1493"/>
      <x:c r="BN31" s="1493"/>
      <x:c r="BO31" s="1494"/>
      <x:c r="BP31" s="1510"/>
      <x:c r="BQ31" s="1511"/>
      <x:c r="BR31" s="1511"/>
      <x:c r="BS31" s="1511"/>
      <x:c r="BT31" s="1512"/>
      <x:c r="BU31" s="1501"/>
      <x:c r="BV31" s="1502"/>
      <x:c r="BW31" s="1502"/>
      <x:c r="BX31" s="1502"/>
      <x:c r="BY31" s="1503"/>
      <x:c r="BZ31" s="1549"/>
      <x:c r="CA31" s="1550"/>
      <x:c r="CB31" s="360"/>
      <x:c r="CC31" s="485"/>
      <x:c r="CE31" s="491"/>
      <x:c r="CF31" s="54"/>
      <x:c r="CG31" s="1549"/>
      <x:c r="CH31" s="1550"/>
      <x:c r="CI31" s="1635"/>
      <x:c r="CJ31" s="1636"/>
      <x:c r="CK31" s="1636"/>
      <x:c r="CL31" s="1636"/>
      <x:c r="CM31" s="1637"/>
      <x:c r="CN31" s="1608"/>
      <x:c r="CO31" s="1609"/>
      <x:c r="CP31" s="1609"/>
      <x:c r="CQ31" s="1609"/>
      <x:c r="CR31" s="1610"/>
      <x:c r="CS31" s="1599"/>
      <x:c r="CT31" s="1600"/>
      <x:c r="CU31" s="1600"/>
      <x:c r="CV31" s="1600"/>
      <x:c r="CW31" s="1601"/>
      <x:c r="CX31" s="1300"/>
      <x:c r="CY31" s="1301"/>
      <x:c r="CZ31" s="1301"/>
      <x:c r="DA31" s="1301"/>
      <x:c r="DB31" s="1302"/>
      <x:c r="DC31" s="1291"/>
      <x:c r="DD31" s="1292"/>
      <x:c r="DE31" s="1292"/>
      <x:c r="DF31" s="1292"/>
      <x:c r="DG31" s="1293"/>
      <x:c r="DH31" s="1282"/>
      <x:c r="DI31" s="1283"/>
      <x:c r="DJ31" s="1283"/>
      <x:c r="DK31" s="1283"/>
      <x:c r="DL31" s="1284"/>
      <x:c r="DM31" s="1246"/>
      <x:c r="DN31" s="1247"/>
      <x:c r="DO31" s="1247"/>
      <x:c r="DP31" s="1247"/>
      <x:c r="DQ31" s="1248"/>
      <x:c r="DR31" s="1255"/>
      <x:c r="DS31" s="1256"/>
      <x:c r="DT31" s="1256"/>
      <x:c r="DU31" s="1256"/>
      <x:c r="DV31" s="1257"/>
      <x:c r="DW31" s="1255"/>
      <x:c r="DX31" s="1256"/>
      <x:c r="DY31" s="1256"/>
      <x:c r="DZ31" s="1256"/>
      <x:c r="EA31" s="1484"/>
      <x:c r="EB31" s="1549"/>
      <x:c r="EC31" s="1550"/>
      <x:c r="ED31" s="360"/>
      <x:c r="EE31" s="485"/>
    </x:row>
    <x:row r="32" spans="2:135" ht="20.25" customHeight="1" x14ac:dyDescent="0.2">
      <x:c r="B32" s="1419" t="s">
        <x:v>417</x:v>
      </x:c>
      <x:c r="C32" s="1420"/>
      <x:c r="D32" s="1420"/>
      <x:c r="E32" s="1420"/>
      <x:c r="F32" s="1420"/>
      <x:c r="G32" s="1420"/>
      <x:c r="H32" s="1420"/>
      <x:c r="I32" s="1421"/>
      <x:c r="J32" s="1431" t="s">
        <x:v>19</x:v>
      </x:c>
      <x:c r="K32" s="978"/>
      <x:c r="L32" s="150"/>
      <x:c r="M32" s="150"/>
      <x:c r="N32" s="150"/>
      <x:c r="O32" s="150"/>
      <x:c r="P32" s="150"/>
      <x:c r="Q32" s="150"/>
      <x:c r="R32" s="150"/>
      <x:c r="S32" s="150"/>
      <x:c r="T32" s="150"/>
      <x:c r="U32" s="150"/>
      <x:c r="V32" s="150"/>
      <x:c r="W32" s="150"/>
      <x:c r="X32" s="150"/>
      <x:c r="Y32" s="150"/>
      <x:c r="Z32" s="150"/>
      <x:c r="AA32" s="150"/>
      <x:c r="AD32" s="54"/>
      <x:c r="AE32" s="1549"/>
      <x:c r="AF32" s="1550"/>
      <x:c r="AG32" s="1303" t="str">
        <x:f>AL32</x:f>
        <x:v>Inner row
Interior modules</x:v>
      </x:c>
      <x:c r="AH32" s="1250"/>
      <x:c r="AI32" s="1250"/>
      <x:c r="AJ32" s="1250"/>
      <x:c r="AK32" s="1251"/>
      <x:c r="AL32" s="1249" t="str">
        <x:f>CONCATENATE(B200,CHAR(10),E142)</x:f>
        <x:v>Inner row
Interior modules</x:v>
      </x:c>
      <x:c r="AM32" s="1250"/>
      <x:c r="AN32" s="1250"/>
      <x:c r="AO32" s="1250"/>
      <x:c r="AP32" s="1251"/>
      <x:c r="AQ32" s="1240" t="str">
        <x:f>CONCATENATE(B200,CHAR(10),E141)</x:f>
        <x:v>Inner row
1st-4th module</x:v>
      </x:c>
      <x:c r="AR32" s="1241"/>
      <x:c r="AS32" s="1241"/>
      <x:c r="AT32" s="1241"/>
      <x:c r="AU32" s="1242"/>
      <x:c r="AV32" s="1276" t="str">
        <x:f>CONCATENATE(B200,CHAR(10),E133)</x:f>
        <x:v>Inner row
Interior modules</x:v>
      </x:c>
      <x:c r="AW32" s="1277"/>
      <x:c r="AX32" s="1277"/>
      <x:c r="AY32" s="1277"/>
      <x:c r="AZ32" s="1278"/>
      <x:c r="BA32" s="1285" t="str">
        <x:f>CONCATENATE(B200,CHAR(10),E132)</x:f>
        <x:v>Inner row
1st-4th module</x:v>
      </x:c>
      <x:c r="BB32" s="1286"/>
      <x:c r="BC32" s="1286"/>
      <x:c r="BD32" s="1286"/>
      <x:c r="BE32" s="1287"/>
      <x:c r="BF32" s="1294" t="str">
        <x:f>CONCATENATE(B200,CHAR(10),E124)</x:f>
        <x:v>Inner row
Interior modules</x:v>
      </x:c>
      <x:c r="BG32" s="1295"/>
      <x:c r="BH32" s="1295"/>
      <x:c r="BI32" s="1295"/>
      <x:c r="BJ32" s="1296"/>
      <x:c r="BK32" s="1486" t="str">
        <x:f>CONCATENATE(B200,CHAR(10),E123)</x:f>
        <x:v>Inner row
1st-4th module</x:v>
      </x:c>
      <x:c r="BL32" s="1487"/>
      <x:c r="BM32" s="1487"/>
      <x:c r="BN32" s="1487"/>
      <x:c r="BO32" s="1488"/>
      <x:c r="BP32" s="1504" t="str">
        <x:f>CONCATENATE(B200,CHAR(10),E106)</x:f>
        <x:v>Inner row
Interior modules</x:v>
      </x:c>
      <x:c r="BQ32" s="1505"/>
      <x:c r="BR32" s="1505"/>
      <x:c r="BS32" s="1505"/>
      <x:c r="BT32" s="1506"/>
      <x:c r="BU32" s="1495" t="str">
        <x:f>CONCATENATE(B200,CHAR(10),E105)</x:f>
        <x:v>Inner row
1st-4th module</x:v>
      </x:c>
      <x:c r="BV32" s="1496"/>
      <x:c r="BW32" s="1496"/>
      <x:c r="BX32" s="1496"/>
      <x:c r="BY32" s="1497"/>
      <x:c r="BZ32" s="1549"/>
      <x:c r="CA32" s="1550"/>
      <x:c r="CB32" s="360"/>
      <x:c r="CC32" s="603">
        <x:f>IF(20&lt;'building data'!$C$21,20,'building data'!$C$21)</x:f>
        <x:v>20</x:v>
      </x:c>
      <x:c r="CE32" s="491"/>
      <x:c r="CF32" s="54"/>
      <x:c r="CG32" s="1549"/>
      <x:c r="CH32" s="1550"/>
      <x:c r="CI32" s="1652" t="str">
        <x:f>BU32</x:f>
        <x:v>Inner row
1st-4th module</x:v>
      </x:c>
      <x:c r="CJ32" s="1653"/>
      <x:c r="CK32" s="1653"/>
      <x:c r="CL32" s="1653"/>
      <x:c r="CM32" s="1654"/>
      <x:c r="CN32" s="1602" t="str">
        <x:f>BP32</x:f>
        <x:v>Inner row
Interior modules</x:v>
      </x:c>
      <x:c r="CO32" s="1603"/>
      <x:c r="CP32" s="1603"/>
      <x:c r="CQ32" s="1603"/>
      <x:c r="CR32" s="1604"/>
      <x:c r="CS32" s="1572" t="str">
        <x:f>BK32</x:f>
        <x:v>Inner row
1st-4th module</x:v>
      </x:c>
      <x:c r="CT32" s="1573"/>
      <x:c r="CU32" s="1573"/>
      <x:c r="CV32" s="1573"/>
      <x:c r="CW32" s="1574"/>
      <x:c r="CX32" s="1294" t="str">
        <x:f>BF32</x:f>
        <x:v>Inner row
Interior modules</x:v>
      </x:c>
      <x:c r="CY32" s="1295"/>
      <x:c r="CZ32" s="1295"/>
      <x:c r="DA32" s="1295"/>
      <x:c r="DB32" s="1296"/>
      <x:c r="DC32" s="1285" t="str">
        <x:f>BA32</x:f>
        <x:v>Inner row
1st-4th module</x:v>
      </x:c>
      <x:c r="DD32" s="1286"/>
      <x:c r="DE32" s="1286"/>
      <x:c r="DF32" s="1286"/>
      <x:c r="DG32" s="1287"/>
      <x:c r="DH32" s="1276" t="str">
        <x:f>AV32</x:f>
        <x:v>Inner row
Interior modules</x:v>
      </x:c>
      <x:c r="DI32" s="1277"/>
      <x:c r="DJ32" s="1277"/>
      <x:c r="DK32" s="1277"/>
      <x:c r="DL32" s="1278"/>
      <x:c r="DM32" s="1240" t="str">
        <x:f>AQ32</x:f>
        <x:v>Inner row
1st-4th module</x:v>
      </x:c>
      <x:c r="DN32" s="1241"/>
      <x:c r="DO32" s="1241"/>
      <x:c r="DP32" s="1241"/>
      <x:c r="DQ32" s="1242"/>
      <x:c r="DR32" s="1249" t="str">
        <x:f>AL32</x:f>
        <x:v>Inner row
Interior modules</x:v>
      </x:c>
      <x:c r="DS32" s="1250"/>
      <x:c r="DT32" s="1250"/>
      <x:c r="DU32" s="1250"/>
      <x:c r="DV32" s="1251"/>
      <x:c r="DW32" s="1249" t="str">
        <x:f>AG32</x:f>
        <x:v>Inner row
Interior modules</x:v>
      </x:c>
      <x:c r="DX32" s="1250"/>
      <x:c r="DY32" s="1250"/>
      <x:c r="DZ32" s="1250"/>
      <x:c r="EA32" s="1482"/>
      <x:c r="EB32" s="1549"/>
      <x:c r="EC32" s="1550"/>
      <x:c r="ED32" s="360"/>
      <x:c r="EE32" s="603">
        <x:f>IF(20&lt;'building data'!$C$21,20,'building data'!$C$21)</x:f>
        <x:v>20</x:v>
      </x:c>
    </x:row>
    <x:row r="33" spans="1:135" ht="20.25" customHeight="1" x14ac:dyDescent="0.2">
      <x:c r="B33" s="1419"/>
      <x:c r="C33" s="1420"/>
      <x:c r="D33" s="1420"/>
      <x:c r="E33" s="1420"/>
      <x:c r="F33" s="1420"/>
      <x:c r="G33" s="1420"/>
      <x:c r="H33" s="1420"/>
      <x:c r="I33" s="1421"/>
      <x:c r="J33" s="1432"/>
      <x:c r="K33" s="979"/>
      <x:c r="L33" s="946"/>
      <x:c r="M33" s="1045"/>
      <x:c r="N33" s="946"/>
      <x:c r="O33" s="946"/>
      <x:c r="P33" s="946"/>
      <x:c r="Q33" s="946"/>
      <x:c r="R33" s="946"/>
      <x:c r="S33" s="946"/>
      <x:c r="T33" s="946"/>
      <x:c r="U33" s="946"/>
      <x:c r="V33" s="946"/>
      <x:c r="W33" s="946"/>
      <x:c r="X33" s="946"/>
      <x:c r="Y33" s="946"/>
      <x:c r="Z33" s="946"/>
      <x:c r="AA33" s="946"/>
      <x:c r="AD33" s="54"/>
      <x:c r="AE33" s="1549"/>
      <x:c r="AF33" s="1550"/>
      <x:c r="AG33" s="1305"/>
      <x:c r="AH33" s="1256"/>
      <x:c r="AI33" s="1256"/>
      <x:c r="AJ33" s="1256"/>
      <x:c r="AK33" s="1257"/>
      <x:c r="AL33" s="1255"/>
      <x:c r="AM33" s="1256"/>
      <x:c r="AN33" s="1256"/>
      <x:c r="AO33" s="1256"/>
      <x:c r="AP33" s="1257"/>
      <x:c r="AQ33" s="1246"/>
      <x:c r="AR33" s="1247"/>
      <x:c r="AS33" s="1247"/>
      <x:c r="AT33" s="1247"/>
      <x:c r="AU33" s="1248"/>
      <x:c r="AV33" s="1282"/>
      <x:c r="AW33" s="1283"/>
      <x:c r="AX33" s="1283"/>
      <x:c r="AY33" s="1283"/>
      <x:c r="AZ33" s="1284"/>
      <x:c r="BA33" s="1291"/>
      <x:c r="BB33" s="1292"/>
      <x:c r="BC33" s="1292"/>
      <x:c r="BD33" s="1292"/>
      <x:c r="BE33" s="1293"/>
      <x:c r="BF33" s="1300"/>
      <x:c r="BG33" s="1301"/>
      <x:c r="BH33" s="1301"/>
      <x:c r="BI33" s="1301"/>
      <x:c r="BJ33" s="1302"/>
      <x:c r="BK33" s="1492"/>
      <x:c r="BL33" s="1493"/>
      <x:c r="BM33" s="1493"/>
      <x:c r="BN33" s="1493"/>
      <x:c r="BO33" s="1494"/>
      <x:c r="BP33" s="1510"/>
      <x:c r="BQ33" s="1511"/>
      <x:c r="BR33" s="1511"/>
      <x:c r="BS33" s="1511"/>
      <x:c r="BT33" s="1512"/>
      <x:c r="BU33" s="1501"/>
      <x:c r="BV33" s="1502"/>
      <x:c r="BW33" s="1502"/>
      <x:c r="BX33" s="1502"/>
      <x:c r="BY33" s="1503"/>
      <x:c r="BZ33" s="1549"/>
      <x:c r="CA33" s="1550"/>
      <x:c r="CB33" s="360"/>
      <x:c r="CC33" s="602" t="s">
        <x:v>0</x:v>
      </x:c>
      <x:c r="CE33" s="491"/>
      <x:c r="CF33" s="54"/>
      <x:c r="CG33" s="1549"/>
      <x:c r="CH33" s="1550"/>
      <x:c r="CI33" s="1635"/>
      <x:c r="CJ33" s="1636"/>
      <x:c r="CK33" s="1636"/>
      <x:c r="CL33" s="1636"/>
      <x:c r="CM33" s="1637"/>
      <x:c r="CN33" s="1608"/>
      <x:c r="CO33" s="1609"/>
      <x:c r="CP33" s="1609"/>
      <x:c r="CQ33" s="1609"/>
      <x:c r="CR33" s="1610"/>
      <x:c r="CS33" s="1599"/>
      <x:c r="CT33" s="1600"/>
      <x:c r="CU33" s="1600"/>
      <x:c r="CV33" s="1600"/>
      <x:c r="CW33" s="1601"/>
      <x:c r="CX33" s="1300"/>
      <x:c r="CY33" s="1301"/>
      <x:c r="CZ33" s="1301"/>
      <x:c r="DA33" s="1301"/>
      <x:c r="DB33" s="1302"/>
      <x:c r="DC33" s="1291"/>
      <x:c r="DD33" s="1292"/>
      <x:c r="DE33" s="1292"/>
      <x:c r="DF33" s="1292"/>
      <x:c r="DG33" s="1293"/>
      <x:c r="DH33" s="1282"/>
      <x:c r="DI33" s="1283"/>
      <x:c r="DJ33" s="1283"/>
      <x:c r="DK33" s="1283"/>
      <x:c r="DL33" s="1284"/>
      <x:c r="DM33" s="1246"/>
      <x:c r="DN33" s="1247"/>
      <x:c r="DO33" s="1247"/>
      <x:c r="DP33" s="1247"/>
      <x:c r="DQ33" s="1248"/>
      <x:c r="DR33" s="1255"/>
      <x:c r="DS33" s="1256"/>
      <x:c r="DT33" s="1256"/>
      <x:c r="DU33" s="1256"/>
      <x:c r="DV33" s="1257"/>
      <x:c r="DW33" s="1255"/>
      <x:c r="DX33" s="1256"/>
      <x:c r="DY33" s="1256"/>
      <x:c r="DZ33" s="1256"/>
      <x:c r="EA33" s="1484"/>
      <x:c r="EB33" s="1549"/>
      <x:c r="EC33" s="1550"/>
      <x:c r="ED33" s="360"/>
      <x:c r="EE33" s="602" t="s">
        <x:v>0</x:v>
      </x:c>
    </x:row>
    <x:row r="34" spans="1:135" ht="13.5" customHeight="1" thickBot="1" x14ac:dyDescent="0.25">
      <x:c r="B34" s="1422"/>
      <x:c r="C34" s="1423"/>
      <x:c r="D34" s="1423"/>
      <x:c r="E34" s="1423"/>
      <x:c r="F34" s="1423"/>
      <x:c r="G34" s="1423"/>
      <x:c r="H34" s="1423"/>
      <x:c r="I34" s="1424"/>
      <x:c r="J34" s="1433"/>
      <x:c r="K34" s="980"/>
      <x:c r="L34" s="316"/>
      <x:c r="M34" s="316"/>
      <x:c r="N34" s="316"/>
      <x:c r="O34" s="316"/>
      <x:c r="P34" s="316"/>
      <x:c r="Q34" s="316"/>
      <x:c r="R34" s="316"/>
      <x:c r="S34" s="316"/>
      <x:c r="T34" s="316"/>
      <x:c r="U34" s="316"/>
      <x:c r="V34" s="316"/>
      <x:c r="W34" s="316"/>
      <x:c r="X34" s="316"/>
      <x:c r="Y34" s="316"/>
      <x:c r="Z34" s="316"/>
      <x:c r="AA34" s="316"/>
      <x:c r="AD34" s="54"/>
      <x:c r="AE34" s="1549"/>
      <x:c r="AF34" s="1550"/>
      <x:c r="AG34" s="1303" t="str">
        <x:f>AL34</x:f>
        <x:v>Inner row
Interior modules</x:v>
      </x:c>
      <x:c r="AH34" s="1250"/>
      <x:c r="AI34" s="1250"/>
      <x:c r="AJ34" s="1250"/>
      <x:c r="AK34" s="1251"/>
      <x:c r="AL34" s="1249" t="str">
        <x:f>AL32</x:f>
        <x:v>Inner row
Interior modules</x:v>
      </x:c>
      <x:c r="AM34" s="1250"/>
      <x:c r="AN34" s="1250"/>
      <x:c r="AO34" s="1250"/>
      <x:c r="AP34" s="1251"/>
      <x:c r="AQ34" s="1240" t="str">
        <x:f>AQ32</x:f>
        <x:v>Inner row
1st-4th module</x:v>
      </x:c>
      <x:c r="AR34" s="1241"/>
      <x:c r="AS34" s="1241"/>
      <x:c r="AT34" s="1241"/>
      <x:c r="AU34" s="1242"/>
      <x:c r="AV34" s="1276" t="str">
        <x:f>AV32</x:f>
        <x:v>Inner row
Interior modules</x:v>
      </x:c>
      <x:c r="AW34" s="1277"/>
      <x:c r="AX34" s="1277"/>
      <x:c r="AY34" s="1277"/>
      <x:c r="AZ34" s="1278"/>
      <x:c r="BA34" s="1285" t="str">
        <x:f>BA32</x:f>
        <x:v>Inner row
1st-4th module</x:v>
      </x:c>
      <x:c r="BB34" s="1286"/>
      <x:c r="BC34" s="1286"/>
      <x:c r="BD34" s="1286"/>
      <x:c r="BE34" s="1287"/>
      <x:c r="BF34" s="1294" t="str">
        <x:f>BF32</x:f>
        <x:v>Inner row
Interior modules</x:v>
      </x:c>
      <x:c r="BG34" s="1295"/>
      <x:c r="BH34" s="1295"/>
      <x:c r="BI34" s="1295"/>
      <x:c r="BJ34" s="1296"/>
      <x:c r="BK34" s="1486" t="str">
        <x:f>BK32</x:f>
        <x:v>Inner row
1st-4th module</x:v>
      </x:c>
      <x:c r="BL34" s="1487"/>
      <x:c r="BM34" s="1487"/>
      <x:c r="BN34" s="1487"/>
      <x:c r="BO34" s="1488"/>
      <x:c r="BP34" s="1504" t="str">
        <x:f>BP32</x:f>
        <x:v>Inner row
Interior modules</x:v>
      </x:c>
      <x:c r="BQ34" s="1505"/>
      <x:c r="BR34" s="1505"/>
      <x:c r="BS34" s="1505"/>
      <x:c r="BT34" s="1506"/>
      <x:c r="BU34" s="1495" t="str">
        <x:f>BU32</x:f>
        <x:v>Inner row
1st-4th module</x:v>
      </x:c>
      <x:c r="BV34" s="1496"/>
      <x:c r="BW34" s="1496"/>
      <x:c r="BX34" s="1496"/>
      <x:c r="BY34" s="1497"/>
      <x:c r="BZ34" s="1549"/>
      <x:c r="CA34" s="1550"/>
      <x:c r="CB34" s="360"/>
      <x:c r="CC34" s="1436" t="s">
        <x:v>78</x:v>
      </x:c>
      <x:c r="CE34" s="491"/>
      <x:c r="CF34" s="54"/>
      <x:c r="CG34" s="1549"/>
      <x:c r="CH34" s="1550"/>
      <x:c r="CI34" s="1652" t="str">
        <x:f>BU34</x:f>
        <x:v>Inner row
1st-4th module</x:v>
      </x:c>
      <x:c r="CJ34" s="1653"/>
      <x:c r="CK34" s="1653"/>
      <x:c r="CL34" s="1653"/>
      <x:c r="CM34" s="1654"/>
      <x:c r="CN34" s="1602" t="str">
        <x:f>BP34</x:f>
        <x:v>Inner row
Interior modules</x:v>
      </x:c>
      <x:c r="CO34" s="1603"/>
      <x:c r="CP34" s="1603"/>
      <x:c r="CQ34" s="1603"/>
      <x:c r="CR34" s="1604"/>
      <x:c r="CS34" s="1572" t="str">
        <x:f>BF34</x:f>
        <x:v>Inner row
Interior modules</x:v>
      </x:c>
      <x:c r="CT34" s="1573"/>
      <x:c r="CU34" s="1573"/>
      <x:c r="CV34" s="1573"/>
      <x:c r="CW34" s="1574"/>
      <x:c r="CX34" s="1294" t="str">
        <x:f>BF34</x:f>
        <x:v>Inner row
Interior modules</x:v>
      </x:c>
      <x:c r="CY34" s="1295"/>
      <x:c r="CZ34" s="1295"/>
      <x:c r="DA34" s="1295"/>
      <x:c r="DB34" s="1296"/>
      <x:c r="DC34" s="1285" t="str">
        <x:f>BA34</x:f>
        <x:v>Inner row
1st-4th module</x:v>
      </x:c>
      <x:c r="DD34" s="1286"/>
      <x:c r="DE34" s="1286"/>
      <x:c r="DF34" s="1286"/>
      <x:c r="DG34" s="1287"/>
      <x:c r="DH34" s="1276" t="str">
        <x:f>AV34</x:f>
        <x:v>Inner row
Interior modules</x:v>
      </x:c>
      <x:c r="DI34" s="1277"/>
      <x:c r="DJ34" s="1277"/>
      <x:c r="DK34" s="1277"/>
      <x:c r="DL34" s="1278"/>
      <x:c r="DM34" s="1240" t="str">
        <x:f>AQ34</x:f>
        <x:v>Inner row
1st-4th module</x:v>
      </x:c>
      <x:c r="DN34" s="1241"/>
      <x:c r="DO34" s="1241"/>
      <x:c r="DP34" s="1241"/>
      <x:c r="DQ34" s="1242"/>
      <x:c r="DR34" s="1249" t="str">
        <x:f>AL34</x:f>
        <x:v>Inner row
Interior modules</x:v>
      </x:c>
      <x:c r="DS34" s="1250"/>
      <x:c r="DT34" s="1250"/>
      <x:c r="DU34" s="1250"/>
      <x:c r="DV34" s="1251"/>
      <x:c r="DW34" s="1249" t="str">
        <x:f>AG34</x:f>
        <x:v>Inner row
Interior modules</x:v>
      </x:c>
      <x:c r="DX34" s="1250"/>
      <x:c r="DY34" s="1250"/>
      <x:c r="DZ34" s="1250"/>
      <x:c r="EA34" s="1482"/>
      <x:c r="EB34" s="1549"/>
      <x:c r="EC34" s="1550"/>
      <x:c r="ED34" s="360"/>
      <x:c r="EE34" s="1436" t="s">
        <x:v>78</x:v>
      </x:c>
    </x:row>
    <x:row r="35" spans="1:135" ht="13.5" customHeight="1" thickBot="1" x14ac:dyDescent="0.25">
      <x:c r="B35" s="417"/>
      <x:c r="C35" s="43"/>
      <x:c r="D35" s="46"/>
      <x:c r="E35" s="46"/>
      <x:c r="F35" s="120"/>
      <x:c r="G35" s="46"/>
      <x:c r="H35" s="46"/>
      <x:c r="I35" s="46"/>
      <x:c r="J35" s="46"/>
      <x:c r="K35" s="980"/>
      <x:c r="L35" s="316"/>
      <x:c r="M35" s="316"/>
      <x:c r="N35" s="316"/>
      <x:c r="O35" s="316"/>
      <x:c r="P35" s="316"/>
      <x:c r="Q35" s="316"/>
      <x:c r="R35" s="316"/>
      <x:c r="S35" s="316"/>
      <x:c r="T35" s="316"/>
      <x:c r="U35" s="316"/>
      <x:c r="V35" s="316"/>
      <x:c r="W35" s="316"/>
      <x:c r="X35" s="316"/>
      <x:c r="Y35" s="316"/>
      <x:c r="Z35" s="316"/>
      <x:c r="AA35" s="316"/>
      <x:c r="AC35" s="491"/>
      <x:c r="AD35" s="54"/>
      <x:c r="AE35" s="1549"/>
      <x:c r="AF35" s="1550"/>
      <x:c r="AG35" s="1304"/>
      <x:c r="AH35" s="1253"/>
      <x:c r="AI35" s="1253"/>
      <x:c r="AJ35" s="1253"/>
      <x:c r="AK35" s="1254"/>
      <x:c r="AL35" s="1252"/>
      <x:c r="AM35" s="1253"/>
      <x:c r="AN35" s="1253"/>
      <x:c r="AO35" s="1253"/>
      <x:c r="AP35" s="1254"/>
      <x:c r="AQ35" s="1243"/>
      <x:c r="AR35" s="1244"/>
      <x:c r="AS35" s="1244"/>
      <x:c r="AT35" s="1244"/>
      <x:c r="AU35" s="1245"/>
      <x:c r="AV35" s="1279"/>
      <x:c r="AW35" s="1280"/>
      <x:c r="AX35" s="1280"/>
      <x:c r="AY35" s="1280"/>
      <x:c r="AZ35" s="1281"/>
      <x:c r="BA35" s="1288"/>
      <x:c r="BB35" s="1289"/>
      <x:c r="BC35" s="1289"/>
      <x:c r="BD35" s="1289"/>
      <x:c r="BE35" s="1290"/>
      <x:c r="BF35" s="1297"/>
      <x:c r="BG35" s="1298"/>
      <x:c r="BH35" s="1298"/>
      <x:c r="BI35" s="1298"/>
      <x:c r="BJ35" s="1299"/>
      <x:c r="BK35" s="1489"/>
      <x:c r="BL35" s="1490"/>
      <x:c r="BM35" s="1490"/>
      <x:c r="BN35" s="1490"/>
      <x:c r="BO35" s="1491"/>
      <x:c r="BP35" s="1507"/>
      <x:c r="BQ35" s="1508"/>
      <x:c r="BR35" s="1508"/>
      <x:c r="BS35" s="1508"/>
      <x:c r="BT35" s="1509"/>
      <x:c r="BU35" s="1498"/>
      <x:c r="BV35" s="1499"/>
      <x:c r="BW35" s="1499"/>
      <x:c r="BX35" s="1499"/>
      <x:c r="BY35" s="1500"/>
      <x:c r="BZ35" s="1549"/>
      <x:c r="CA35" s="1550"/>
      <x:c r="CB35" s="360"/>
      <x:c r="CC35" s="1436"/>
      <x:c r="CE35" s="491"/>
      <x:c r="CF35" s="54"/>
      <x:c r="CG35" s="1549"/>
      <x:c r="CH35" s="1550"/>
      <x:c r="CI35" s="1632"/>
      <x:c r="CJ35" s="1633"/>
      <x:c r="CK35" s="1633"/>
      <x:c r="CL35" s="1633"/>
      <x:c r="CM35" s="1634"/>
      <x:c r="CN35" s="1605"/>
      <x:c r="CO35" s="1606"/>
      <x:c r="CP35" s="1606"/>
      <x:c r="CQ35" s="1606"/>
      <x:c r="CR35" s="1607"/>
      <x:c r="CS35" s="1575"/>
      <x:c r="CT35" s="1576"/>
      <x:c r="CU35" s="1576"/>
      <x:c r="CV35" s="1576"/>
      <x:c r="CW35" s="1577"/>
      <x:c r="CX35" s="1297"/>
      <x:c r="CY35" s="1298"/>
      <x:c r="CZ35" s="1298"/>
      <x:c r="DA35" s="1298"/>
      <x:c r="DB35" s="1299"/>
      <x:c r="DC35" s="1288"/>
      <x:c r="DD35" s="1289"/>
      <x:c r="DE35" s="1289"/>
      <x:c r="DF35" s="1289"/>
      <x:c r="DG35" s="1290"/>
      <x:c r="DH35" s="1279"/>
      <x:c r="DI35" s="1280"/>
      <x:c r="DJ35" s="1280"/>
      <x:c r="DK35" s="1280"/>
      <x:c r="DL35" s="1281"/>
      <x:c r="DM35" s="1243"/>
      <x:c r="DN35" s="1244"/>
      <x:c r="DO35" s="1244"/>
      <x:c r="DP35" s="1244"/>
      <x:c r="DQ35" s="1245"/>
      <x:c r="DR35" s="1252"/>
      <x:c r="DS35" s="1253"/>
      <x:c r="DT35" s="1253"/>
      <x:c r="DU35" s="1253"/>
      <x:c r="DV35" s="1254"/>
      <x:c r="DW35" s="1252"/>
      <x:c r="DX35" s="1253"/>
      <x:c r="DY35" s="1253"/>
      <x:c r="DZ35" s="1253"/>
      <x:c r="EA35" s="1483"/>
      <x:c r="EB35" s="1549"/>
      <x:c r="EC35" s="1550"/>
      <x:c r="ED35" s="360"/>
      <x:c r="EE35" s="1436"/>
    </x:row>
    <x:row r="36" spans="1:135" ht="13.5" customHeight="1" thickBot="1" x14ac:dyDescent="0.25">
      <x:c r="B36" s="1428" t="s">
        <x:v>418</x:v>
      </x:c>
      <x:c r="C36" s="1429"/>
      <x:c r="D36" s="1429"/>
      <x:c r="E36" s="1429"/>
      <x:c r="F36" s="1429"/>
      <x:c r="G36" s="1429"/>
      <x:c r="H36" s="1429"/>
      <x:c r="I36" s="1429"/>
      <x:c r="J36" s="1430"/>
      <x:c r="K36" s="980"/>
      <x:c r="L36" s="316"/>
      <x:c r="M36" s="316"/>
      <x:c r="N36" s="316"/>
      <x:c r="O36" s="316"/>
      <x:c r="P36" s="316"/>
      <x:c r="Q36" s="316"/>
      <x:c r="R36" s="316"/>
      <x:c r="S36" s="316"/>
      <x:c r="T36" s="316"/>
      <x:c r="U36" s="316"/>
      <x:c r="V36" s="316"/>
      <x:c r="W36" s="316"/>
      <x:c r="X36" s="316"/>
      <x:c r="Y36" s="316"/>
      <x:c r="Z36" s="316"/>
      <x:c r="AA36" s="316"/>
      <x:c r="AC36" s="491"/>
      <x:c r="AD36" s="54"/>
      <x:c r="AE36" s="1549"/>
      <x:c r="AF36" s="1550"/>
      <x:c r="AG36" s="1305"/>
      <x:c r="AH36" s="1256"/>
      <x:c r="AI36" s="1256"/>
      <x:c r="AJ36" s="1256"/>
      <x:c r="AK36" s="1257"/>
      <x:c r="AL36" s="1255"/>
      <x:c r="AM36" s="1256"/>
      <x:c r="AN36" s="1256"/>
      <x:c r="AO36" s="1256"/>
      <x:c r="AP36" s="1257"/>
      <x:c r="AQ36" s="1246"/>
      <x:c r="AR36" s="1247"/>
      <x:c r="AS36" s="1247"/>
      <x:c r="AT36" s="1247"/>
      <x:c r="AU36" s="1248"/>
      <x:c r="AV36" s="1282"/>
      <x:c r="AW36" s="1283"/>
      <x:c r="AX36" s="1283"/>
      <x:c r="AY36" s="1283"/>
      <x:c r="AZ36" s="1284"/>
      <x:c r="BA36" s="1291"/>
      <x:c r="BB36" s="1292"/>
      <x:c r="BC36" s="1292"/>
      <x:c r="BD36" s="1292"/>
      <x:c r="BE36" s="1293"/>
      <x:c r="BF36" s="1300"/>
      <x:c r="BG36" s="1301"/>
      <x:c r="BH36" s="1301"/>
      <x:c r="BI36" s="1301"/>
      <x:c r="BJ36" s="1302"/>
      <x:c r="BK36" s="1492"/>
      <x:c r="BL36" s="1493"/>
      <x:c r="BM36" s="1493"/>
      <x:c r="BN36" s="1493"/>
      <x:c r="BO36" s="1494"/>
      <x:c r="BP36" s="1510"/>
      <x:c r="BQ36" s="1511"/>
      <x:c r="BR36" s="1511"/>
      <x:c r="BS36" s="1511"/>
      <x:c r="BT36" s="1512"/>
      <x:c r="BU36" s="1501"/>
      <x:c r="BV36" s="1502"/>
      <x:c r="BW36" s="1502"/>
      <x:c r="BX36" s="1502"/>
      <x:c r="BY36" s="1503"/>
      <x:c r="BZ36" s="1549"/>
      <x:c r="CA36" s="1550"/>
      <x:c r="CB36" s="360"/>
      <x:c r="CC36" s="485"/>
      <x:c r="CE36" s="491"/>
      <x:c r="CF36" s="54"/>
      <x:c r="CG36" s="1549"/>
      <x:c r="CH36" s="1550"/>
      <x:c r="CI36" s="1635"/>
      <x:c r="CJ36" s="1636"/>
      <x:c r="CK36" s="1636"/>
      <x:c r="CL36" s="1636"/>
      <x:c r="CM36" s="1637"/>
      <x:c r="CN36" s="1608"/>
      <x:c r="CO36" s="1609"/>
      <x:c r="CP36" s="1609"/>
      <x:c r="CQ36" s="1609"/>
      <x:c r="CR36" s="1610"/>
      <x:c r="CS36" s="1599"/>
      <x:c r="CT36" s="1600"/>
      <x:c r="CU36" s="1600"/>
      <x:c r="CV36" s="1600"/>
      <x:c r="CW36" s="1601"/>
      <x:c r="CX36" s="1300"/>
      <x:c r="CY36" s="1301"/>
      <x:c r="CZ36" s="1301"/>
      <x:c r="DA36" s="1301"/>
      <x:c r="DB36" s="1302"/>
      <x:c r="DC36" s="1291"/>
      <x:c r="DD36" s="1292"/>
      <x:c r="DE36" s="1292"/>
      <x:c r="DF36" s="1292"/>
      <x:c r="DG36" s="1293"/>
      <x:c r="DH36" s="1282"/>
      <x:c r="DI36" s="1283"/>
      <x:c r="DJ36" s="1283"/>
      <x:c r="DK36" s="1283"/>
      <x:c r="DL36" s="1284"/>
      <x:c r="DM36" s="1246"/>
      <x:c r="DN36" s="1247"/>
      <x:c r="DO36" s="1247"/>
      <x:c r="DP36" s="1247"/>
      <x:c r="DQ36" s="1248"/>
      <x:c r="DR36" s="1255"/>
      <x:c r="DS36" s="1256"/>
      <x:c r="DT36" s="1256"/>
      <x:c r="DU36" s="1256"/>
      <x:c r="DV36" s="1257"/>
      <x:c r="DW36" s="1255"/>
      <x:c r="DX36" s="1256"/>
      <x:c r="DY36" s="1256"/>
      <x:c r="DZ36" s="1256"/>
      <x:c r="EA36" s="1484"/>
      <x:c r="EB36" s="1549"/>
      <x:c r="EC36" s="1550"/>
      <x:c r="ED36" s="360"/>
      <x:c r="EE36" s="485"/>
    </x:row>
    <x:row r="37" spans="1:135" ht="13.5" customHeight="1" x14ac:dyDescent="0.2">
      <x:c r="B37" s="1403" t="s">
        <x:v>419</x:v>
      </x:c>
      <x:c r="C37" s="1404"/>
      <x:c r="D37" s="1404"/>
      <x:c r="E37" s="1404"/>
      <x:c r="F37" s="1404"/>
      <x:c r="G37" s="1404"/>
      <x:c r="H37" s="1404"/>
      <x:c r="I37" s="1404"/>
      <x:c r="J37" s="1405"/>
      <x:c r="K37" s="972"/>
      <x:c r="L37" s="1008"/>
      <x:c r="M37" s="1008"/>
      <x:c r="N37" s="1008"/>
      <x:c r="O37" s="1008"/>
      <x:c r="P37" s="1008"/>
      <x:c r="Q37" s="1008"/>
      <x:c r="R37" s="1008"/>
      <x:c r="S37" s="1008"/>
      <x:c r="T37" s="1008"/>
      <x:c r="U37" s="1008"/>
      <x:c r="V37" s="1008"/>
      <x:c r="W37" s="1008"/>
      <x:c r="X37" s="1008"/>
      <x:c r="Y37" s="1008"/>
      <x:c r="Z37" s="1008"/>
      <x:c r="AA37" s="1008"/>
      <x:c r="AC37" s="493"/>
      <x:c r="AD37" s="54"/>
      <x:c r="AE37" s="1549"/>
      <x:c r="AF37" s="1550"/>
      <x:c r="AG37" s="1303" t="str">
        <x:f>AL37</x:f>
        <x:v>Inner row
Interior modules</x:v>
      </x:c>
      <x:c r="AH37" s="1250"/>
      <x:c r="AI37" s="1250"/>
      <x:c r="AJ37" s="1250"/>
      <x:c r="AK37" s="1251"/>
      <x:c r="AL37" s="1249" t="str">
        <x:f>AL32</x:f>
        <x:v>Inner row
Interior modules</x:v>
      </x:c>
      <x:c r="AM37" s="1250"/>
      <x:c r="AN37" s="1250"/>
      <x:c r="AO37" s="1250"/>
      <x:c r="AP37" s="1251"/>
      <x:c r="AQ37" s="1240" t="str">
        <x:f>AQ32</x:f>
        <x:v>Inner row
1st-4th module</x:v>
      </x:c>
      <x:c r="AR37" s="1241"/>
      <x:c r="AS37" s="1241"/>
      <x:c r="AT37" s="1241"/>
      <x:c r="AU37" s="1242"/>
      <x:c r="AV37" s="1276" t="str">
        <x:f>AV32</x:f>
        <x:v>Inner row
Interior modules</x:v>
      </x:c>
      <x:c r="AW37" s="1277"/>
      <x:c r="AX37" s="1277"/>
      <x:c r="AY37" s="1277"/>
      <x:c r="AZ37" s="1278"/>
      <x:c r="BA37" s="1285" t="str">
        <x:f>BA32</x:f>
        <x:v>Inner row
1st-4th module</x:v>
      </x:c>
      <x:c r="BB37" s="1286"/>
      <x:c r="BC37" s="1286"/>
      <x:c r="BD37" s="1286"/>
      <x:c r="BE37" s="1287"/>
      <x:c r="BF37" s="1294" t="str">
        <x:f>BF32</x:f>
        <x:v>Inner row
Interior modules</x:v>
      </x:c>
      <x:c r="BG37" s="1295"/>
      <x:c r="BH37" s="1295"/>
      <x:c r="BI37" s="1295"/>
      <x:c r="BJ37" s="1296"/>
      <x:c r="BK37" s="1486" t="str">
        <x:f>BK32</x:f>
        <x:v>Inner row
1st-4th module</x:v>
      </x:c>
      <x:c r="BL37" s="1487"/>
      <x:c r="BM37" s="1487"/>
      <x:c r="BN37" s="1487"/>
      <x:c r="BO37" s="1488"/>
      <x:c r="BP37" s="1455" t="s">
        <x:v>454</x:v>
      </x:c>
      <x:c r="BQ37" s="1456"/>
      <x:c r="BR37" s="1456"/>
      <x:c r="BS37" s="1456"/>
      <x:c r="BT37" s="1457"/>
      <x:c r="BU37" s="1473" t="s">
        <x:v>455</x:v>
      </x:c>
      <x:c r="BV37" s="1474"/>
      <x:c r="BW37" s="1474"/>
      <x:c r="BX37" s="1474"/>
      <x:c r="BY37" s="1475"/>
      <x:c r="BZ37" s="1549"/>
      <x:c r="CA37" s="1550"/>
      <x:c r="CB37" s="360"/>
      <x:c r="CC37" s="485"/>
      <x:c r="CE37" s="493"/>
      <x:c r="CF37" s="54"/>
      <x:c r="CG37" s="1549"/>
      <x:c r="CH37" s="1550"/>
      <x:c r="CI37" s="1581" t="str">
        <x:f>BU37</x:f>
        <x:v>South row (only if array interrupted)
1st-4th module</x:v>
      </x:c>
      <x:c r="CJ37" s="1582"/>
      <x:c r="CK37" s="1582"/>
      <x:c r="CL37" s="1582"/>
      <x:c r="CM37" s="1583"/>
      <x:c r="CN37" s="1590" t="str">
        <x:f>BP37</x:f>
        <x:v>South row (only if array interrupted)
Interior modules</x:v>
      </x:c>
      <x:c r="CO37" s="1591"/>
      <x:c r="CP37" s="1591"/>
      <x:c r="CQ37" s="1591"/>
      <x:c r="CR37" s="1592"/>
      <x:c r="CS37" s="1572" t="str">
        <x:f>BF37</x:f>
        <x:v>Inner row
Interior modules</x:v>
      </x:c>
      <x:c r="CT37" s="1573"/>
      <x:c r="CU37" s="1573"/>
      <x:c r="CV37" s="1573"/>
      <x:c r="CW37" s="1574"/>
      <x:c r="CX37" s="1294" t="str">
        <x:f>BF37</x:f>
        <x:v>Inner row
Interior modules</x:v>
      </x:c>
      <x:c r="CY37" s="1295"/>
      <x:c r="CZ37" s="1295"/>
      <x:c r="DA37" s="1295"/>
      <x:c r="DB37" s="1296"/>
      <x:c r="DC37" s="1285" t="str">
        <x:f>BA37</x:f>
        <x:v>Inner row
1st-4th module</x:v>
      </x:c>
      <x:c r="DD37" s="1286"/>
      <x:c r="DE37" s="1286"/>
      <x:c r="DF37" s="1286"/>
      <x:c r="DG37" s="1287"/>
      <x:c r="DH37" s="1276" t="str">
        <x:f>AV37</x:f>
        <x:v>Inner row
Interior modules</x:v>
      </x:c>
      <x:c r="DI37" s="1277"/>
      <x:c r="DJ37" s="1277"/>
      <x:c r="DK37" s="1277"/>
      <x:c r="DL37" s="1278"/>
      <x:c r="DM37" s="1240" t="str">
        <x:f>AQ37</x:f>
        <x:v>Inner row
1st-4th module</x:v>
      </x:c>
      <x:c r="DN37" s="1241"/>
      <x:c r="DO37" s="1241"/>
      <x:c r="DP37" s="1241"/>
      <x:c r="DQ37" s="1242"/>
      <x:c r="DR37" s="1249" t="str">
        <x:f>AL37</x:f>
        <x:v>Inner row
Interior modules</x:v>
      </x:c>
      <x:c r="DS37" s="1250"/>
      <x:c r="DT37" s="1250"/>
      <x:c r="DU37" s="1250"/>
      <x:c r="DV37" s="1251"/>
      <x:c r="DW37" s="1249" t="str">
        <x:f>AG37</x:f>
        <x:v>Inner row
Interior modules</x:v>
      </x:c>
      <x:c r="DX37" s="1250"/>
      <x:c r="DY37" s="1250"/>
      <x:c r="DZ37" s="1250"/>
      <x:c r="EA37" s="1482"/>
      <x:c r="EB37" s="1549"/>
      <x:c r="EC37" s="1550"/>
      <x:c r="ED37" s="360"/>
      <x:c r="EE37" s="485"/>
    </x:row>
    <x:row r="38" spans="1:135" ht="13.5" customHeight="1" x14ac:dyDescent="0.2">
      <x:c r="B38" s="412" t="s">
        <x:v>420</x:v>
      </x:c>
      <x:c r="C38" s="43"/>
      <x:c r="D38" s="43"/>
      <x:c r="E38" s="43"/>
      <x:c r="F38" s="57" t="s">
        <x:v>421</x:v>
      </x:c>
      <x:c r="G38" s="43"/>
      <x:c r="H38" s="43"/>
      <x:c r="I38" s="43"/>
      <x:c r="J38" s="43"/>
      <x:c r="K38" s="972"/>
      <x:c r="L38" s="1008"/>
      <x:c r="M38" s="1075" t="s">
        <x:v>521</x:v>
      </x:c>
      <x:c r="N38" s="1008"/>
      <x:c r="O38" s="1008"/>
      <x:c r="P38" s="1008"/>
      <x:c r="Q38" s="1008"/>
      <x:c r="R38" s="1008"/>
      <x:c r="S38" s="1008"/>
      <x:c r="T38" s="1008"/>
      <x:c r="U38" s="1008"/>
      <x:c r="V38" s="1008"/>
      <x:c r="W38" s="1008"/>
      <x:c r="X38" s="1008"/>
      <x:c r="Y38" s="1008"/>
      <x:c r="Z38" s="1008"/>
      <x:c r="AA38" s="1008"/>
      <x:c r="AC38" s="153"/>
      <x:c r="AD38" s="54"/>
      <x:c r="AE38" s="1549"/>
      <x:c r="AF38" s="1550"/>
      <x:c r="AG38" s="1304"/>
      <x:c r="AH38" s="1253"/>
      <x:c r="AI38" s="1253"/>
      <x:c r="AJ38" s="1253"/>
      <x:c r="AK38" s="1254"/>
      <x:c r="AL38" s="1252"/>
      <x:c r="AM38" s="1253"/>
      <x:c r="AN38" s="1253"/>
      <x:c r="AO38" s="1253"/>
      <x:c r="AP38" s="1254"/>
      <x:c r="AQ38" s="1243"/>
      <x:c r="AR38" s="1244"/>
      <x:c r="AS38" s="1244"/>
      <x:c r="AT38" s="1244"/>
      <x:c r="AU38" s="1245"/>
      <x:c r="AV38" s="1279"/>
      <x:c r="AW38" s="1280"/>
      <x:c r="AX38" s="1280"/>
      <x:c r="AY38" s="1280"/>
      <x:c r="AZ38" s="1281"/>
      <x:c r="BA38" s="1288"/>
      <x:c r="BB38" s="1289"/>
      <x:c r="BC38" s="1289"/>
      <x:c r="BD38" s="1289"/>
      <x:c r="BE38" s="1290"/>
      <x:c r="BF38" s="1297"/>
      <x:c r="BG38" s="1298"/>
      <x:c r="BH38" s="1298"/>
      <x:c r="BI38" s="1298"/>
      <x:c r="BJ38" s="1299"/>
      <x:c r="BK38" s="1489"/>
      <x:c r="BL38" s="1490"/>
      <x:c r="BM38" s="1490"/>
      <x:c r="BN38" s="1490"/>
      <x:c r="BO38" s="1491"/>
      <x:c r="BP38" s="1458"/>
      <x:c r="BQ38" s="1459"/>
      <x:c r="BR38" s="1459"/>
      <x:c r="BS38" s="1459"/>
      <x:c r="BT38" s="1460"/>
      <x:c r="BU38" s="1476"/>
      <x:c r="BV38" s="1477"/>
      <x:c r="BW38" s="1477"/>
      <x:c r="BX38" s="1477"/>
      <x:c r="BY38" s="1478"/>
      <x:c r="BZ38" s="1549"/>
      <x:c r="CA38" s="1550"/>
      <x:c r="CB38" s="360"/>
      <x:c r="CC38" s="485"/>
      <x:c r="CE38" s="153"/>
      <x:c r="CF38" s="54"/>
      <x:c r="CG38" s="1549"/>
      <x:c r="CH38" s="1550"/>
      <x:c r="CI38" s="1584"/>
      <x:c r="CJ38" s="1585"/>
      <x:c r="CK38" s="1585"/>
      <x:c r="CL38" s="1585"/>
      <x:c r="CM38" s="1586"/>
      <x:c r="CN38" s="1593"/>
      <x:c r="CO38" s="1594"/>
      <x:c r="CP38" s="1594"/>
      <x:c r="CQ38" s="1594"/>
      <x:c r="CR38" s="1595"/>
      <x:c r="CS38" s="1575"/>
      <x:c r="CT38" s="1576"/>
      <x:c r="CU38" s="1576"/>
      <x:c r="CV38" s="1576"/>
      <x:c r="CW38" s="1577"/>
      <x:c r="CX38" s="1297"/>
      <x:c r="CY38" s="1298"/>
      <x:c r="CZ38" s="1298"/>
      <x:c r="DA38" s="1298"/>
      <x:c r="DB38" s="1299"/>
      <x:c r="DC38" s="1288"/>
      <x:c r="DD38" s="1289"/>
      <x:c r="DE38" s="1289"/>
      <x:c r="DF38" s="1289"/>
      <x:c r="DG38" s="1290"/>
      <x:c r="DH38" s="1279"/>
      <x:c r="DI38" s="1280"/>
      <x:c r="DJ38" s="1280"/>
      <x:c r="DK38" s="1280"/>
      <x:c r="DL38" s="1281"/>
      <x:c r="DM38" s="1243"/>
      <x:c r="DN38" s="1244"/>
      <x:c r="DO38" s="1244"/>
      <x:c r="DP38" s="1244"/>
      <x:c r="DQ38" s="1245"/>
      <x:c r="DR38" s="1252"/>
      <x:c r="DS38" s="1253"/>
      <x:c r="DT38" s="1253"/>
      <x:c r="DU38" s="1253"/>
      <x:c r="DV38" s="1254"/>
      <x:c r="DW38" s="1252"/>
      <x:c r="DX38" s="1253"/>
      <x:c r="DY38" s="1253"/>
      <x:c r="DZ38" s="1253"/>
      <x:c r="EA38" s="1483"/>
      <x:c r="EB38" s="1549"/>
      <x:c r="EC38" s="1550"/>
      <x:c r="ED38" s="360"/>
      <x:c r="EE38" s="485"/>
    </x:row>
    <x:row r="39" spans="1:135" ht="13.5" customHeight="1" x14ac:dyDescent="0.2">
      <x:c r="B39" s="42" t="s">
        <x:v>422</x:v>
      </x:c>
      <x:c r="C39" s="200" t="s">
        <x:v>539</x:v>
      </x:c>
      <x:c r="D39" s="43"/>
      <x:c r="E39" s="43"/>
      <x:c r="F39" s="42" t="s">
        <x:v>422</x:v>
      </x:c>
      <x:c r="G39" s="200" t="s">
        <x:v>540</x:v>
      </x:c>
      <x:c r="H39" s="338"/>
      <x:c r="I39" s="338"/>
      <x:c r="J39" s="338"/>
      <x:c r="K39" s="972"/>
      <x:c r="L39" s="1008"/>
      <x:c r="M39" s="1074" t="s">
        <x:v>522</x:v>
      </x:c>
      <x:c r="N39" s="1008"/>
      <x:c r="O39" s="1008"/>
      <x:c r="P39" s="1008"/>
      <x:c r="Q39" s="1008"/>
      <x:c r="R39" s="1008"/>
      <x:c r="S39" s="1008"/>
      <x:c r="T39" s="1008"/>
      <x:c r="U39" s="1008"/>
      <x:c r="V39" s="1008"/>
      <x:c r="W39" s="1008"/>
      <x:c r="X39" s="1008"/>
      <x:c r="Y39" s="1008"/>
      <x:c r="Z39" s="1008"/>
      <x:c r="AA39" s="1008"/>
      <x:c r="AC39" s="153"/>
      <x:c r="AD39" s="54"/>
      <x:c r="AE39" s="1549"/>
      <x:c r="AF39" s="1550"/>
      <x:c r="AG39" s="1305"/>
      <x:c r="AH39" s="1256"/>
      <x:c r="AI39" s="1256"/>
      <x:c r="AJ39" s="1256"/>
      <x:c r="AK39" s="1257"/>
      <x:c r="AL39" s="1255"/>
      <x:c r="AM39" s="1256"/>
      <x:c r="AN39" s="1256"/>
      <x:c r="AO39" s="1256"/>
      <x:c r="AP39" s="1257"/>
      <x:c r="AQ39" s="1246"/>
      <x:c r="AR39" s="1247"/>
      <x:c r="AS39" s="1247"/>
      <x:c r="AT39" s="1247"/>
      <x:c r="AU39" s="1248"/>
      <x:c r="AV39" s="1282"/>
      <x:c r="AW39" s="1283"/>
      <x:c r="AX39" s="1283"/>
      <x:c r="AY39" s="1283"/>
      <x:c r="AZ39" s="1284"/>
      <x:c r="BA39" s="1291"/>
      <x:c r="BB39" s="1292"/>
      <x:c r="BC39" s="1292"/>
      <x:c r="BD39" s="1292"/>
      <x:c r="BE39" s="1293"/>
      <x:c r="BF39" s="1300"/>
      <x:c r="BG39" s="1301"/>
      <x:c r="BH39" s="1301"/>
      <x:c r="BI39" s="1301"/>
      <x:c r="BJ39" s="1302"/>
      <x:c r="BK39" s="1492"/>
      <x:c r="BL39" s="1493"/>
      <x:c r="BM39" s="1493"/>
      <x:c r="BN39" s="1493"/>
      <x:c r="BO39" s="1494"/>
      <x:c r="BP39" s="1461"/>
      <x:c r="BQ39" s="1462"/>
      <x:c r="BR39" s="1462"/>
      <x:c r="BS39" s="1462"/>
      <x:c r="BT39" s="1463"/>
      <x:c r="BU39" s="1479"/>
      <x:c r="BV39" s="1480"/>
      <x:c r="BW39" s="1480"/>
      <x:c r="BX39" s="1480"/>
      <x:c r="BY39" s="1481"/>
      <x:c r="BZ39" s="1549"/>
      <x:c r="CA39" s="1550"/>
      <x:c r="CB39" s="488"/>
      <x:c r="CC39" s="555"/>
      <x:c r="CE39" s="153"/>
      <x:c r="CF39" s="54"/>
      <x:c r="CG39" s="1549"/>
      <x:c r="CH39" s="1550"/>
      <x:c r="CI39" s="1587"/>
      <x:c r="CJ39" s="1588"/>
      <x:c r="CK39" s="1588"/>
      <x:c r="CL39" s="1588"/>
      <x:c r="CM39" s="1589"/>
      <x:c r="CN39" s="1596"/>
      <x:c r="CO39" s="1597"/>
      <x:c r="CP39" s="1597"/>
      <x:c r="CQ39" s="1597"/>
      <x:c r="CR39" s="1598"/>
      <x:c r="CS39" s="1599"/>
      <x:c r="CT39" s="1600"/>
      <x:c r="CU39" s="1600"/>
      <x:c r="CV39" s="1600"/>
      <x:c r="CW39" s="1601"/>
      <x:c r="CX39" s="1300"/>
      <x:c r="CY39" s="1301"/>
      <x:c r="CZ39" s="1301"/>
      <x:c r="DA39" s="1301"/>
      <x:c r="DB39" s="1302"/>
      <x:c r="DC39" s="1291"/>
      <x:c r="DD39" s="1292"/>
      <x:c r="DE39" s="1292"/>
      <x:c r="DF39" s="1292"/>
      <x:c r="DG39" s="1293"/>
      <x:c r="DH39" s="1282"/>
      <x:c r="DI39" s="1283"/>
      <x:c r="DJ39" s="1283"/>
      <x:c r="DK39" s="1283"/>
      <x:c r="DL39" s="1284"/>
      <x:c r="DM39" s="1246"/>
      <x:c r="DN39" s="1247"/>
      <x:c r="DO39" s="1247"/>
      <x:c r="DP39" s="1247"/>
      <x:c r="DQ39" s="1248"/>
      <x:c r="DR39" s="1255"/>
      <x:c r="DS39" s="1256"/>
      <x:c r="DT39" s="1256"/>
      <x:c r="DU39" s="1256"/>
      <x:c r="DV39" s="1257"/>
      <x:c r="DW39" s="1255"/>
      <x:c r="DX39" s="1256"/>
      <x:c r="DY39" s="1256"/>
      <x:c r="DZ39" s="1256"/>
      <x:c r="EA39" s="1484"/>
      <x:c r="EB39" s="1549"/>
      <x:c r="EC39" s="1550"/>
      <x:c r="ED39" s="488"/>
      <x:c r="EE39" s="555"/>
    </x:row>
    <x:row r="40" spans="1:135" ht="13.5" customHeight="1" x14ac:dyDescent="0.2">
      <x:c r="B40" s="42" t="s">
        <x:v>423</x:v>
      </x:c>
      <x:c r="C40" s="411" t="str">
        <x:f>C39</x:f>
        <x:v>9</x:v>
      </x:c>
      <x:c r="D40" s="46"/>
      <x:c r="E40" s="43"/>
      <x:c r="F40" s="42" t="s">
        <x:v>423</x:v>
      </x:c>
      <x:c r="G40" s="411" t="str">
        <x:f>G39</x:f>
        <x:v>49</x:v>
      </x:c>
      <x:c r="H40" s="338"/>
      <x:c r="I40" s="338"/>
      <x:c r="J40" s="338"/>
      <x:c r="K40" s="981"/>
      <x:c r="L40" s="299"/>
      <x:c r="M40" s="1076" t="s">
        <x:v>522</x:v>
      </x:c>
      <x:c r="N40" s="299"/>
      <x:c r="O40" s="299"/>
      <x:c r="P40" s="299"/>
      <x:c r="Q40" s="299"/>
      <x:c r="R40" s="299"/>
      <x:c r="S40" s="299"/>
      <x:c r="T40" s="299"/>
      <x:c r="U40" s="299"/>
      <x:c r="V40" s="299"/>
      <x:c r="W40" s="299"/>
      <x:c r="X40" s="299"/>
      <x:c r="Y40" s="299"/>
      <x:c r="Z40" s="299"/>
      <x:c r="AA40" s="299"/>
      <x:c r="AD40" s="54"/>
      <x:c r="AE40" s="1549"/>
      <x:c r="AF40" s="1550"/>
      <x:c r="AG40" s="1303" t="str">
        <x:f>AL40</x:f>
        <x:v>Inner row
Interior modules</x:v>
      </x:c>
      <x:c r="AH40" s="1250"/>
      <x:c r="AI40" s="1250"/>
      <x:c r="AJ40" s="1250"/>
      <x:c r="AK40" s="1251"/>
      <x:c r="AL40" s="1249" t="str">
        <x:f>AL32</x:f>
        <x:v>Inner row
Interior modules</x:v>
      </x:c>
      <x:c r="AM40" s="1250"/>
      <x:c r="AN40" s="1250"/>
      <x:c r="AO40" s="1250"/>
      <x:c r="AP40" s="1251"/>
      <x:c r="AQ40" s="1240" t="str">
        <x:f>AQ32</x:f>
        <x:v>Inner row
1st-4th module</x:v>
      </x:c>
      <x:c r="AR40" s="1241"/>
      <x:c r="AS40" s="1241"/>
      <x:c r="AT40" s="1241"/>
      <x:c r="AU40" s="1242"/>
      <x:c r="AV40" s="1276" t="str">
        <x:f>AV32</x:f>
        <x:v>Inner row
Interior modules</x:v>
      </x:c>
      <x:c r="AW40" s="1277"/>
      <x:c r="AX40" s="1277"/>
      <x:c r="AY40" s="1277"/>
      <x:c r="AZ40" s="1278"/>
      <x:c r="BA40" s="1285" t="str">
        <x:f>BA32</x:f>
        <x:v>Inner row
1st-4th module</x:v>
      </x:c>
      <x:c r="BB40" s="1286"/>
      <x:c r="BC40" s="1286"/>
      <x:c r="BD40" s="1286"/>
      <x:c r="BE40" s="1287"/>
      <x:c r="BF40" s="1294" t="str">
        <x:f>BF32</x:f>
        <x:v>Inner row
Interior modules</x:v>
      </x:c>
      <x:c r="BG40" s="1295"/>
      <x:c r="BH40" s="1295"/>
      <x:c r="BI40" s="1295"/>
      <x:c r="BJ40" s="1296"/>
      <x:c r="BK40" s="1486" t="str">
        <x:f>BK32</x:f>
        <x:v>Inner row
1st-4th module</x:v>
      </x:c>
      <x:c r="BL40" s="1487"/>
      <x:c r="BM40" s="1487"/>
      <x:c r="BN40" s="1487"/>
      <x:c r="BO40" s="1488"/>
      <x:c r="BP40" s="1464" t="s">
        <x:v>456</x:v>
      </x:c>
      <x:c r="BQ40" s="1465"/>
      <x:c r="BR40" s="1465"/>
      <x:c r="BS40" s="1465"/>
      <x:c r="BT40" s="1466"/>
      <x:c r="BU40" s="1617" t="s">
        <x:v>457</x:v>
      </x:c>
      <x:c r="BV40" s="1618"/>
      <x:c r="BW40" s="1618"/>
      <x:c r="BX40" s="1618"/>
      <x:c r="BY40" s="1619"/>
      <x:c r="BZ40" s="1549"/>
      <x:c r="CA40" s="1550"/>
      <x:c r="CB40" s="360"/>
      <x:c r="CC40" s="484"/>
      <x:c r="CE40" s="491"/>
      <x:c r="CF40" s="54"/>
      <x:c r="CG40" s="1549"/>
      <x:c r="CH40" s="1550"/>
      <x:c r="CI40" s="1666" t="str">
        <x:f>BU40</x:f>
        <x:v>North row (only if array interrupted)
1st-4th module</x:v>
      </x:c>
      <x:c r="CJ40" s="1667"/>
      <x:c r="CK40" s="1667"/>
      <x:c r="CL40" s="1667"/>
      <x:c r="CM40" s="1668"/>
      <x:c r="CN40" s="1675" t="str">
        <x:f t="shared" ref="CN40" si="0">BP40</x:f>
        <x:v>North row (only if array interrupted)
Interior modules</x:v>
      </x:c>
      <x:c r="CO40" s="1676"/>
      <x:c r="CP40" s="1676"/>
      <x:c r="CQ40" s="1676"/>
      <x:c r="CR40" s="1677"/>
      <x:c r="CS40" s="1572" t="str">
        <x:f t="shared" ref="CS40" si="1">BK40</x:f>
        <x:v>Inner row
1st-4th module</x:v>
      </x:c>
      <x:c r="CT40" s="1573"/>
      <x:c r="CU40" s="1573"/>
      <x:c r="CV40" s="1573"/>
      <x:c r="CW40" s="1574"/>
      <x:c r="CX40" s="1294" t="str">
        <x:f t="shared" ref="CX40" si="2">BF40</x:f>
        <x:v>Inner row
Interior modules</x:v>
      </x:c>
      <x:c r="CY40" s="1295"/>
      <x:c r="CZ40" s="1295"/>
      <x:c r="DA40" s="1295"/>
      <x:c r="DB40" s="1296"/>
      <x:c r="DC40" s="1285" t="str">
        <x:f t="shared" ref="DC40" si="3">BA40</x:f>
        <x:v>Inner row
1st-4th module</x:v>
      </x:c>
      <x:c r="DD40" s="1286"/>
      <x:c r="DE40" s="1286"/>
      <x:c r="DF40" s="1286"/>
      <x:c r="DG40" s="1287"/>
      <x:c r="DH40" s="1276" t="str">
        <x:f t="shared" ref="DH40" si="4">AV40</x:f>
        <x:v>Inner row
Interior modules</x:v>
      </x:c>
      <x:c r="DI40" s="1277"/>
      <x:c r="DJ40" s="1277"/>
      <x:c r="DK40" s="1277"/>
      <x:c r="DL40" s="1278"/>
      <x:c r="DM40" s="1240" t="str">
        <x:f t="shared" ref="DM40" si="5">AQ40</x:f>
        <x:v>Inner row
1st-4th module</x:v>
      </x:c>
      <x:c r="DN40" s="1241"/>
      <x:c r="DO40" s="1241"/>
      <x:c r="DP40" s="1241"/>
      <x:c r="DQ40" s="1242"/>
      <x:c r="DR40" s="1249" t="str">
        <x:f t="shared" ref="DR40" si="6">AL40</x:f>
        <x:v>Inner row
Interior modules</x:v>
      </x:c>
      <x:c r="DS40" s="1250"/>
      <x:c r="DT40" s="1250"/>
      <x:c r="DU40" s="1250"/>
      <x:c r="DV40" s="1251"/>
      <x:c r="DW40" s="1249" t="str">
        <x:f t="shared" ref="DW40" si="7">AG40</x:f>
        <x:v>Inner row
Interior modules</x:v>
      </x:c>
      <x:c r="DX40" s="1250"/>
      <x:c r="DY40" s="1250"/>
      <x:c r="DZ40" s="1250"/>
      <x:c r="EA40" s="1482"/>
      <x:c r="EB40" s="1549"/>
      <x:c r="EC40" s="1550"/>
      <x:c r="ED40" s="360"/>
      <x:c r="EE40" s="484"/>
    </x:row>
    <x:row r="41" spans="1:135" ht="13.5" customHeight="1" thickBot="1" x14ac:dyDescent="0.25">
      <x:c r="B41" s="419"/>
      <x:c r="C41" s="356"/>
      <x:c r="D41" s="420"/>
      <x:c r="E41" s="421"/>
      <x:c r="F41" s="422"/>
      <x:c r="G41" s="422"/>
      <x:c r="H41" s="615"/>
      <x:c r="I41" s="422"/>
      <x:c r="J41" s="615"/>
      <x:c r="K41" s="981"/>
      <x:c r="L41" s="299"/>
      <x:c r="M41" s="1076" t="s">
        <x:v>522</x:v>
      </x:c>
      <x:c r="N41" s="299"/>
      <x:c r="O41" s="299"/>
      <x:c r="P41" s="299"/>
      <x:c r="Q41" s="299"/>
      <x:c r="R41" s="299"/>
      <x:c r="S41" s="299"/>
      <x:c r="T41" s="299"/>
      <x:c r="U41" s="299"/>
      <x:c r="V41" s="299"/>
      <x:c r="W41" s="299"/>
      <x:c r="X41" s="299"/>
      <x:c r="Y41" s="299"/>
      <x:c r="Z41" s="299"/>
      <x:c r="AA41" s="299"/>
      <x:c r="AC41" s="491"/>
      <x:c r="AD41" s="54"/>
      <x:c r="AE41" s="1549"/>
      <x:c r="AF41" s="1550"/>
      <x:c r="AG41" s="1304"/>
      <x:c r="AH41" s="1253"/>
      <x:c r="AI41" s="1253"/>
      <x:c r="AJ41" s="1253"/>
      <x:c r="AK41" s="1254"/>
      <x:c r="AL41" s="1252"/>
      <x:c r="AM41" s="1253"/>
      <x:c r="AN41" s="1253"/>
      <x:c r="AO41" s="1253"/>
      <x:c r="AP41" s="1254"/>
      <x:c r="AQ41" s="1243"/>
      <x:c r="AR41" s="1244"/>
      <x:c r="AS41" s="1244"/>
      <x:c r="AT41" s="1244"/>
      <x:c r="AU41" s="1245"/>
      <x:c r="AV41" s="1279"/>
      <x:c r="AW41" s="1280"/>
      <x:c r="AX41" s="1280"/>
      <x:c r="AY41" s="1280"/>
      <x:c r="AZ41" s="1281"/>
      <x:c r="BA41" s="1288"/>
      <x:c r="BB41" s="1289"/>
      <x:c r="BC41" s="1289"/>
      <x:c r="BD41" s="1289"/>
      <x:c r="BE41" s="1290"/>
      <x:c r="BF41" s="1297"/>
      <x:c r="BG41" s="1298"/>
      <x:c r="BH41" s="1298"/>
      <x:c r="BI41" s="1298"/>
      <x:c r="BJ41" s="1299"/>
      <x:c r="BK41" s="1489"/>
      <x:c r="BL41" s="1490"/>
      <x:c r="BM41" s="1490"/>
      <x:c r="BN41" s="1490"/>
      <x:c r="BO41" s="1491"/>
      <x:c r="BP41" s="1467"/>
      <x:c r="BQ41" s="1468"/>
      <x:c r="BR41" s="1468"/>
      <x:c r="BS41" s="1468"/>
      <x:c r="BT41" s="1469"/>
      <x:c r="BU41" s="1620"/>
      <x:c r="BV41" s="1621"/>
      <x:c r="BW41" s="1621"/>
      <x:c r="BX41" s="1621"/>
      <x:c r="BY41" s="1622"/>
      <x:c r="BZ41" s="1549"/>
      <x:c r="CA41" s="1550"/>
      <x:c r="CB41" s="360"/>
      <x:c r="CC41" s="485"/>
      <x:c r="CE41" s="491"/>
      <x:c r="CF41" s="54"/>
      <x:c r="CG41" s="1549"/>
      <x:c r="CH41" s="1550"/>
      <x:c r="CI41" s="1669"/>
      <x:c r="CJ41" s="1670"/>
      <x:c r="CK41" s="1670"/>
      <x:c r="CL41" s="1670"/>
      <x:c r="CM41" s="1671"/>
      <x:c r="CN41" s="1678"/>
      <x:c r="CO41" s="1679"/>
      <x:c r="CP41" s="1679"/>
      <x:c r="CQ41" s="1679"/>
      <x:c r="CR41" s="1680"/>
      <x:c r="CS41" s="1575"/>
      <x:c r="CT41" s="1576"/>
      <x:c r="CU41" s="1576"/>
      <x:c r="CV41" s="1576"/>
      <x:c r="CW41" s="1577"/>
      <x:c r="CX41" s="1297"/>
      <x:c r="CY41" s="1298"/>
      <x:c r="CZ41" s="1298"/>
      <x:c r="DA41" s="1298"/>
      <x:c r="DB41" s="1299"/>
      <x:c r="DC41" s="1288"/>
      <x:c r="DD41" s="1289"/>
      <x:c r="DE41" s="1289"/>
      <x:c r="DF41" s="1289"/>
      <x:c r="DG41" s="1290"/>
      <x:c r="DH41" s="1279"/>
      <x:c r="DI41" s="1280"/>
      <x:c r="DJ41" s="1280"/>
      <x:c r="DK41" s="1280"/>
      <x:c r="DL41" s="1281"/>
      <x:c r="DM41" s="1243"/>
      <x:c r="DN41" s="1244"/>
      <x:c r="DO41" s="1244"/>
      <x:c r="DP41" s="1244"/>
      <x:c r="DQ41" s="1245"/>
      <x:c r="DR41" s="1252"/>
      <x:c r="DS41" s="1253"/>
      <x:c r="DT41" s="1253"/>
      <x:c r="DU41" s="1253"/>
      <x:c r="DV41" s="1254"/>
      <x:c r="DW41" s="1252"/>
      <x:c r="DX41" s="1253"/>
      <x:c r="DY41" s="1253"/>
      <x:c r="DZ41" s="1253"/>
      <x:c r="EA41" s="1483"/>
      <x:c r="EB41" s="1549"/>
      <x:c r="EC41" s="1550"/>
      <x:c r="ED41" s="360"/>
      <x:c r="EE41" s="485"/>
    </x:row>
    <x:row r="42" spans="1:135" ht="13.5" customHeight="1" thickTop="1" x14ac:dyDescent="0.2">
      <x:c r="D42" s="18"/>
      <x:c r="E42" s="18"/>
      <x:c r="F42" s="159"/>
      <x:c r="G42" s="22"/>
      <x:c r="H42" s="22"/>
      <x:c r="I42" s="22"/>
      <x:c r="J42" s="22"/>
      <x:c r="K42" s="22"/>
      <x:c r="L42" s="22"/>
      <x:c r="M42" s="20" t="s">
        <x:v>523</x:v>
      </x:c>
      <x:c r="N42" s="22"/>
      <x:c r="O42" s="22"/>
      <x:c r="P42" s="22"/>
      <x:c r="Q42" s="22"/>
      <x:c r="R42" s="22"/>
      <x:c r="S42" s="22"/>
      <x:c r="T42" s="22"/>
      <x:c r="U42" s="22"/>
      <x:c r="V42" s="22"/>
      <x:c r="W42" s="22"/>
      <x:c r="X42" s="22"/>
      <x:c r="Y42" s="22"/>
      <x:c r="Z42" s="22"/>
      <x:c r="AA42" s="22"/>
      <x:c r="AB42" s="299"/>
      <x:c r="AC42" s="491"/>
      <x:c r="AD42" s="54"/>
      <x:c r="AE42" s="1549"/>
      <x:c r="AF42" s="1550"/>
      <x:c r="AG42" s="1305"/>
      <x:c r="AH42" s="1256"/>
      <x:c r="AI42" s="1256"/>
      <x:c r="AJ42" s="1256"/>
      <x:c r="AK42" s="1257"/>
      <x:c r="AL42" s="1255"/>
      <x:c r="AM42" s="1256"/>
      <x:c r="AN42" s="1256"/>
      <x:c r="AO42" s="1256"/>
      <x:c r="AP42" s="1257"/>
      <x:c r="AQ42" s="1246"/>
      <x:c r="AR42" s="1247"/>
      <x:c r="AS42" s="1247"/>
      <x:c r="AT42" s="1247"/>
      <x:c r="AU42" s="1248"/>
      <x:c r="AV42" s="1282"/>
      <x:c r="AW42" s="1283"/>
      <x:c r="AX42" s="1283"/>
      <x:c r="AY42" s="1283"/>
      <x:c r="AZ42" s="1284"/>
      <x:c r="BA42" s="1291"/>
      <x:c r="BB42" s="1292"/>
      <x:c r="BC42" s="1292"/>
      <x:c r="BD42" s="1292"/>
      <x:c r="BE42" s="1293"/>
      <x:c r="BF42" s="1300"/>
      <x:c r="BG42" s="1301"/>
      <x:c r="BH42" s="1301"/>
      <x:c r="BI42" s="1301"/>
      <x:c r="BJ42" s="1302"/>
      <x:c r="BK42" s="1492"/>
      <x:c r="BL42" s="1493"/>
      <x:c r="BM42" s="1493"/>
      <x:c r="BN42" s="1493"/>
      <x:c r="BO42" s="1494"/>
      <x:c r="BP42" s="1470"/>
      <x:c r="BQ42" s="1471"/>
      <x:c r="BR42" s="1471"/>
      <x:c r="BS42" s="1471"/>
      <x:c r="BT42" s="1472"/>
      <x:c r="BU42" s="1623"/>
      <x:c r="BV42" s="1624"/>
      <x:c r="BW42" s="1624"/>
      <x:c r="BX42" s="1624"/>
      <x:c r="BY42" s="1625"/>
      <x:c r="BZ42" s="1549"/>
      <x:c r="CA42" s="1550"/>
      <x:c r="CB42" s="360"/>
      <x:c r="CC42" s="485"/>
      <x:c r="CE42" s="491"/>
      <x:c r="CF42" s="54"/>
      <x:c r="CG42" s="1549"/>
      <x:c r="CH42" s="1550"/>
      <x:c r="CI42" s="1672"/>
      <x:c r="CJ42" s="1673"/>
      <x:c r="CK42" s="1673"/>
      <x:c r="CL42" s="1673"/>
      <x:c r="CM42" s="1674"/>
      <x:c r="CN42" s="1681"/>
      <x:c r="CO42" s="1682"/>
      <x:c r="CP42" s="1682"/>
      <x:c r="CQ42" s="1682"/>
      <x:c r="CR42" s="1683"/>
      <x:c r="CS42" s="1599"/>
      <x:c r="CT42" s="1600"/>
      <x:c r="CU42" s="1600"/>
      <x:c r="CV42" s="1600"/>
      <x:c r="CW42" s="1601"/>
      <x:c r="CX42" s="1300"/>
      <x:c r="CY42" s="1301"/>
      <x:c r="CZ42" s="1301"/>
      <x:c r="DA42" s="1301"/>
      <x:c r="DB42" s="1302"/>
      <x:c r="DC42" s="1291"/>
      <x:c r="DD42" s="1292"/>
      <x:c r="DE42" s="1292"/>
      <x:c r="DF42" s="1292"/>
      <x:c r="DG42" s="1293"/>
      <x:c r="DH42" s="1282"/>
      <x:c r="DI42" s="1283"/>
      <x:c r="DJ42" s="1283"/>
      <x:c r="DK42" s="1283"/>
      <x:c r="DL42" s="1284"/>
      <x:c r="DM42" s="1246"/>
      <x:c r="DN42" s="1247"/>
      <x:c r="DO42" s="1247"/>
      <x:c r="DP42" s="1247"/>
      <x:c r="DQ42" s="1248"/>
      <x:c r="DR42" s="1255"/>
      <x:c r="DS42" s="1256"/>
      <x:c r="DT42" s="1256"/>
      <x:c r="DU42" s="1256"/>
      <x:c r="DV42" s="1257"/>
      <x:c r="DW42" s="1255"/>
      <x:c r="DX42" s="1256"/>
      <x:c r="DY42" s="1256"/>
      <x:c r="DZ42" s="1256"/>
      <x:c r="EA42" s="1484"/>
      <x:c r="EB42" s="1549"/>
      <x:c r="EC42" s="1550"/>
      <x:c r="ED42" s="360"/>
      <x:c r="EE42" s="485"/>
    </x:row>
    <x:row r="43" spans="1:135" ht="13.5" customHeight="1" thickBot="1" x14ac:dyDescent="0.25">
      <x:c r="D43" s="18"/>
      <x:c r="E43" s="18"/>
      <x:c r="F43" s="159"/>
      <x:c r="G43" s="22"/>
      <x:c r="H43" s="22"/>
      <x:c r="I43" s="22"/>
      <x:c r="J43" s="22"/>
      <x:c r="K43" s="22"/>
      <x:c r="L43" s="22"/>
      <x:c r="M43" s="20"/>
      <x:c r="N43" s="22"/>
      <x:c r="O43" s="22"/>
      <x:c r="P43" s="22"/>
      <x:c r="Q43" s="22"/>
      <x:c r="R43" s="22"/>
      <x:c r="S43" s="22"/>
      <x:c r="T43" s="22"/>
      <x:c r="U43" s="22"/>
      <x:c r="V43" s="22"/>
      <x:c r="W43" s="22"/>
      <x:c r="X43" s="22"/>
      <x:c r="Y43" s="22"/>
      <x:c r="Z43" s="22"/>
      <x:c r="AA43" s="22"/>
      <x:c r="AB43" s="299"/>
      <x:c r="AC43" s="491"/>
      <x:c r="AD43" s="54"/>
      <x:c r="AE43" s="1549"/>
      <x:c r="AF43" s="1550"/>
      <x:c r="AG43" s="1303" t="str">
        <x:f>AL43</x:f>
        <x:v>Inner row
Interior modules</x:v>
      </x:c>
      <x:c r="AH43" s="1250"/>
      <x:c r="AI43" s="1250"/>
      <x:c r="AJ43" s="1250"/>
      <x:c r="AK43" s="1251"/>
      <x:c r="AL43" s="1249" t="str">
        <x:f>AL32</x:f>
        <x:v>Inner row
Interior modules</x:v>
      </x:c>
      <x:c r="AM43" s="1250"/>
      <x:c r="AN43" s="1250"/>
      <x:c r="AO43" s="1250"/>
      <x:c r="AP43" s="1251"/>
      <x:c r="AQ43" s="1240" t="str">
        <x:f>AQ32</x:f>
        <x:v>Inner row
1st-4th module</x:v>
      </x:c>
      <x:c r="AR43" s="1241"/>
      <x:c r="AS43" s="1241"/>
      <x:c r="AT43" s="1241"/>
      <x:c r="AU43" s="1242"/>
      <x:c r="AV43" s="1276" t="str">
        <x:f>AV32</x:f>
        <x:v>Inner row
Interior modules</x:v>
      </x:c>
      <x:c r="AW43" s="1277"/>
      <x:c r="AX43" s="1277"/>
      <x:c r="AY43" s="1277"/>
      <x:c r="AZ43" s="1278"/>
      <x:c r="BA43" s="1285" t="str">
        <x:f>BA32</x:f>
        <x:v>Inner row
1st-4th module</x:v>
      </x:c>
      <x:c r="BB43" s="1286"/>
      <x:c r="BC43" s="1286"/>
      <x:c r="BD43" s="1286"/>
      <x:c r="BE43" s="1287"/>
      <x:c r="BF43" s="1294" t="str">
        <x:f>BF32</x:f>
        <x:v>Inner row
Interior modules</x:v>
      </x:c>
      <x:c r="BG43" s="1295"/>
      <x:c r="BH43" s="1295"/>
      <x:c r="BI43" s="1295"/>
      <x:c r="BJ43" s="1296"/>
      <x:c r="BK43" s="1563" t="str">
        <x:f>BK32</x:f>
        <x:v>Inner row
1st-4th module</x:v>
      </x:c>
      <x:c r="BL43" s="1564"/>
      <x:c r="BM43" s="1564"/>
      <x:c r="BN43" s="1564"/>
      <x:c r="BO43" s="1565"/>
      <x:c r="BP43" s="1437" t="str">
        <x:f>CONCATENATE(B200,CHAR(10),E115)</x:f>
        <x:v>Inner row
Interior modules</x:v>
      </x:c>
      <x:c r="BQ43" s="1438"/>
      <x:c r="BR43" s="1438"/>
      <x:c r="BS43" s="1438"/>
      <x:c r="BT43" s="1439"/>
      <x:c r="BU43" s="1446" t="str">
        <x:f>CONCATENATE(B200,CHAR(10),E114)</x:f>
        <x:v>Inner row
1st-4th module</x:v>
      </x:c>
      <x:c r="BV43" s="1447"/>
      <x:c r="BW43" s="1447"/>
      <x:c r="BX43" s="1447"/>
      <x:c r="BY43" s="1448"/>
      <x:c r="BZ43" s="1549"/>
      <x:c r="CA43" s="1550"/>
      <x:c r="CB43" s="360"/>
      <x:c r="CC43" s="556"/>
      <x:c r="CE43" s="491"/>
      <x:c r="CF43" s="54"/>
      <x:c r="CG43" s="1549"/>
      <x:c r="CH43" s="1550"/>
      <x:c r="CI43" s="1684" t="str">
        <x:f>BU43</x:f>
        <x:v>Inner row
1st-4th module</x:v>
      </x:c>
      <x:c r="CJ43" s="1685"/>
      <x:c r="CK43" s="1685"/>
      <x:c r="CL43" s="1685"/>
      <x:c r="CM43" s="1686"/>
      <x:c r="CN43" s="1655" t="str">
        <x:f>BP43</x:f>
        <x:v>Inner row
Interior modules</x:v>
      </x:c>
      <x:c r="CO43" s="1656"/>
      <x:c r="CP43" s="1656"/>
      <x:c r="CQ43" s="1656"/>
      <x:c r="CR43" s="1657"/>
      <x:c r="CS43" s="1563" t="str">
        <x:f t="shared" ref="CS43" si="8">BK43</x:f>
        <x:v>Inner row
1st-4th module</x:v>
      </x:c>
      <x:c r="CT43" s="1564"/>
      <x:c r="CU43" s="1564"/>
      <x:c r="CV43" s="1564"/>
      <x:c r="CW43" s="1565"/>
      <x:c r="CX43" s="1294" t="str">
        <x:f t="shared" ref="CX43" si="9">BF43</x:f>
        <x:v>Inner row
Interior modules</x:v>
      </x:c>
      <x:c r="CY43" s="1295"/>
      <x:c r="CZ43" s="1295"/>
      <x:c r="DA43" s="1295"/>
      <x:c r="DB43" s="1296"/>
      <x:c r="DC43" s="1285" t="str">
        <x:f t="shared" ref="DC43" si="10">BA43</x:f>
        <x:v>Inner row
1st-4th module</x:v>
      </x:c>
      <x:c r="DD43" s="1286"/>
      <x:c r="DE43" s="1286"/>
      <x:c r="DF43" s="1286"/>
      <x:c r="DG43" s="1287"/>
      <x:c r="DH43" s="1276" t="str">
        <x:f t="shared" ref="DH43" si="11">AV43</x:f>
        <x:v>Inner row
Interior modules</x:v>
      </x:c>
      <x:c r="DI43" s="1277"/>
      <x:c r="DJ43" s="1277"/>
      <x:c r="DK43" s="1277"/>
      <x:c r="DL43" s="1278"/>
      <x:c r="DM43" s="1240" t="str">
        <x:f t="shared" ref="DM43" si="12">AQ43</x:f>
        <x:v>Inner row
1st-4th module</x:v>
      </x:c>
      <x:c r="DN43" s="1241"/>
      <x:c r="DO43" s="1241"/>
      <x:c r="DP43" s="1241"/>
      <x:c r="DQ43" s="1242"/>
      <x:c r="DR43" s="1249" t="str">
        <x:f t="shared" ref="DR43" si="13">AL43</x:f>
        <x:v>Inner row
Interior modules</x:v>
      </x:c>
      <x:c r="DS43" s="1250"/>
      <x:c r="DT43" s="1250"/>
      <x:c r="DU43" s="1250"/>
      <x:c r="DV43" s="1251"/>
      <x:c r="DW43" s="1249" t="str">
        <x:f t="shared" ref="DW43" si="14">AG43</x:f>
        <x:v>Inner row
Interior modules</x:v>
      </x:c>
      <x:c r="DX43" s="1250"/>
      <x:c r="DY43" s="1250"/>
      <x:c r="DZ43" s="1250"/>
      <x:c r="EA43" s="1482"/>
      <x:c r="EB43" s="1549"/>
      <x:c r="EC43" s="1550"/>
      <x:c r="ED43" s="360"/>
      <x:c r="EE43" s="556"/>
    </x:row>
    <x:row r="44" spans="1:135" ht="13.5" customHeight="1" thickTop="1" thickBot="1" x14ac:dyDescent="0.3">
      <x:c r="A44" s="24"/>
      <x:c r="B44" s="1389" t="s">
        <x:v>425</x:v>
      </x:c>
      <x:c r="C44" s="1390"/>
      <x:c r="D44" s="1391"/>
      <x:c r="E44" s="1406" t="s">
        <x:v>354</x:v>
      </x:c>
      <x:c r="F44" s="1407"/>
      <x:c r="G44" s="1407"/>
      <x:c r="H44" s="1407"/>
      <x:c r="I44" s="1407"/>
      <x:c r="J44" s="1407"/>
      <x:c r="K44" s="1407"/>
      <x:c r="L44" s="1408"/>
      <x:c r="M44" s="1051"/>
      <x:c r="N44" s="1356" t="s">
        <x:v>488</x:v>
      </x:c>
      <x:c r="O44" s="1311"/>
      <x:c r="P44" s="1356" t="s">
        <x:v>489</x:v>
      </x:c>
      <x:c r="Q44" s="1311"/>
      <x:c r="R44" s="1310" t="s">
        <x:v>490</x:v>
      </x:c>
      <x:c r="S44" s="1311"/>
      <x:c r="T44" s="1310" t="s">
        <x:v>491</x:v>
      </x:c>
      <x:c r="U44" s="1311"/>
      <x:c r="V44" s="1310" t="s">
        <x:v>492</x:v>
      </x:c>
      <x:c r="W44" s="1311"/>
      <x:c r="X44" s="1310" t="s">
        <x:v>493</x:v>
      </x:c>
      <x:c r="Y44" s="1311"/>
      <x:c r="Z44" s="1310" t="str">
        <x:f>C39&amp;"-Module Load-Sharing Area"</x:f>
        <x:v>9-Module Load-Sharing Area</x:v>
      </x:c>
      <x:c r="AA44" s="1329"/>
      <x:c r="AB44" s="299"/>
      <x:c r="AC44" s="491"/>
      <x:c r="AD44" s="54"/>
      <x:c r="AE44" s="1549"/>
      <x:c r="AF44" s="1550"/>
      <x:c r="AG44" s="1304"/>
      <x:c r="AH44" s="1253"/>
      <x:c r="AI44" s="1253"/>
      <x:c r="AJ44" s="1253"/>
      <x:c r="AK44" s="1254"/>
      <x:c r="AL44" s="1252"/>
      <x:c r="AM44" s="1253"/>
      <x:c r="AN44" s="1253"/>
      <x:c r="AO44" s="1253"/>
      <x:c r="AP44" s="1254"/>
      <x:c r="AQ44" s="1243"/>
      <x:c r="AR44" s="1244"/>
      <x:c r="AS44" s="1244"/>
      <x:c r="AT44" s="1244"/>
      <x:c r="AU44" s="1245"/>
      <x:c r="AV44" s="1279"/>
      <x:c r="AW44" s="1280"/>
      <x:c r="AX44" s="1280"/>
      <x:c r="AY44" s="1280"/>
      <x:c r="AZ44" s="1281"/>
      <x:c r="BA44" s="1288"/>
      <x:c r="BB44" s="1289"/>
      <x:c r="BC44" s="1289"/>
      <x:c r="BD44" s="1289"/>
      <x:c r="BE44" s="1290"/>
      <x:c r="BF44" s="1297"/>
      <x:c r="BG44" s="1298"/>
      <x:c r="BH44" s="1298"/>
      <x:c r="BI44" s="1298"/>
      <x:c r="BJ44" s="1299"/>
      <x:c r="BK44" s="1566"/>
      <x:c r="BL44" s="1567"/>
      <x:c r="BM44" s="1567"/>
      <x:c r="BN44" s="1567"/>
      <x:c r="BO44" s="1568"/>
      <x:c r="BP44" s="1440"/>
      <x:c r="BQ44" s="1441"/>
      <x:c r="BR44" s="1441"/>
      <x:c r="BS44" s="1441"/>
      <x:c r="BT44" s="1442"/>
      <x:c r="BU44" s="1449"/>
      <x:c r="BV44" s="1450"/>
      <x:c r="BW44" s="1450"/>
      <x:c r="BX44" s="1450"/>
      <x:c r="BY44" s="1451"/>
      <x:c r="BZ44" s="1549"/>
      <x:c r="CA44" s="1550"/>
      <x:c r="CB44" s="360"/>
      <x:c r="CC44" s="375"/>
      <x:c r="CE44" s="491"/>
      <x:c r="CF44" s="54"/>
      <x:c r="CG44" s="1549"/>
      <x:c r="CH44" s="1550"/>
      <x:c r="CI44" s="1687"/>
      <x:c r="CJ44" s="1688"/>
      <x:c r="CK44" s="1688"/>
      <x:c r="CL44" s="1688"/>
      <x:c r="CM44" s="1689"/>
      <x:c r="CN44" s="1658"/>
      <x:c r="CO44" s="1659"/>
      <x:c r="CP44" s="1659"/>
      <x:c r="CQ44" s="1659"/>
      <x:c r="CR44" s="1660"/>
      <x:c r="CS44" s="1566"/>
      <x:c r="CT44" s="1567"/>
      <x:c r="CU44" s="1567"/>
      <x:c r="CV44" s="1567"/>
      <x:c r="CW44" s="1568"/>
      <x:c r="CX44" s="1297"/>
      <x:c r="CY44" s="1298"/>
      <x:c r="CZ44" s="1298"/>
      <x:c r="DA44" s="1298"/>
      <x:c r="DB44" s="1299"/>
      <x:c r="DC44" s="1288"/>
      <x:c r="DD44" s="1289"/>
      <x:c r="DE44" s="1289"/>
      <x:c r="DF44" s="1289"/>
      <x:c r="DG44" s="1290"/>
      <x:c r="DH44" s="1279"/>
      <x:c r="DI44" s="1280"/>
      <x:c r="DJ44" s="1280"/>
      <x:c r="DK44" s="1280"/>
      <x:c r="DL44" s="1281"/>
      <x:c r="DM44" s="1243"/>
      <x:c r="DN44" s="1244"/>
      <x:c r="DO44" s="1244"/>
      <x:c r="DP44" s="1244"/>
      <x:c r="DQ44" s="1245"/>
      <x:c r="DR44" s="1252"/>
      <x:c r="DS44" s="1253"/>
      <x:c r="DT44" s="1253"/>
      <x:c r="DU44" s="1253"/>
      <x:c r="DV44" s="1254"/>
      <x:c r="DW44" s="1252"/>
      <x:c r="DX44" s="1253"/>
      <x:c r="DY44" s="1253"/>
      <x:c r="DZ44" s="1253"/>
      <x:c r="EA44" s="1483"/>
      <x:c r="EB44" s="1549"/>
      <x:c r="EC44" s="1550"/>
      <x:c r="ED44" s="360"/>
      <x:c r="EE44" s="375"/>
    </x:row>
    <x:row r="45" spans="1:135" ht="13.5" customHeight="1" x14ac:dyDescent="0.2">
      <x:c r="A45" s="24"/>
      <x:c r="B45" s="1392"/>
      <x:c r="C45" s="1393"/>
      <x:c r="D45" s="1394"/>
      <x:c r="E45" s="1207" t="s">
        <x:v>424</x:v>
      </x:c>
      <x:c r="F45" s="1205" t="s">
        <x:v>482</x:v>
      </x:c>
      <x:c r="G45" s="1205" t="s">
        <x:v>483</x:v>
      </x:c>
      <x:c r="H45" s="1205" t="s">
        <x:v>484</x:v>
      </x:c>
      <x:c r="I45" s="1205" t="s">
        <x:v>485</x:v>
      </x:c>
      <x:c r="J45" s="1205" t="s">
        <x:v>487</x:v>
      </x:c>
      <x:c r="K45" s="1205" t="s">
        <x:v>486</x:v>
      </x:c>
      <x:c r="L45" s="1366" t="str">
        <x:f>C39&amp;"-Module
Load-Sharing Area"</x:f>
        <x:v>9-Module
Load-Sharing Area</x:v>
      </x:c>
      <x:c r="M45" s="1065" t="s">
        <x:v>518</x:v>
      </x:c>
      <x:c r="N45" s="1308" t="s">
        <x:v>357</x:v>
      </x:c>
      <x:c r="O45" s="1306" t="s">
        <x:v>358</x:v>
      </x:c>
      <x:c r="P45" s="1308" t="s">
        <x:v>357</x:v>
      </x:c>
      <x:c r="Q45" s="1306" t="s">
        <x:v>358</x:v>
      </x:c>
      <x:c r="R45" s="1308" t="s">
        <x:v>357</x:v>
      </x:c>
      <x:c r="S45" s="1306" t="s">
        <x:v>358</x:v>
      </x:c>
      <x:c r="T45" s="1308" t="s">
        <x:v>357</x:v>
      </x:c>
      <x:c r="U45" s="1306" t="s">
        <x:v>358</x:v>
      </x:c>
      <x:c r="V45" s="1308" t="s">
        <x:v>357</x:v>
      </x:c>
      <x:c r="W45" s="1306" t="s">
        <x:v>358</x:v>
      </x:c>
      <x:c r="X45" s="1308" t="s">
        <x:v>357</x:v>
      </x:c>
      <x:c r="Y45" s="1306" t="s">
        <x:v>358</x:v>
      </x:c>
      <x:c r="Z45" s="1308" t="s">
        <x:v>357</x:v>
      </x:c>
      <x:c r="AA45" s="1306" t="s">
        <x:v>358</x:v>
      </x:c>
      <x:c r="AB45" s="299"/>
      <x:c r="AC45" s="491"/>
      <x:c r="AD45" s="54"/>
      <x:c r="AE45" s="1549"/>
      <x:c r="AF45" s="1550"/>
      <x:c r="AG45" s="1305"/>
      <x:c r="AH45" s="1256"/>
      <x:c r="AI45" s="1256"/>
      <x:c r="AJ45" s="1256"/>
      <x:c r="AK45" s="1257"/>
      <x:c r="AL45" s="1255"/>
      <x:c r="AM45" s="1256"/>
      <x:c r="AN45" s="1256"/>
      <x:c r="AO45" s="1256"/>
      <x:c r="AP45" s="1257"/>
      <x:c r="AQ45" s="1246"/>
      <x:c r="AR45" s="1247"/>
      <x:c r="AS45" s="1247"/>
      <x:c r="AT45" s="1247"/>
      <x:c r="AU45" s="1248"/>
      <x:c r="AV45" s="1282"/>
      <x:c r="AW45" s="1283"/>
      <x:c r="AX45" s="1283"/>
      <x:c r="AY45" s="1283"/>
      <x:c r="AZ45" s="1284"/>
      <x:c r="BA45" s="1291"/>
      <x:c r="BB45" s="1292"/>
      <x:c r="BC45" s="1292"/>
      <x:c r="BD45" s="1292"/>
      <x:c r="BE45" s="1293"/>
      <x:c r="BF45" s="1300"/>
      <x:c r="BG45" s="1301"/>
      <x:c r="BH45" s="1301"/>
      <x:c r="BI45" s="1301"/>
      <x:c r="BJ45" s="1302"/>
      <x:c r="BK45" s="1569"/>
      <x:c r="BL45" s="1570"/>
      <x:c r="BM45" s="1570"/>
      <x:c r="BN45" s="1570"/>
      <x:c r="BO45" s="1571"/>
      <x:c r="BP45" s="1443"/>
      <x:c r="BQ45" s="1444"/>
      <x:c r="BR45" s="1444"/>
      <x:c r="BS45" s="1444"/>
      <x:c r="BT45" s="1445"/>
      <x:c r="BU45" s="1452"/>
      <x:c r="BV45" s="1453"/>
      <x:c r="BW45" s="1453"/>
      <x:c r="BX45" s="1453"/>
      <x:c r="BY45" s="1454"/>
      <x:c r="BZ45" s="1549"/>
      <x:c r="CA45" s="1550"/>
      <x:c r="CB45" s="360"/>
      <x:c r="CC45" s="1436"/>
      <x:c r="CE45" s="491"/>
      <x:c r="CF45" s="54"/>
      <x:c r="CG45" s="1549"/>
      <x:c r="CH45" s="1550"/>
      <x:c r="CI45" s="1690"/>
      <x:c r="CJ45" s="1691"/>
      <x:c r="CK45" s="1691"/>
      <x:c r="CL45" s="1691"/>
      <x:c r="CM45" s="1692"/>
      <x:c r="CN45" s="1661"/>
      <x:c r="CO45" s="1662"/>
      <x:c r="CP45" s="1662"/>
      <x:c r="CQ45" s="1662"/>
      <x:c r="CR45" s="1663"/>
      <x:c r="CS45" s="1569"/>
      <x:c r="CT45" s="1570"/>
      <x:c r="CU45" s="1570"/>
      <x:c r="CV45" s="1570"/>
      <x:c r="CW45" s="1571"/>
      <x:c r="CX45" s="1300"/>
      <x:c r="CY45" s="1301"/>
      <x:c r="CZ45" s="1301"/>
      <x:c r="DA45" s="1301"/>
      <x:c r="DB45" s="1302"/>
      <x:c r="DC45" s="1291"/>
      <x:c r="DD45" s="1292"/>
      <x:c r="DE45" s="1292"/>
      <x:c r="DF45" s="1292"/>
      <x:c r="DG45" s="1293"/>
      <x:c r="DH45" s="1282"/>
      <x:c r="DI45" s="1283"/>
      <x:c r="DJ45" s="1283"/>
      <x:c r="DK45" s="1283"/>
      <x:c r="DL45" s="1284"/>
      <x:c r="DM45" s="1246"/>
      <x:c r="DN45" s="1247"/>
      <x:c r="DO45" s="1247"/>
      <x:c r="DP45" s="1247"/>
      <x:c r="DQ45" s="1248"/>
      <x:c r="DR45" s="1255"/>
      <x:c r="DS45" s="1256"/>
      <x:c r="DT45" s="1256"/>
      <x:c r="DU45" s="1256"/>
      <x:c r="DV45" s="1257"/>
      <x:c r="DW45" s="1255"/>
      <x:c r="DX45" s="1256"/>
      <x:c r="DY45" s="1256"/>
      <x:c r="DZ45" s="1256"/>
      <x:c r="EA45" s="1484"/>
      <x:c r="EB45" s="1549"/>
      <x:c r="EC45" s="1550"/>
      <x:c r="ED45" s="360"/>
      <x:c r="EE45" s="1436"/>
    </x:row>
    <x:row r="46" spans="1:135" ht="13.5" customHeight="1" thickBot="1" x14ac:dyDescent="0.25">
      <x:c r="A46" s="24"/>
      <x:c r="B46" s="1392"/>
      <x:c r="C46" s="1393"/>
      <x:c r="D46" s="1394"/>
      <x:c r="E46" s="1208"/>
      <x:c r="F46" s="1411"/>
      <x:c r="G46" s="1411"/>
      <x:c r="H46" s="1411"/>
      <x:c r="I46" s="1411"/>
      <x:c r="J46" s="1411"/>
      <x:c r="K46" s="1411"/>
      <x:c r="L46" s="1367"/>
      <x:c r="M46" s="1066" t="s">
        <x:v>520</x:v>
      </x:c>
      <x:c r="N46" s="1309"/>
      <x:c r="O46" s="1307"/>
      <x:c r="P46" s="1309"/>
      <x:c r="Q46" s="1307"/>
      <x:c r="R46" s="1309"/>
      <x:c r="S46" s="1307"/>
      <x:c r="T46" s="1309"/>
      <x:c r="U46" s="1307"/>
      <x:c r="V46" s="1309"/>
      <x:c r="W46" s="1307"/>
      <x:c r="X46" s="1309"/>
      <x:c r="Y46" s="1307"/>
      <x:c r="Z46" s="1309"/>
      <x:c r="AA46" s="1307"/>
      <x:c r="AB46" s="192"/>
      <x:c r="AC46" s="491"/>
      <x:c r="AD46" s="54"/>
      <x:c r="AE46" s="1549"/>
      <x:c r="AF46" s="1550"/>
      <x:c r="AG46" s="1303" t="str">
        <x:f>AL46</x:f>
        <x:v>Inner row
Interior modules</x:v>
      </x:c>
      <x:c r="AH46" s="1250"/>
      <x:c r="AI46" s="1250"/>
      <x:c r="AJ46" s="1250"/>
      <x:c r="AK46" s="1251"/>
      <x:c r="AL46" s="1249" t="str">
        <x:f>AL32</x:f>
        <x:v>Inner row
Interior modules</x:v>
      </x:c>
      <x:c r="AM46" s="1250"/>
      <x:c r="AN46" s="1250"/>
      <x:c r="AO46" s="1250"/>
      <x:c r="AP46" s="1251"/>
      <x:c r="AQ46" s="1240" t="str">
        <x:f>AQ32</x:f>
        <x:v>Inner row
1st-4th module</x:v>
      </x:c>
      <x:c r="AR46" s="1241"/>
      <x:c r="AS46" s="1241"/>
      <x:c r="AT46" s="1241"/>
      <x:c r="AU46" s="1242"/>
      <x:c r="AV46" s="1276" t="str">
        <x:f>AV32</x:f>
        <x:v>Inner row
Interior modules</x:v>
      </x:c>
      <x:c r="AW46" s="1277"/>
      <x:c r="AX46" s="1277"/>
      <x:c r="AY46" s="1277"/>
      <x:c r="AZ46" s="1278"/>
      <x:c r="BA46" s="1285" t="str">
        <x:f>BA32</x:f>
        <x:v>Inner row
1st-4th module</x:v>
      </x:c>
      <x:c r="BB46" s="1286"/>
      <x:c r="BC46" s="1286"/>
      <x:c r="BD46" s="1286"/>
      <x:c r="BE46" s="1287"/>
      <x:c r="BF46" s="1294" t="str">
        <x:f>BF32</x:f>
        <x:v>Inner row
Interior modules</x:v>
      </x:c>
      <x:c r="BG46" s="1295"/>
      <x:c r="BH46" s="1295"/>
      <x:c r="BI46" s="1295"/>
      <x:c r="BJ46" s="1296"/>
      <x:c r="BK46" s="1563" t="str">
        <x:f>BK32</x:f>
        <x:v>Inner row
1st-4th module</x:v>
      </x:c>
      <x:c r="BL46" s="1564"/>
      <x:c r="BM46" s="1564"/>
      <x:c r="BN46" s="1564"/>
      <x:c r="BO46" s="1565"/>
      <x:c r="BP46" s="1437" t="str">
        <x:f>BP43</x:f>
        <x:v>Inner row
Interior modules</x:v>
      </x:c>
      <x:c r="BQ46" s="1438"/>
      <x:c r="BR46" s="1438"/>
      <x:c r="BS46" s="1438"/>
      <x:c r="BT46" s="1439"/>
      <x:c r="BU46" s="1446" t="str">
        <x:f>BU43</x:f>
        <x:v>Inner row
1st-4th module</x:v>
      </x:c>
      <x:c r="BV46" s="1447"/>
      <x:c r="BW46" s="1447"/>
      <x:c r="BX46" s="1447"/>
      <x:c r="BY46" s="1448"/>
      <x:c r="BZ46" s="1549"/>
      <x:c r="CA46" s="1550"/>
      <x:c r="CB46" s="360"/>
      <x:c r="CC46" s="1436"/>
      <x:c r="CE46" s="491"/>
      <x:c r="CF46" s="54"/>
      <x:c r="CG46" s="1549"/>
      <x:c r="CH46" s="1550"/>
      <x:c r="CI46" s="1684" t="str">
        <x:f>BU46</x:f>
        <x:v>Inner row
1st-4th module</x:v>
      </x:c>
      <x:c r="CJ46" s="1685"/>
      <x:c r="CK46" s="1685"/>
      <x:c r="CL46" s="1685"/>
      <x:c r="CM46" s="1686"/>
      <x:c r="CN46" s="1655" t="str">
        <x:f>BP46</x:f>
        <x:v>Inner row
Interior modules</x:v>
      </x:c>
      <x:c r="CO46" s="1656"/>
      <x:c r="CP46" s="1656"/>
      <x:c r="CQ46" s="1656"/>
      <x:c r="CR46" s="1657"/>
      <x:c r="CS46" s="1563" t="str">
        <x:f>BF46</x:f>
        <x:v>Inner row
Interior modules</x:v>
      </x:c>
      <x:c r="CT46" s="1564"/>
      <x:c r="CU46" s="1564"/>
      <x:c r="CV46" s="1564"/>
      <x:c r="CW46" s="1565"/>
      <x:c r="CX46" s="1294" t="str">
        <x:f>BF46</x:f>
        <x:v>Inner row
Interior modules</x:v>
      </x:c>
      <x:c r="CY46" s="1295"/>
      <x:c r="CZ46" s="1295"/>
      <x:c r="DA46" s="1295"/>
      <x:c r="DB46" s="1296"/>
      <x:c r="DC46" s="1285" t="str">
        <x:f>BA46</x:f>
        <x:v>Inner row
1st-4th module</x:v>
      </x:c>
      <x:c r="DD46" s="1286"/>
      <x:c r="DE46" s="1286"/>
      <x:c r="DF46" s="1286"/>
      <x:c r="DG46" s="1287"/>
      <x:c r="DH46" s="1276" t="str">
        <x:f>AV46</x:f>
        <x:v>Inner row
Interior modules</x:v>
      </x:c>
      <x:c r="DI46" s="1277"/>
      <x:c r="DJ46" s="1277"/>
      <x:c r="DK46" s="1277"/>
      <x:c r="DL46" s="1278"/>
      <x:c r="DM46" s="1240" t="str">
        <x:f>AQ46</x:f>
        <x:v>Inner row
1st-4th module</x:v>
      </x:c>
      <x:c r="DN46" s="1241"/>
      <x:c r="DO46" s="1241"/>
      <x:c r="DP46" s="1241"/>
      <x:c r="DQ46" s="1242"/>
      <x:c r="DR46" s="1249" t="str">
        <x:f>AL46</x:f>
        <x:v>Inner row
Interior modules</x:v>
      </x:c>
      <x:c r="DS46" s="1250"/>
      <x:c r="DT46" s="1250"/>
      <x:c r="DU46" s="1250"/>
      <x:c r="DV46" s="1251"/>
      <x:c r="DW46" s="1249" t="str">
        <x:f>AG46</x:f>
        <x:v>Inner row
Interior modules</x:v>
      </x:c>
      <x:c r="DX46" s="1250"/>
      <x:c r="DY46" s="1250"/>
      <x:c r="DZ46" s="1250"/>
      <x:c r="EA46" s="1482"/>
      <x:c r="EB46" s="1549"/>
      <x:c r="EC46" s="1550"/>
      <x:c r="ED46" s="360"/>
      <x:c r="EE46" s="1436"/>
    </x:row>
    <x:row r="47" spans="1:135" ht="13.5" customHeight="1" thickBot="1" x14ac:dyDescent="0.25">
      <x:c r="A47" s="24"/>
      <x:c r="B47" s="1395"/>
      <x:c r="C47" s="1396"/>
      <x:c r="D47" s="1397"/>
      <x:c r="E47" s="1379"/>
      <x:c r="F47" s="1412"/>
      <x:c r="G47" s="1412"/>
      <x:c r="H47" s="1412"/>
      <x:c r="I47" s="1412"/>
      <x:c r="J47" s="1412"/>
      <x:c r="K47" s="1412"/>
      <x:c r="L47" s="1368"/>
      <x:c r="M47" s="1066" t="s">
        <x:v>519</x:v>
      </x:c>
      <x:c r="N47" s="1033">
        <x:f>VLOOKUP(F11,C196:J211,7,FALSE)</x:f>
        <x:v>0.9</x:v>
      </x:c>
      <x:c r="O47" s="404">
        <x:f>VLOOKUP(F11,C196:J211,8,FALSE)</x:f>
        <x:v>0.9</x:v>
      </x:c>
      <x:c r="P47" s="1033">
        <x:f>VLOOKUP(F11,C196:J211,7,FALSE)</x:f>
        <x:v>0.9</x:v>
      </x:c>
      <x:c r="Q47" s="404">
        <x:f>VLOOKUP(F11,C196:J211,8,FALSE)</x:f>
        <x:v>0.9</x:v>
      </x:c>
      <x:c r="R47" s="1033">
        <x:f>VLOOKUP(F11,C196:J211,7,FALSE)</x:f>
        <x:v>0.9</x:v>
      </x:c>
      <x:c r="S47" s="404">
        <x:f>VLOOKUP(F11,C196:J211,8,FALSE)</x:f>
        <x:v>0.9</x:v>
      </x:c>
      <x:c r="T47" s="1033">
        <x:f>VLOOKUP(F11,C196:J211,7,FALSE)</x:f>
        <x:v>0.9</x:v>
      </x:c>
      <x:c r="U47" s="404">
        <x:f>VLOOKUP(F11,C196:J211,8,FALSE)</x:f>
        <x:v>0.9</x:v>
      </x:c>
      <x:c r="V47" s="1033">
        <x:f>VLOOKUP(F11,C196:J211,7,FALSE)</x:f>
        <x:v>0.9</x:v>
      </x:c>
      <x:c r="W47" s="404">
        <x:f>VLOOKUP(F11,C196:J211,8,FALSE)</x:f>
        <x:v>0.9</x:v>
      </x:c>
      <x:c r="X47" s="1033">
        <x:f>VLOOKUP(F11,C196:J211,7,FALSE)</x:f>
        <x:v>0.9</x:v>
      </x:c>
      <x:c r="Y47" s="404">
        <x:f>VLOOKUP(F11,C196:J211,8,FALSE)</x:f>
        <x:v>0.9</x:v>
      </x:c>
      <x:c r="Z47" s="1033">
        <x:f>VLOOKUP(F11,C196:J211,7,FALSE)</x:f>
        <x:v>0.9</x:v>
      </x:c>
      <x:c r="AA47" s="404">
        <x:f>VLOOKUP(F11,C196:J211,8,FALSE)</x:f>
        <x:v>0.9</x:v>
      </x:c>
      <x:c r="AB47" s="192"/>
      <x:c r="AC47" s="491"/>
      <x:c r="AD47" s="54"/>
      <x:c r="AE47" s="1549"/>
      <x:c r="AF47" s="1550"/>
      <x:c r="AG47" s="1304"/>
      <x:c r="AH47" s="1253"/>
      <x:c r="AI47" s="1253"/>
      <x:c r="AJ47" s="1253"/>
      <x:c r="AK47" s="1254"/>
      <x:c r="AL47" s="1252"/>
      <x:c r="AM47" s="1253"/>
      <x:c r="AN47" s="1253"/>
      <x:c r="AO47" s="1253"/>
      <x:c r="AP47" s="1254"/>
      <x:c r="AQ47" s="1243"/>
      <x:c r="AR47" s="1244"/>
      <x:c r="AS47" s="1244"/>
      <x:c r="AT47" s="1244"/>
      <x:c r="AU47" s="1245"/>
      <x:c r="AV47" s="1279"/>
      <x:c r="AW47" s="1280"/>
      <x:c r="AX47" s="1280"/>
      <x:c r="AY47" s="1280"/>
      <x:c r="AZ47" s="1281"/>
      <x:c r="BA47" s="1288"/>
      <x:c r="BB47" s="1289"/>
      <x:c r="BC47" s="1289"/>
      <x:c r="BD47" s="1289"/>
      <x:c r="BE47" s="1290"/>
      <x:c r="BF47" s="1297"/>
      <x:c r="BG47" s="1298"/>
      <x:c r="BH47" s="1298"/>
      <x:c r="BI47" s="1298"/>
      <x:c r="BJ47" s="1299"/>
      <x:c r="BK47" s="1566"/>
      <x:c r="BL47" s="1567"/>
      <x:c r="BM47" s="1567"/>
      <x:c r="BN47" s="1567"/>
      <x:c r="BO47" s="1568"/>
      <x:c r="BP47" s="1440"/>
      <x:c r="BQ47" s="1441"/>
      <x:c r="BR47" s="1441"/>
      <x:c r="BS47" s="1441"/>
      <x:c r="BT47" s="1442"/>
      <x:c r="BU47" s="1449"/>
      <x:c r="BV47" s="1450"/>
      <x:c r="BW47" s="1450"/>
      <x:c r="BX47" s="1450"/>
      <x:c r="BY47" s="1451"/>
      <x:c r="BZ47" s="1549"/>
      <x:c r="CA47" s="1550"/>
      <x:c r="CB47" s="360"/>
      <x:c r="CC47" s="485"/>
      <x:c r="CE47" s="491"/>
      <x:c r="CF47" s="54"/>
      <x:c r="CG47" s="1549"/>
      <x:c r="CH47" s="1550"/>
      <x:c r="CI47" s="1687"/>
      <x:c r="CJ47" s="1688"/>
      <x:c r="CK47" s="1688"/>
      <x:c r="CL47" s="1688"/>
      <x:c r="CM47" s="1689"/>
      <x:c r="CN47" s="1658"/>
      <x:c r="CO47" s="1659"/>
      <x:c r="CP47" s="1659"/>
      <x:c r="CQ47" s="1659"/>
      <x:c r="CR47" s="1660"/>
      <x:c r="CS47" s="1566"/>
      <x:c r="CT47" s="1567"/>
      <x:c r="CU47" s="1567"/>
      <x:c r="CV47" s="1567"/>
      <x:c r="CW47" s="1568"/>
      <x:c r="CX47" s="1297"/>
      <x:c r="CY47" s="1298"/>
      <x:c r="CZ47" s="1298"/>
      <x:c r="DA47" s="1298"/>
      <x:c r="DB47" s="1299"/>
      <x:c r="DC47" s="1288"/>
      <x:c r="DD47" s="1289"/>
      <x:c r="DE47" s="1289"/>
      <x:c r="DF47" s="1289"/>
      <x:c r="DG47" s="1290"/>
      <x:c r="DH47" s="1279"/>
      <x:c r="DI47" s="1280"/>
      <x:c r="DJ47" s="1280"/>
      <x:c r="DK47" s="1280"/>
      <x:c r="DL47" s="1281"/>
      <x:c r="DM47" s="1243"/>
      <x:c r="DN47" s="1244"/>
      <x:c r="DO47" s="1244"/>
      <x:c r="DP47" s="1244"/>
      <x:c r="DQ47" s="1245"/>
      <x:c r="DR47" s="1252"/>
      <x:c r="DS47" s="1253"/>
      <x:c r="DT47" s="1253"/>
      <x:c r="DU47" s="1253"/>
      <x:c r="DV47" s="1254"/>
      <x:c r="DW47" s="1252"/>
      <x:c r="DX47" s="1253"/>
      <x:c r="DY47" s="1253"/>
      <x:c r="DZ47" s="1253"/>
      <x:c r="EA47" s="1483"/>
      <x:c r="EB47" s="1549"/>
      <x:c r="EC47" s="1550"/>
      <x:c r="ED47" s="360"/>
      <x:c r="EE47" s="485"/>
    </x:row>
    <x:row r="48" spans="1:135" ht="13.5" customHeight="1" thickTop="1" thickBot="1" x14ac:dyDescent="0.25">
      <x:c r="A48" s="24"/>
      <x:c r="B48" s="1386" t="s">
        <x:v>426</x:v>
      </x:c>
      <x:c r="C48" s="1387"/>
      <x:c r="D48" s="1387"/>
      <x:c r="E48" s="1388"/>
      <x:c r="F48" s="1360" t="s">
        <x:v>305</x:v>
      </x:c>
      <x:c r="G48" s="1360" t="s">
        <x:v>305</x:v>
      </x:c>
      <x:c r="H48" s="1360" t="s">
        <x:v>305</x:v>
      </x:c>
      <x:c r="I48" s="1360" t="s">
        <x:v>305</x:v>
      </x:c>
      <x:c r="J48" s="1360" t="s">
        <x:v>305</x:v>
      </x:c>
      <x:c r="K48" s="1360" t="s">
        <x:v>305</x:v>
      </x:c>
      <x:c r="L48" s="1360" t="s">
        <x:v>305</x:v>
      </x:c>
      <x:c r="M48" s="1354" t="s">
        <x:v>305</x:v>
      </x:c>
      <x:c r="N48" s="1312" t="s">
        <x:v>428</x:v>
      </x:c>
      <x:c r="O48" s="1313"/>
      <x:c r="P48" s="1312" t="s">
        <x:v>428</x:v>
      </x:c>
      <x:c r="Q48" s="1313"/>
      <x:c r="R48" s="1312" t="s">
        <x:v>428</x:v>
      </x:c>
      <x:c r="S48" s="1313"/>
      <x:c r="T48" s="1312" t="s">
        <x:v>428</x:v>
      </x:c>
      <x:c r="U48" s="1313"/>
      <x:c r="V48" s="1312" t="s">
        <x:v>428</x:v>
      </x:c>
      <x:c r="W48" s="1313"/>
      <x:c r="X48" s="1312" t="s">
        <x:v>428</x:v>
      </x:c>
      <x:c r="Y48" s="1313"/>
      <x:c r="Z48" s="1312" t="s">
        <x:v>428</x:v>
      </x:c>
      <x:c r="AA48" s="1313"/>
      <x:c r="AB48" s="192"/>
      <x:c r="AC48" s="491"/>
      <x:c r="AD48" s="54"/>
      <x:c r="AE48" s="1549"/>
      <x:c r="AF48" s="1550"/>
      <x:c r="AG48" s="1305"/>
      <x:c r="AH48" s="1256"/>
      <x:c r="AI48" s="1256"/>
      <x:c r="AJ48" s="1256"/>
      <x:c r="AK48" s="1257"/>
      <x:c r="AL48" s="1255"/>
      <x:c r="AM48" s="1256"/>
      <x:c r="AN48" s="1256"/>
      <x:c r="AO48" s="1256"/>
      <x:c r="AP48" s="1257"/>
      <x:c r="AQ48" s="1246"/>
      <x:c r="AR48" s="1247"/>
      <x:c r="AS48" s="1247"/>
      <x:c r="AT48" s="1247"/>
      <x:c r="AU48" s="1248"/>
      <x:c r="AV48" s="1282"/>
      <x:c r="AW48" s="1283"/>
      <x:c r="AX48" s="1283"/>
      <x:c r="AY48" s="1283"/>
      <x:c r="AZ48" s="1284"/>
      <x:c r="BA48" s="1291"/>
      <x:c r="BB48" s="1292"/>
      <x:c r="BC48" s="1292"/>
      <x:c r="BD48" s="1292"/>
      <x:c r="BE48" s="1293"/>
      <x:c r="BF48" s="1300"/>
      <x:c r="BG48" s="1301"/>
      <x:c r="BH48" s="1301"/>
      <x:c r="BI48" s="1301"/>
      <x:c r="BJ48" s="1302"/>
      <x:c r="BK48" s="1569"/>
      <x:c r="BL48" s="1570"/>
      <x:c r="BM48" s="1570"/>
      <x:c r="BN48" s="1570"/>
      <x:c r="BO48" s="1571"/>
      <x:c r="BP48" s="1443"/>
      <x:c r="BQ48" s="1444"/>
      <x:c r="BR48" s="1444"/>
      <x:c r="BS48" s="1444"/>
      <x:c r="BT48" s="1445"/>
      <x:c r="BU48" s="1452"/>
      <x:c r="BV48" s="1453"/>
      <x:c r="BW48" s="1453"/>
      <x:c r="BX48" s="1453"/>
      <x:c r="BY48" s="1454"/>
      <x:c r="BZ48" s="1549"/>
      <x:c r="CA48" s="1550"/>
      <x:c r="CB48" s="360"/>
      <x:c r="CC48" s="485"/>
      <x:c r="CE48" s="491"/>
      <x:c r="CF48" s="54"/>
      <x:c r="CG48" s="1549"/>
      <x:c r="CH48" s="1550"/>
      <x:c r="CI48" s="1690"/>
      <x:c r="CJ48" s="1691"/>
      <x:c r="CK48" s="1691"/>
      <x:c r="CL48" s="1691"/>
      <x:c r="CM48" s="1692"/>
      <x:c r="CN48" s="1661"/>
      <x:c r="CO48" s="1662"/>
      <x:c r="CP48" s="1662"/>
      <x:c r="CQ48" s="1662"/>
      <x:c r="CR48" s="1663"/>
      <x:c r="CS48" s="1569"/>
      <x:c r="CT48" s="1570"/>
      <x:c r="CU48" s="1570"/>
      <x:c r="CV48" s="1570"/>
      <x:c r="CW48" s="1571"/>
      <x:c r="CX48" s="1300"/>
      <x:c r="CY48" s="1301"/>
      <x:c r="CZ48" s="1301"/>
      <x:c r="DA48" s="1301"/>
      <x:c r="DB48" s="1302"/>
      <x:c r="DC48" s="1291"/>
      <x:c r="DD48" s="1292"/>
      <x:c r="DE48" s="1292"/>
      <x:c r="DF48" s="1292"/>
      <x:c r="DG48" s="1293"/>
      <x:c r="DH48" s="1282"/>
      <x:c r="DI48" s="1283"/>
      <x:c r="DJ48" s="1283"/>
      <x:c r="DK48" s="1283"/>
      <x:c r="DL48" s="1284"/>
      <x:c r="DM48" s="1246"/>
      <x:c r="DN48" s="1247"/>
      <x:c r="DO48" s="1247"/>
      <x:c r="DP48" s="1247"/>
      <x:c r="DQ48" s="1248"/>
      <x:c r="DR48" s="1255"/>
      <x:c r="DS48" s="1256"/>
      <x:c r="DT48" s="1256"/>
      <x:c r="DU48" s="1256"/>
      <x:c r="DV48" s="1257"/>
      <x:c r="DW48" s="1255"/>
      <x:c r="DX48" s="1256"/>
      <x:c r="DY48" s="1256"/>
      <x:c r="DZ48" s="1256"/>
      <x:c r="EA48" s="1484"/>
      <x:c r="EB48" s="1549"/>
      <x:c r="EC48" s="1550"/>
      <x:c r="ED48" s="360"/>
      <x:c r="EE48" s="485"/>
    </x:row>
    <x:row r="49" spans="1:136" ht="27" customHeight="1" thickBot="1" x14ac:dyDescent="0.25">
      <x:c r="A49" s="24"/>
      <x:c r="B49" s="1369" t="s">
        <x:v>429</x:v>
      </x:c>
      <x:c r="C49" s="1370"/>
      <x:c r="D49" s="1371"/>
      <x:c r="E49" s="349" t="s">
        <x:v>430</x:v>
      </x:c>
      <x:c r="F49" s="1361"/>
      <x:c r="G49" s="1361"/>
      <x:c r="H49" s="1361"/>
      <x:c r="I49" s="1361"/>
      <x:c r="J49" s="1361"/>
      <x:c r="K49" s="1361"/>
      <x:c r="L49" s="1361"/>
      <x:c r="M49" s="1355"/>
      <x:c r="N49" s="1017" t="s">
        <x:v>431</x:v>
      </x:c>
      <x:c r="O49" s="985" t="s">
        <x:v>432</x:v>
      </x:c>
      <x:c r="P49" s="1017" t="s">
        <x:v>431</x:v>
      </x:c>
      <x:c r="Q49" s="985" t="s">
        <x:v>432</x:v>
      </x:c>
      <x:c r="R49" s="1017" t="s">
        <x:v>431</x:v>
      </x:c>
      <x:c r="S49" s="985" t="s">
        <x:v>432</x:v>
      </x:c>
      <x:c r="T49" s="1017" t="s">
        <x:v>431</x:v>
      </x:c>
      <x:c r="U49" s="985" t="s">
        <x:v>432</x:v>
      </x:c>
      <x:c r="V49" s="1017" t="s">
        <x:v>431</x:v>
      </x:c>
      <x:c r="W49" s="985" t="s">
        <x:v>432</x:v>
      </x:c>
      <x:c r="X49" s="1017" t="s">
        <x:v>431</x:v>
      </x:c>
      <x:c r="Y49" s="985" t="s">
        <x:v>432</x:v>
      </x:c>
      <x:c r="Z49" s="1017" t="s">
        <x:v>431</x:v>
      </x:c>
      <x:c r="AA49" s="601" t="s">
        <x:v>432</x:v>
      </x:c>
      <x:c r="AB49" s="160"/>
      <x:c r="AC49" s="491"/>
      <x:c r="AD49" s="54"/>
      <x:c r="AE49" s="1549"/>
      <x:c r="AF49" s="1550"/>
      <x:c r="AG49" s="1303" t="str">
        <x:f>AL49</x:f>
        <x:v>Inner row
Interior modules</x:v>
      </x:c>
      <x:c r="AH49" s="1250"/>
      <x:c r="AI49" s="1250"/>
      <x:c r="AJ49" s="1250"/>
      <x:c r="AK49" s="1251"/>
      <x:c r="AL49" s="1249" t="str">
        <x:f>AL32</x:f>
        <x:v>Inner row
Interior modules</x:v>
      </x:c>
      <x:c r="AM49" s="1250"/>
      <x:c r="AN49" s="1250"/>
      <x:c r="AO49" s="1250"/>
      <x:c r="AP49" s="1251"/>
      <x:c r="AQ49" s="1240" t="str">
        <x:f>AQ32</x:f>
        <x:v>Inner row
1st-4th module</x:v>
      </x:c>
      <x:c r="AR49" s="1241"/>
      <x:c r="AS49" s="1241"/>
      <x:c r="AT49" s="1241"/>
      <x:c r="AU49" s="1242"/>
      <x:c r="AV49" s="1276" t="str">
        <x:f>AV32</x:f>
        <x:v>Inner row
Interior modules</x:v>
      </x:c>
      <x:c r="AW49" s="1277"/>
      <x:c r="AX49" s="1277"/>
      <x:c r="AY49" s="1277"/>
      <x:c r="AZ49" s="1278"/>
      <x:c r="BA49" s="1285" t="str">
        <x:f>BA32</x:f>
        <x:v>Inner row
1st-4th module</x:v>
      </x:c>
      <x:c r="BB49" s="1286"/>
      <x:c r="BC49" s="1286"/>
      <x:c r="BD49" s="1286"/>
      <x:c r="BE49" s="1287"/>
      <x:c r="BF49" s="1294" t="str">
        <x:f>BF32</x:f>
        <x:v>Inner row
Interior modules</x:v>
      </x:c>
      <x:c r="BG49" s="1295"/>
      <x:c r="BH49" s="1295"/>
      <x:c r="BI49" s="1295"/>
      <x:c r="BJ49" s="1296"/>
      <x:c r="BK49" s="1563" t="str">
        <x:f>BK32</x:f>
        <x:v>Inner row
1st-4th module</x:v>
      </x:c>
      <x:c r="BL49" s="1564"/>
      <x:c r="BM49" s="1564"/>
      <x:c r="BN49" s="1564"/>
      <x:c r="BO49" s="1565"/>
      <x:c r="BP49" s="1267" t="str">
        <x:f>BP43</x:f>
        <x:v>Inner row
Interior modules</x:v>
      </x:c>
      <x:c r="BQ49" s="1268"/>
      <x:c r="BR49" s="1268"/>
      <x:c r="BS49" s="1268"/>
      <x:c r="BT49" s="1269"/>
      <x:c r="BU49" s="1258" t="str">
        <x:f>BU43</x:f>
        <x:v>Inner row
1st-4th module</x:v>
      </x:c>
      <x:c r="BV49" s="1259"/>
      <x:c r="BW49" s="1259"/>
      <x:c r="BX49" s="1259"/>
      <x:c r="BY49" s="1260"/>
      <x:c r="BZ49" s="1549"/>
      <x:c r="CA49" s="1550"/>
      <x:c r="CB49" s="360"/>
      <x:c r="CC49" s="485"/>
      <x:c r="CE49" s="491"/>
      <x:c r="CF49" s="54"/>
      <x:c r="CG49" s="1549"/>
      <x:c r="CH49" s="1550"/>
      <x:c r="CI49" s="1645" t="str">
        <x:f>BU49</x:f>
        <x:v>Inner row
1st-4th module</x:v>
      </x:c>
      <x:c r="CJ49" s="1259"/>
      <x:c r="CK49" s="1259"/>
      <x:c r="CL49" s="1259"/>
      <x:c r="CM49" s="1646"/>
      <x:c r="CN49" s="1267" t="str">
        <x:f t="shared" ref="CN49" si="15">BP49</x:f>
        <x:v>Inner row
Interior modules</x:v>
      </x:c>
      <x:c r="CO49" s="1268"/>
      <x:c r="CP49" s="1268"/>
      <x:c r="CQ49" s="1268"/>
      <x:c r="CR49" s="1269"/>
      <x:c r="CS49" s="1563" t="str">
        <x:f t="shared" ref="CS49" si="16">BK49</x:f>
        <x:v>Inner row
1st-4th module</x:v>
      </x:c>
      <x:c r="CT49" s="1564"/>
      <x:c r="CU49" s="1564"/>
      <x:c r="CV49" s="1564"/>
      <x:c r="CW49" s="1565"/>
      <x:c r="CX49" s="1294" t="str">
        <x:f t="shared" ref="CX49" si="17">BF49</x:f>
        <x:v>Inner row
Interior modules</x:v>
      </x:c>
      <x:c r="CY49" s="1295"/>
      <x:c r="CZ49" s="1295"/>
      <x:c r="DA49" s="1295"/>
      <x:c r="DB49" s="1296"/>
      <x:c r="DC49" s="1285" t="str">
        <x:f t="shared" ref="DC49" si="18">BA49</x:f>
        <x:v>Inner row
1st-4th module</x:v>
      </x:c>
      <x:c r="DD49" s="1286"/>
      <x:c r="DE49" s="1286"/>
      <x:c r="DF49" s="1286"/>
      <x:c r="DG49" s="1287"/>
      <x:c r="DH49" s="1276" t="str">
        <x:f t="shared" ref="DH49" si="19">AV49</x:f>
        <x:v>Inner row
Interior modules</x:v>
      </x:c>
      <x:c r="DI49" s="1277"/>
      <x:c r="DJ49" s="1277"/>
      <x:c r="DK49" s="1277"/>
      <x:c r="DL49" s="1278"/>
      <x:c r="DM49" s="1240" t="str">
        <x:f t="shared" ref="DM49" si="20">AQ49</x:f>
        <x:v>Inner row
1st-4th module</x:v>
      </x:c>
      <x:c r="DN49" s="1241"/>
      <x:c r="DO49" s="1241"/>
      <x:c r="DP49" s="1241"/>
      <x:c r="DQ49" s="1242"/>
      <x:c r="DR49" s="1249" t="str">
        <x:f t="shared" ref="DR49" si="21">AL49</x:f>
        <x:v>Inner row
Interior modules</x:v>
      </x:c>
      <x:c r="DS49" s="1250"/>
      <x:c r="DT49" s="1250"/>
      <x:c r="DU49" s="1250"/>
      <x:c r="DV49" s="1251"/>
      <x:c r="DW49" s="1249" t="str">
        <x:f t="shared" ref="DW49" si="22">AG49</x:f>
        <x:v>Inner row
Interior modules</x:v>
      </x:c>
      <x:c r="DX49" s="1250"/>
      <x:c r="DY49" s="1250"/>
      <x:c r="DZ49" s="1250"/>
      <x:c r="EA49" s="1482"/>
      <x:c r="EB49" s="1549"/>
      <x:c r="EC49" s="1550"/>
      <x:c r="ED49" s="360"/>
      <x:c r="EE49" s="485"/>
    </x:row>
    <x:row r="50" spans="1:136" ht="13.5" customHeight="1" thickTop="1" thickBot="1" x14ac:dyDescent="0.25">
      <x:c r="A50" s="24"/>
      <x:c r="B50" s="1383" t="s">
        <x:v>339</x:v>
      </x:c>
      <x:c r="C50" s="1384"/>
      <x:c r="D50" s="1384"/>
      <x:c r="E50" s="1384"/>
      <x:c r="F50" s="1384"/>
      <x:c r="G50" s="1384"/>
      <x:c r="H50" s="1384"/>
      <x:c r="I50" s="1384"/>
      <x:c r="J50" s="1384"/>
      <x:c r="K50" s="1384"/>
      <x:c r="L50" s="1385"/>
      <x:c r="M50" s="1049"/>
      <x:c r="N50" s="1004"/>
      <x:c r="O50" s="1005"/>
      <x:c r="P50" s="1005"/>
      <x:c r="Q50" s="1005"/>
      <x:c r="R50" s="1005"/>
      <x:c r="S50" s="1005"/>
      <x:c r="T50" s="1005"/>
      <x:c r="U50" s="1005"/>
      <x:c r="V50" s="1005"/>
      <x:c r="W50" s="1005"/>
      <x:c r="X50" s="1005"/>
      <x:c r="Y50" s="1005"/>
      <x:c r="Z50" s="1005"/>
      <x:c r="AA50" s="1009"/>
      <x:c r="AB50" s="18"/>
      <x:c r="AC50" s="491"/>
      <x:c r="AD50" s="54"/>
      <x:c r="AE50" s="1549"/>
      <x:c r="AF50" s="1550"/>
      <x:c r="AG50" s="1305"/>
      <x:c r="AH50" s="1256"/>
      <x:c r="AI50" s="1256"/>
      <x:c r="AJ50" s="1256"/>
      <x:c r="AK50" s="1257"/>
      <x:c r="AL50" s="1255"/>
      <x:c r="AM50" s="1256"/>
      <x:c r="AN50" s="1256"/>
      <x:c r="AO50" s="1256"/>
      <x:c r="AP50" s="1257"/>
      <x:c r="AQ50" s="1246"/>
      <x:c r="AR50" s="1247"/>
      <x:c r="AS50" s="1247"/>
      <x:c r="AT50" s="1247"/>
      <x:c r="AU50" s="1248"/>
      <x:c r="AV50" s="1282"/>
      <x:c r="AW50" s="1283"/>
      <x:c r="AX50" s="1283"/>
      <x:c r="AY50" s="1283"/>
      <x:c r="AZ50" s="1284"/>
      <x:c r="BA50" s="1291"/>
      <x:c r="BB50" s="1292"/>
      <x:c r="BC50" s="1292"/>
      <x:c r="BD50" s="1292"/>
      <x:c r="BE50" s="1293"/>
      <x:c r="BF50" s="1300"/>
      <x:c r="BG50" s="1301"/>
      <x:c r="BH50" s="1301"/>
      <x:c r="BI50" s="1301"/>
      <x:c r="BJ50" s="1302"/>
      <x:c r="BK50" s="1569"/>
      <x:c r="BL50" s="1570"/>
      <x:c r="BM50" s="1570"/>
      <x:c r="BN50" s="1570"/>
      <x:c r="BO50" s="1571"/>
      <x:c r="BP50" s="1273"/>
      <x:c r="BQ50" s="1274"/>
      <x:c r="BR50" s="1274"/>
      <x:c r="BS50" s="1274"/>
      <x:c r="BT50" s="1275"/>
      <x:c r="BU50" s="1264"/>
      <x:c r="BV50" s="1265"/>
      <x:c r="BW50" s="1265"/>
      <x:c r="BX50" s="1265"/>
      <x:c r="BY50" s="1266"/>
      <x:c r="BZ50" s="1549"/>
      <x:c r="CA50" s="1550"/>
      <x:c r="CB50" s="360"/>
      <x:c r="CC50" s="485"/>
      <x:c r="CE50" s="491"/>
      <x:c r="CF50" s="54"/>
      <x:c r="CG50" s="1549"/>
      <x:c r="CH50" s="1550"/>
      <x:c r="CI50" s="1649"/>
      <x:c r="CJ50" s="1265"/>
      <x:c r="CK50" s="1265"/>
      <x:c r="CL50" s="1265"/>
      <x:c r="CM50" s="1650"/>
      <x:c r="CN50" s="1273"/>
      <x:c r="CO50" s="1274"/>
      <x:c r="CP50" s="1274"/>
      <x:c r="CQ50" s="1274"/>
      <x:c r="CR50" s="1275"/>
      <x:c r="CS50" s="1569"/>
      <x:c r="CT50" s="1570"/>
      <x:c r="CU50" s="1570"/>
      <x:c r="CV50" s="1570"/>
      <x:c r="CW50" s="1571"/>
      <x:c r="CX50" s="1300"/>
      <x:c r="CY50" s="1301"/>
      <x:c r="CZ50" s="1301"/>
      <x:c r="DA50" s="1301"/>
      <x:c r="DB50" s="1302"/>
      <x:c r="DC50" s="1291"/>
      <x:c r="DD50" s="1292"/>
      <x:c r="DE50" s="1292"/>
      <x:c r="DF50" s="1292"/>
      <x:c r="DG50" s="1293"/>
      <x:c r="DH50" s="1282"/>
      <x:c r="DI50" s="1283"/>
      <x:c r="DJ50" s="1283"/>
      <x:c r="DK50" s="1283"/>
      <x:c r="DL50" s="1284"/>
      <x:c r="DM50" s="1246"/>
      <x:c r="DN50" s="1247"/>
      <x:c r="DO50" s="1247"/>
      <x:c r="DP50" s="1247"/>
      <x:c r="DQ50" s="1248"/>
      <x:c r="DR50" s="1255"/>
      <x:c r="DS50" s="1256"/>
      <x:c r="DT50" s="1256"/>
      <x:c r="DU50" s="1256"/>
      <x:c r="DV50" s="1257"/>
      <x:c r="DW50" s="1255"/>
      <x:c r="DX50" s="1256"/>
      <x:c r="DY50" s="1256"/>
      <x:c r="DZ50" s="1256"/>
      <x:c r="EA50" s="1484"/>
      <x:c r="EB50" s="1549"/>
      <x:c r="EC50" s="1550"/>
      <x:c r="ED50" s="360"/>
      <x:c r="EE50" s="485"/>
    </x:row>
    <x:row r="51" spans="1:136" ht="13.5" customHeight="1" x14ac:dyDescent="0.2">
      <x:c r="A51" s="24"/>
      <x:c r="B51" s="1345" t="s">
        <x:v>460</x:v>
      </x:c>
      <x:c r="C51" s="1346"/>
      <x:c r="D51" s="1347"/>
      <x:c r="E51" s="342" t="s">
        <x:v>461</x:v>
      </x:c>
      <x:c r="F51" s="1053" t="e">
        <x:f t="shared" ref="F51:F58" si="23">MAX(N51,O51)</x:f>
        <x:v>#REF!</x:v>
      </x:c>
      <x:c r="G51" s="1053" t="e">
        <x:f>MAX(P51,Q51)</x:f>
        <x:v>#REF!</x:v>
      </x:c>
      <x:c r="H51" s="1053" t="e">
        <x:f>MAX(R51,S51)</x:f>
        <x:v>#REF!</x:v>
      </x:c>
      <x:c r="I51" s="1061" t="e">
        <x:f>MAX(T51,U51)</x:f>
        <x:v>#REF!</x:v>
      </x:c>
      <x:c r="J51" s="1053" t="e">
        <x:f>MAX(V51,W51)</x:f>
        <x:v>#REF!</x:v>
      </x:c>
      <x:c r="K51" s="1062" t="e">
        <x:f>MAX(X51,Y51)</x:f>
        <x:v>#REF!</x:v>
      </x:c>
      <x:c r="L51" s="994">
        <x:f ca="1">MAX(Z51,AA51)</x:f>
        <x:v>18.542827949039943</x:v>
      </x:c>
      <x:c r="M51" s="943">
        <x:f ca="1">L51*2.20462</x:f>
        <x:v>40.879889353012437</x:v>
      </x:c>
      <x:c r="N51" s="1034" t="e">
        <x:f>(-#REF!*COS($F$18*PI()/180)*$F$21-#REF!*COS($I$18*PI()/180)*$I$21)*$N$99*$C$25*1000/9.81/$O$47*$D$193*#REF!-$N$47/$O$47*$C$20*$F$21</x:f>
        <x:v>#REF!</x:v>
      </x:c>
      <x:c r="O51" s="934" t="e">
        <x:f>(SQRT(((-#REF!*SIN($F$18*PI()/180)*$F$21+#REF!*SIN($I$18*PI()/180)*$I$21)*$C$25*1000)^2+(0.001*$C$25*1000*$F$21)^2)/$C$30+(-#REF!*COS($F$18*PI()/180)*$F$21-#REF!*COS($I$18*PI()/180)*$I$21)*$C$25*1000)/9.81*$O$99/$O$47*$F$193*#REF!-$N$47/$O$47*$C$20*$F$21</x:f>
        <x:v>#REF!</x:v>
      </x:c>
      <x:c r="P51" s="405" t="e">
        <x:f>(-#REF!*COS($F$18*PI()/180)*$F$21-#REF!*COS($I$18*PI()/180)*$I$21)*$N$99*$C$25*1000/9.81/$Q$47*$D$193*#REF!-$P$47/$Q$47*$C$20*$F$21</x:f>
        <x:v>#REF!</x:v>
      </x:c>
      <x:c r="Q51" s="406" t="e">
        <x:f>(SQRT(((-#REF!*SIN($F$18*PI()/180)*$F$21+#REF!*SIN($I$18*PI()/180)*$I$21)*$C$25*1000)^2+(0.001*$C$25*1000*$F$21)^2)/$C$30+(-#REF!*COS($F$18*PI()/180)*$F$21-#REF!*COS($I$18*PI()/180)*$I$21)*$C$25*1000)/9.81*$O$99/$Q$47*$F$193*#REF!-$P$47/$Q$47*$C$20*$F$21</x:f>
        <x:v>#REF!</x:v>
      </x:c>
      <x:c r="R51" s="405" t="e">
        <x:f>(-#REF!*COS($F$18*PI()/180)*$F$21-#REF!*COS($I$18*PI()/180)*$I$21)*$N$99*$C$25*1000/9.81/$S$47*$D$193*#REF!-$R$47/$S$47*$C$20*$F$21</x:f>
        <x:v>#REF!</x:v>
      </x:c>
      <x:c r="S51" s="406" t="e">
        <x:f>(SQRT(((-#REF!*SIN($F$18*PI()/180)*$F$21+#REF!*SIN($I$18*PI()/180)*$I$21)*$C$25*1000)^2+(0.001*$C$25*1000*$F$21)^2)/$C$30+(-#REF!*COS($F$18*PI()/180)*$F$21-#REF!*COS($I$18*PI()/180)*$I$21)*$C$25*1000)/9.81*$O$99/$S$47*$F$193*#REF!-$R$47/$S$47*$C$20*$F$21</x:f>
        <x:v>#REF!</x:v>
      </x:c>
      <x:c r="T51" s="405" t="e">
        <x:f>(-#REF!*COS($F$18*PI()/180)*$F$21-#REF!*COS($I$18*PI()/180)*$I$21)*$N$99*$C$25*1000/9.81/$U$47*$D$193*#REF!-$T$47/$U$47*$C$20*$F$21</x:f>
        <x:v>#REF!</x:v>
      </x:c>
      <x:c r="U51" s="406" t="e">
        <x:f>(SQRT(((-#REF!*SIN($F$18*PI()/180)*$F$21+#REF!*SIN($I$18*PI()/180)*$I$21)*$C$25*1000)^2+(0.001*$C$25*1000*$F$21)^2)/$C$30+(-#REF!*COS($F$18*PI()/180)*$F$21-#REF!*COS($I$18*PI()/180)*$I$21)*$C$25*1000)/9.81*$O$99/$U$47*$F$193*#REF!-$T$47/$U$47*$C$20*$F$21</x:f>
        <x:v>#REF!</x:v>
      </x:c>
      <x:c r="V51" s="405" t="e">
        <x:f>(-#REF!*COS($F$18*PI()/180)*$F$21-#REF!*COS($I$18*PI()/180)*$I$21)*$N$99*$C$25*1000/9.81/$W$47*$D$193*#REF!-$V$47/$W$47*$C$20*$F$21</x:f>
        <x:v>#REF!</x:v>
      </x:c>
      <x:c r="W51" s="406" t="e">
        <x:f>(SQRT(((-#REF!*SIN($F$18*PI()/180)*$F$21+#REF!*SIN($I$18*PI()/180)*$I$21)*$C$25*1000)^2+(0.001*$C$25*1000*$F$21)^2)/$C$30+(-#REF!*COS($F$18*PI()/180)*$F$21-#REF!*COS($I$18*PI()/180)*$I$21)*$C$25*1000)/9.81*$O$99/$W$47*$F$193*#REF!-$V$47/$W$47*$C$20*$F$21</x:f>
        <x:v>#REF!</x:v>
      </x:c>
      <x:c r="X51" s="405" t="e">
        <x:f>(-#REF!*COS($F$18*PI()/180)*$F$21-#REF!*COS($I$18*PI()/180)*$I$21)*$N$99*$C$25*1000/9.81/$Y$47*$D$193*#REF!-$X$47/$Y$47*$C$20*$F$21</x:f>
        <x:v>#REF!</x:v>
      </x:c>
      <x:c r="Y51" s="406" t="e">
        <x:f>(SQRT(((-#REF!*SIN($F$18*PI()/180)*$F$21+#REF!*SIN($I$18*PI()/180)*$I$21)*$C$25*1000)^2+(0.001*$C$25*1000*$F$21)^2)/$C$30+(-#REF!*COS($F$18*PI()/180)*$F$21-#REF!*COS($I$18*PI()/180)*$I$21)*$C$25*1000)/9.81*$O$99/$Y$47*$F$193*#REF!-$X$47/$Y$47*$C$20*$F$21</x:f>
        <x:v>#REF!</x:v>
      </x:c>
      <x:c r="Z51" s="405">
        <x:f ca="1">(-'int. presets cp_10d+wd'!I26*COS($F$18*PI()/180)*$F$21-'int. presets cp_10d+wd'!I35*COS($I$18*PI()/180)*$I$21)*$N$99*$C$25*1000/9.81/$AA$47*$D$193*'int. presets cp_10d+wd'!$I$246-$Z$47/$AA$47*$C$20*$F$21</x:f>
        <x:v>18.542827949039943</x:v>
      </x:c>
      <x:c r="AA51" s="1020">
        <x:f ca="1">(SQRT(((-'int. presets cp_10d+wd'!D26*SIN($F$18*PI()/180)*$F$21+'int. presets cp_10d+wd'!D35*SIN($I$18*PI()/180)*$I$21)*$C$25*1000)^2+(0.001*$C$25*1000*$F$21)^2)/$C$30+(-'int. presets cp_10d+wd'!D26*COS($F$18*PI()/180)*$F$21-'int. presets cp_10d+wd'!D35*COS($I$18*PI()/180)*$I$21)*$C$25*1000)/9.81*$O$99/$AA$47*$F$193*'int. presets cp_10d+wd'!$D$246-$Z$47/$AA$47*$C$20*$F$21</x:f>
        <x:v>9.838208544000036</x:v>
      </x:c>
      <x:c r="AB51" s="18"/>
      <x:c r="AC51" s="491"/>
      <x:c r="AD51" s="54"/>
      <x:c r="AE51" s="1549"/>
      <x:c r="AF51" s="1550"/>
      <x:c r="AG51" s="1303" t="str">
        <x:f>AL51</x:f>
        <x:v>Inner row
Interior modules</x:v>
      </x:c>
      <x:c r="AH51" s="1250"/>
      <x:c r="AI51" s="1250"/>
      <x:c r="AJ51" s="1250"/>
      <x:c r="AK51" s="1251"/>
      <x:c r="AL51" s="1249" t="str">
        <x:f>AL32</x:f>
        <x:v>Inner row
Interior modules</x:v>
      </x:c>
      <x:c r="AM51" s="1250"/>
      <x:c r="AN51" s="1250"/>
      <x:c r="AO51" s="1250"/>
      <x:c r="AP51" s="1251"/>
      <x:c r="AQ51" s="1240" t="str">
        <x:f>AQ32</x:f>
        <x:v>Inner row
1st-4th module</x:v>
      </x:c>
      <x:c r="AR51" s="1241"/>
      <x:c r="AS51" s="1241"/>
      <x:c r="AT51" s="1241"/>
      <x:c r="AU51" s="1242"/>
      <x:c r="AV51" s="1276" t="str">
        <x:f>AV32</x:f>
        <x:v>Inner row
Interior modules</x:v>
      </x:c>
      <x:c r="AW51" s="1277"/>
      <x:c r="AX51" s="1277"/>
      <x:c r="AY51" s="1277"/>
      <x:c r="AZ51" s="1278"/>
      <x:c r="BA51" s="1285" t="str">
        <x:f>BA32</x:f>
        <x:v>Inner row
1st-4th module</x:v>
      </x:c>
      <x:c r="BB51" s="1286"/>
      <x:c r="BC51" s="1286"/>
      <x:c r="BD51" s="1286"/>
      <x:c r="BE51" s="1287"/>
      <x:c r="BF51" s="1294" t="str">
        <x:f>BF32</x:f>
        <x:v>Inner row
Interior modules</x:v>
      </x:c>
      <x:c r="BG51" s="1295"/>
      <x:c r="BH51" s="1295"/>
      <x:c r="BI51" s="1295"/>
      <x:c r="BJ51" s="1296"/>
      <x:c r="BK51" s="1563" t="str">
        <x:f>BK32</x:f>
        <x:v>Inner row
1st-4th module</x:v>
      </x:c>
      <x:c r="BL51" s="1564"/>
      <x:c r="BM51" s="1564"/>
      <x:c r="BN51" s="1564"/>
      <x:c r="BO51" s="1565"/>
      <x:c r="BP51" s="1267" t="str">
        <x:f>BP43</x:f>
        <x:v>Inner row
Interior modules</x:v>
      </x:c>
      <x:c r="BQ51" s="1268"/>
      <x:c r="BR51" s="1268"/>
      <x:c r="BS51" s="1268"/>
      <x:c r="BT51" s="1269"/>
      <x:c r="BU51" s="1258" t="str">
        <x:f>BU43</x:f>
        <x:v>Inner row
1st-4th module</x:v>
      </x:c>
      <x:c r="BV51" s="1259"/>
      <x:c r="BW51" s="1259"/>
      <x:c r="BX51" s="1259"/>
      <x:c r="BY51" s="1260"/>
      <x:c r="BZ51" s="1549"/>
      <x:c r="CA51" s="1550"/>
      <x:c r="CB51" s="488"/>
      <x:c r="CC51" s="485"/>
      <x:c r="CE51" s="491"/>
      <x:c r="CF51" s="54"/>
      <x:c r="CG51" s="1549"/>
      <x:c r="CH51" s="1550"/>
      <x:c r="CI51" s="1645" t="str">
        <x:f>BU51</x:f>
        <x:v>Inner row
1st-4th module</x:v>
      </x:c>
      <x:c r="CJ51" s="1259"/>
      <x:c r="CK51" s="1259"/>
      <x:c r="CL51" s="1259"/>
      <x:c r="CM51" s="1646"/>
      <x:c r="CN51" s="1267" t="str">
        <x:f>BP51</x:f>
        <x:v>Inner row
Interior modules</x:v>
      </x:c>
      <x:c r="CO51" s="1268"/>
      <x:c r="CP51" s="1268"/>
      <x:c r="CQ51" s="1268"/>
      <x:c r="CR51" s="1269"/>
      <x:c r="CS51" s="1563" t="str">
        <x:f>BK51</x:f>
        <x:v>Inner row
1st-4th module</x:v>
      </x:c>
      <x:c r="CT51" s="1564"/>
      <x:c r="CU51" s="1564"/>
      <x:c r="CV51" s="1564"/>
      <x:c r="CW51" s="1565"/>
      <x:c r="CX51" s="1294" t="str">
        <x:f>BF51</x:f>
        <x:v>Inner row
Interior modules</x:v>
      </x:c>
      <x:c r="CY51" s="1295"/>
      <x:c r="CZ51" s="1295"/>
      <x:c r="DA51" s="1295"/>
      <x:c r="DB51" s="1296"/>
      <x:c r="DC51" s="1285" t="str">
        <x:f>BA51</x:f>
        <x:v>Inner row
1st-4th module</x:v>
      </x:c>
      <x:c r="DD51" s="1286"/>
      <x:c r="DE51" s="1286"/>
      <x:c r="DF51" s="1286"/>
      <x:c r="DG51" s="1287"/>
      <x:c r="DH51" s="1276" t="str">
        <x:f>AV51</x:f>
        <x:v>Inner row
Interior modules</x:v>
      </x:c>
      <x:c r="DI51" s="1277"/>
      <x:c r="DJ51" s="1277"/>
      <x:c r="DK51" s="1277"/>
      <x:c r="DL51" s="1278"/>
      <x:c r="DM51" s="1240" t="str">
        <x:f>AQ51</x:f>
        <x:v>Inner row
1st-4th module</x:v>
      </x:c>
      <x:c r="DN51" s="1241"/>
      <x:c r="DO51" s="1241"/>
      <x:c r="DP51" s="1241"/>
      <x:c r="DQ51" s="1242"/>
      <x:c r="DR51" s="1249" t="str">
        <x:f>AL51</x:f>
        <x:v>Inner row
Interior modules</x:v>
      </x:c>
      <x:c r="DS51" s="1250"/>
      <x:c r="DT51" s="1250"/>
      <x:c r="DU51" s="1250"/>
      <x:c r="DV51" s="1251"/>
      <x:c r="DW51" s="1249" t="str">
        <x:f>AG51</x:f>
        <x:v>Inner row
Interior modules</x:v>
      </x:c>
      <x:c r="DX51" s="1250"/>
      <x:c r="DY51" s="1250"/>
      <x:c r="DZ51" s="1250"/>
      <x:c r="EA51" s="1482"/>
      <x:c r="EB51" s="1549"/>
      <x:c r="EC51" s="1550"/>
      <x:c r="ED51" s="488"/>
      <x:c r="EE51" s="485"/>
    </x:row>
    <x:row r="52" spans="1:136" ht="13.5" customHeight="1" thickBot="1" x14ac:dyDescent="0.25">
      <x:c r="A52" s="24"/>
      <x:c r="B52" s="1348"/>
      <x:c r="C52" s="1349"/>
      <x:c r="D52" s="1350"/>
      <x:c r="E52" s="343" t="s">
        <x:v>462</x:v>
      </x:c>
      <x:c r="F52" s="1055" t="e">
        <x:f t="shared" si="23"/>
        <x:v>#REF!</x:v>
      </x:c>
      <x:c r="G52" s="1055" t="e">
        <x:f t="shared" ref="G52:G94" si="24">MAX(P52,Q52)</x:f>
        <x:v>#REF!</x:v>
      </x:c>
      <x:c r="H52" s="1055" t="e">
        <x:f t="shared" ref="H52:H94" si="25">MAX(R52,S52)</x:f>
        <x:v>#REF!</x:v>
      </x:c>
      <x:c r="I52" s="1056" t="e">
        <x:f t="shared" ref="I52:I94" si="26">MAX(T52,U52)</x:f>
        <x:v>#REF!</x:v>
      </x:c>
      <x:c r="J52" s="1055" t="e">
        <x:f t="shared" ref="J52:J94" si="27">MAX(V52,W52)</x:f>
        <x:v>#REF!</x:v>
      </x:c>
      <x:c r="K52" s="1063" t="e">
        <x:f t="shared" ref="K52:K94" si="28">MAX(X52,Y52)</x:f>
        <x:v>#REF!</x:v>
      </x:c>
      <x:c r="L52" s="995">
        <x:f t="shared" ref="L52:L94" ca="1" si="29">MAX(Z52,AA52)</x:f>
        <x:v>9.838208544000036</x:v>
      </x:c>
      <x:c r="M52" s="939">
        <x:f t="shared" ref="M52:M94" ca="1" si="30">L52*2.20462</x:f>
        <x:v>21.689511320273358</x:v>
      </x:c>
      <x:c r="N52" s="1021" t="e">
        <x:f>(-#REF!*COS($F$18*PI()/180)*$F$21-#REF!*COS($I$18*PI()/180)*$I$21)*$N$99*$C$25*1000/9.81/$O$47*$D$193*#REF!-$N$47/$O$47*$C$20*$F$21</x:f>
        <x:v>#REF!</x:v>
      </x:c>
      <x:c r="O52" s="935" t="e">
        <x:f>(SQRT(((-#REF!*SIN($F$18*PI()/180)*$F$21+#REF!*SIN($I$18*PI()/180)*$I$21)*$C$25*1000)^2+(0.001*$C$25*1000*$F$21)^2)/$C$30+(-#REF!*COS($F$18*PI()/180)*$F$21-#REF!*COS($I$18*PI()/180)*$I$21)*$C$25*1000)/9.81*$O$99/$O$47*$F$193*#REF!-$N$47/$O$47*$C$20*$F$21</x:f>
        <x:v>#REF!</x:v>
      </x:c>
      <x:c r="P52" s="407" t="e">
        <x:f>(-#REF!*COS($F$18*PI()/180)*$F$21-#REF!*COS($I$18*PI()/180)*$I$21)*$N$99*$C$25*1000/9.81/$Q$47*$D$193*#REF!-$P$47/$Q$47*$C$20*$F$21</x:f>
        <x:v>#REF!</x:v>
      </x:c>
      <x:c r="Q52" s="408" t="e">
        <x:f>(SQRT(((-#REF!*SIN($F$18*PI()/180)*$F$21+#REF!*SIN($I$18*PI()/180)*$I$21)*$C$25*1000)^2+(0.001*$C$25*1000*$F$21)^2)/$C$30+(-#REF!*COS($F$18*PI()/180)*$F$21-#REF!*COS($I$18*PI()/180)*$I$21)*$C$25*1000)/9.81*$O$99/$Q$47*$F$193*#REF!-$P$47/$Q$47*$C$20*$F$21</x:f>
        <x:v>#REF!</x:v>
      </x:c>
      <x:c r="R52" s="407" t="e">
        <x:f>(-#REF!*COS($F$18*PI()/180)*$F$21-#REF!*COS($I$18*PI()/180)*$I$21)*$N$99*$C$25*1000/9.81/$S$47*$D$193*#REF!-$R$47/$S$47*$C$20*$F$21</x:f>
        <x:v>#REF!</x:v>
      </x:c>
      <x:c r="S52" s="408" t="e">
        <x:f>(SQRT(((-#REF!*SIN($F$18*PI()/180)*$F$21+#REF!*SIN($I$18*PI()/180)*$I$21)*$C$25*1000)^2+(0.001*$C$25*1000*$F$21)^2)/$C$30+(-#REF!*COS($F$18*PI()/180)*$F$21-#REF!*COS($I$18*PI()/180)*$I$21)*$C$25*1000)/9.81*$O$99/$S$47*$F$193*#REF!-$R$47/$S$47*$C$20*$F$21</x:f>
        <x:v>#REF!</x:v>
      </x:c>
      <x:c r="T52" s="407" t="e">
        <x:f>(-#REF!*COS($F$18*PI()/180)*$F$21-#REF!*COS($I$18*PI()/180)*$I$21)*$N$99*$C$25*1000/9.81/$U$47*$D$193*#REF!-$T$47/$U$47*$C$20*$F$21</x:f>
        <x:v>#REF!</x:v>
      </x:c>
      <x:c r="U52" s="408" t="e">
        <x:f>(SQRT(((-#REF!*SIN($F$18*PI()/180)*$F$21+#REF!*SIN($I$18*PI()/180)*$I$21)*$C$25*1000)^2+(0.001*$C$25*1000*$F$21)^2)/$C$30+(-#REF!*COS($F$18*PI()/180)*$F$21-#REF!*COS($I$18*PI()/180)*$I$21)*$C$25*1000)/9.81*$O$99/$U$47*$F$193*#REF!-$T$47/$U$47*$C$20*$F$21</x:f>
        <x:v>#REF!</x:v>
      </x:c>
      <x:c r="V52" s="407" t="e">
        <x:f>(-#REF!*COS($F$18*PI()/180)*$F$21-#REF!*COS($I$18*PI()/180)*$I$21)*$N$99*$C$25*1000/9.81/$W$47*$D$193*#REF!-$V$47/$W$47*$C$20*$F$21</x:f>
        <x:v>#REF!</x:v>
      </x:c>
      <x:c r="W52" s="408" t="e">
        <x:f>(SQRT(((-#REF!*SIN($F$18*PI()/180)*$F$21+#REF!*SIN($I$18*PI()/180)*$I$21)*$C$25*1000)^2+(0.001*$C$25*1000*$F$21)^2)/$C$30+(-#REF!*COS($F$18*PI()/180)*$F$21-#REF!*COS($I$18*PI()/180)*$I$21)*$C$25*1000)/9.81*$O$99/$W$47*$F$193*#REF!-$V$47/$W$47*$C$20*$F$21</x:f>
        <x:v>#REF!</x:v>
      </x:c>
      <x:c r="X52" s="407" t="e">
        <x:f>(-#REF!*COS($F$18*PI()/180)*$F$21-#REF!*COS($I$18*PI()/180)*$I$21)*$N$99*$C$25*1000/9.81/$Y$47*$D$193*#REF!-$X$47/$Y$47*$C$20*$F$21</x:f>
        <x:v>#REF!</x:v>
      </x:c>
      <x:c r="Y52" s="408" t="e">
        <x:f>(SQRT(((-#REF!*SIN($F$18*PI()/180)*$F$21+#REF!*SIN($I$18*PI()/180)*$I$21)*$C$25*1000)^2+(0.001*$C$25*1000*$F$21)^2)/$C$30+(-#REF!*COS($F$18*PI()/180)*$F$21-#REF!*COS($I$18*PI()/180)*$I$21)*$C$25*1000)/9.81*$O$99/$Y$47*$F$193*#REF!-$X$47/$Y$47*$C$20*$F$21</x:f>
        <x:v>#REF!</x:v>
      </x:c>
      <x:c r="Z52" s="407">
        <x:f ca="1">(-'int. presets cp_10d+wd'!I27*COS($F$18*PI()/180)*$F$21-'int. presets cp_10d+wd'!I36*COS($I$18*PI()/180)*$I$21)*$N$99*$C$25*1000/9.81/$AA$47*$D$193*'int. presets cp_10d+wd'!$I$246-$Z$47/$AA$47*$C$20*$F$21</x:f>
        <x:v>-2.8943012094978329</x:v>
      </x:c>
      <x:c r="AA52" s="1022">
        <x:f ca="1">(SQRT(((-'int. presets cp_10d+wd'!D27*SIN($F$18*PI()/180)*$F$21+'int. presets cp_10d+wd'!D36*SIN($I$18*PI()/180)*$I$21)*$C$25*1000)^2+(0.001*$C$25*1000*$F$21)^2)/$C$30+(-'int. presets cp_10d+wd'!D27*COS($F$18*PI()/180)*$F$21-'int. presets cp_10d+wd'!D36*COS($I$18*PI()/180)*$I$21)*$C$25*1000)/9.81*$O$99/$AA$47*$F$193*'int. presets cp_10d+wd'!$D$246-$Z$47/$AA$47*$C$20*$F$21</x:f>
        <x:v>9.838208544000036</x:v>
      </x:c>
      <x:c r="AB52" s="18"/>
      <x:c r="AC52" s="491"/>
      <x:c r="AD52" s="54"/>
      <x:c r="AE52" s="1549"/>
      <x:c r="AF52" s="1550"/>
      <x:c r="AG52" s="1304"/>
      <x:c r="AH52" s="1253"/>
      <x:c r="AI52" s="1253"/>
      <x:c r="AJ52" s="1253"/>
      <x:c r="AK52" s="1254"/>
      <x:c r="AL52" s="1252"/>
      <x:c r="AM52" s="1253"/>
      <x:c r="AN52" s="1253"/>
      <x:c r="AO52" s="1253"/>
      <x:c r="AP52" s="1254"/>
      <x:c r="AQ52" s="1243"/>
      <x:c r="AR52" s="1244"/>
      <x:c r="AS52" s="1244"/>
      <x:c r="AT52" s="1244"/>
      <x:c r="AU52" s="1245"/>
      <x:c r="AV52" s="1279"/>
      <x:c r="AW52" s="1280"/>
      <x:c r="AX52" s="1280"/>
      <x:c r="AY52" s="1280"/>
      <x:c r="AZ52" s="1281"/>
      <x:c r="BA52" s="1288"/>
      <x:c r="BB52" s="1289"/>
      <x:c r="BC52" s="1289"/>
      <x:c r="BD52" s="1289"/>
      <x:c r="BE52" s="1290"/>
      <x:c r="BF52" s="1297"/>
      <x:c r="BG52" s="1298"/>
      <x:c r="BH52" s="1298"/>
      <x:c r="BI52" s="1298"/>
      <x:c r="BJ52" s="1299"/>
      <x:c r="BK52" s="1566"/>
      <x:c r="BL52" s="1567"/>
      <x:c r="BM52" s="1567"/>
      <x:c r="BN52" s="1567"/>
      <x:c r="BO52" s="1568"/>
      <x:c r="BP52" s="1270"/>
      <x:c r="BQ52" s="1271"/>
      <x:c r="BR52" s="1271"/>
      <x:c r="BS52" s="1271"/>
      <x:c r="BT52" s="1272"/>
      <x:c r="BU52" s="1261"/>
      <x:c r="BV52" s="1262"/>
      <x:c r="BW52" s="1262"/>
      <x:c r="BX52" s="1262"/>
      <x:c r="BY52" s="1263"/>
      <x:c r="BZ52" s="1549"/>
      <x:c r="CA52" s="1550"/>
      <x:c r="CB52" s="360"/>
      <x:c r="CC52" s="604">
        <x:f>IF(20&lt;'building data'!$C$21,MAX(0,'building data'!$C$21-20),0)</x:f>
        <x:v>71.44</x:v>
      </x:c>
      <x:c r="CE52" s="491"/>
      <x:c r="CF52" s="54"/>
      <x:c r="CG52" s="1549"/>
      <x:c r="CH52" s="1550"/>
      <x:c r="CI52" s="1647"/>
      <x:c r="CJ52" s="1262"/>
      <x:c r="CK52" s="1262"/>
      <x:c r="CL52" s="1262"/>
      <x:c r="CM52" s="1648"/>
      <x:c r="CN52" s="1270"/>
      <x:c r="CO52" s="1271"/>
      <x:c r="CP52" s="1271"/>
      <x:c r="CQ52" s="1271"/>
      <x:c r="CR52" s="1272"/>
      <x:c r="CS52" s="1566"/>
      <x:c r="CT52" s="1567"/>
      <x:c r="CU52" s="1567"/>
      <x:c r="CV52" s="1567"/>
      <x:c r="CW52" s="1568"/>
      <x:c r="CX52" s="1297"/>
      <x:c r="CY52" s="1298"/>
      <x:c r="CZ52" s="1298"/>
      <x:c r="DA52" s="1298"/>
      <x:c r="DB52" s="1299"/>
      <x:c r="DC52" s="1288"/>
      <x:c r="DD52" s="1289"/>
      <x:c r="DE52" s="1289"/>
      <x:c r="DF52" s="1289"/>
      <x:c r="DG52" s="1290"/>
      <x:c r="DH52" s="1279"/>
      <x:c r="DI52" s="1280"/>
      <x:c r="DJ52" s="1280"/>
      <x:c r="DK52" s="1280"/>
      <x:c r="DL52" s="1281"/>
      <x:c r="DM52" s="1243"/>
      <x:c r="DN52" s="1244"/>
      <x:c r="DO52" s="1244"/>
      <x:c r="DP52" s="1244"/>
      <x:c r="DQ52" s="1245"/>
      <x:c r="DR52" s="1252"/>
      <x:c r="DS52" s="1253"/>
      <x:c r="DT52" s="1253"/>
      <x:c r="DU52" s="1253"/>
      <x:c r="DV52" s="1254"/>
      <x:c r="DW52" s="1252"/>
      <x:c r="DX52" s="1253"/>
      <x:c r="DY52" s="1253"/>
      <x:c r="DZ52" s="1253"/>
      <x:c r="EA52" s="1483"/>
      <x:c r="EB52" s="1549"/>
      <x:c r="EC52" s="1550"/>
      <x:c r="ED52" s="360"/>
      <x:c r="EE52" s="604">
        <x:f>IF(20&lt;'building data'!$C$21,MAX(0,'building data'!$C$21-20),0)</x:f>
        <x:v>71.44</x:v>
      </x:c>
    </x:row>
    <x:row r="53" spans="1:136" ht="13.5" customHeight="1" x14ac:dyDescent="0.2">
      <x:c r="A53" s="24"/>
      <x:c r="B53" s="1345" t="s">
        <x:v>463</x:v>
      </x:c>
      <x:c r="C53" s="1346">
        <x:v>0</x:v>
      </x:c>
      <x:c r="D53" s="1347" t="s">
        <x:v>463</x:v>
      </x:c>
      <x:c r="E53" s="342" t="s">
        <x:v>461</x:v>
      </x:c>
      <x:c r="F53" s="1057" t="e">
        <x:f t="shared" si="23"/>
        <x:v>#REF!</x:v>
      </x:c>
      <x:c r="G53" s="1057" t="e">
        <x:f t="shared" si="24"/>
        <x:v>#REF!</x:v>
      </x:c>
      <x:c r="H53" s="1057" t="e">
        <x:f t="shared" si="25"/>
        <x:v>#REF!</x:v>
      </x:c>
      <x:c r="I53" s="1054" t="e">
        <x:f t="shared" si="26"/>
        <x:v>#REF!</x:v>
      </x:c>
      <x:c r="J53" s="1057" t="e">
        <x:f t="shared" si="27"/>
        <x:v>#REF!</x:v>
      </x:c>
      <x:c r="K53" s="1064" t="e">
        <x:f t="shared" si="28"/>
        <x:v>#REF!</x:v>
      </x:c>
      <x:c r="L53" s="996">
        <x:f t="shared" ca="1" si="29"/>
        <x:v>21.999460817050586</x:v>
      </x:c>
      <x:c r="M53" s="938">
        <x:f t="shared" ca="1" si="30"/>
        <x:v>48.500451306486056</x:v>
      </x:c>
      <x:c r="N53" s="1019" t="e">
        <x:f>(-#REF!*COS($F$18*PI()/180)*$F$21-#REF!*COS($I$18*PI()/180)*$I$21)*$N$99*$C$25*1000/9.81/$O$47*$D$193*#REF!-$N$47/$O$47*$C$20*$F$21</x:f>
        <x:v>#REF!</x:v>
      </x:c>
      <x:c r="O53" s="934" t="e">
        <x:f>(SQRT(((-#REF!*SIN($F$18*PI()/180)*$F$21+#REF!*SIN($I$18*PI()/180)*$I$21)*$C$25*1000)^2+(0.001*$C$25*1000*$F$21)^2)/$C$30+(-#REF!*COS($F$18*PI()/180)*$F$21-#REF!*COS($I$18*PI()/180)*$I$21)*$C$25*1000)/9.81*$O$99/$O$47*$F$193*#REF!-$N$47/$O$47*$C$20*$F$21</x:f>
        <x:v>#REF!</x:v>
      </x:c>
      <x:c r="P53" s="409" t="e">
        <x:f>(-#REF!*COS($F$18*PI()/180)*$F$21-#REF!*COS($I$18*PI()/180)*$I$21)*$N$99*$C$25*1000/9.81/$Q$47*$D$193*#REF!-$P$47/$Q$47*$C$20*$F$21</x:f>
        <x:v>#REF!</x:v>
      </x:c>
      <x:c r="Q53" s="410" t="e">
        <x:f>(SQRT(((-#REF!*SIN($F$18*PI()/180)*$F$21+#REF!*SIN($I$18*PI()/180)*$I$21)*$C$25*1000)^2+(0.001*$C$25*1000*$F$21)^2)/$C$30+(-#REF!*COS($F$18*PI()/180)*$F$21-#REF!*COS($I$18*PI()/180)*$I$21)*$C$25*1000)/9.81*$O$99/$Q$47*$F$193*#REF!-$P$47/$Q$47*$C$20*$F$21</x:f>
        <x:v>#REF!</x:v>
      </x:c>
      <x:c r="R53" s="409" t="e">
        <x:f>(-#REF!*COS($F$18*PI()/180)*$F$21-#REF!*COS($I$18*PI()/180)*$I$21)*$N$99*$C$25*1000/9.81/$S$47*$D$193*#REF!-$R$47/$S$47*$C$20*$F$21</x:f>
        <x:v>#REF!</x:v>
      </x:c>
      <x:c r="S53" s="410" t="e">
        <x:f>(SQRT(((-#REF!*SIN($F$18*PI()/180)*$F$21+#REF!*SIN($I$18*PI()/180)*$I$21)*$C$25*1000)^2+(0.001*$C$25*1000*$F$21)^2)/$C$30+(-#REF!*COS($F$18*PI()/180)*$F$21-#REF!*COS($I$18*PI()/180)*$I$21)*$C$25*1000)/9.81*$O$99/$S$47*$F$193*#REF!-$R$47/$S$47*$C$20*$F$21</x:f>
        <x:v>#REF!</x:v>
      </x:c>
      <x:c r="T53" s="409" t="e">
        <x:f>(-#REF!*COS($F$18*PI()/180)*$F$21-#REF!*COS($I$18*PI()/180)*$I$21)*$N$99*$C$25*1000/9.81/$U$47*$D$193*#REF!-$T$47/$U$47*$C$20*$F$21</x:f>
        <x:v>#REF!</x:v>
      </x:c>
      <x:c r="U53" s="410" t="e">
        <x:f>(SQRT(((-#REF!*SIN($F$18*PI()/180)*$F$21+#REF!*SIN($I$18*PI()/180)*$I$21)*$C$25*1000)^2+(0.001*$C$25*1000*$F$21)^2)/$C$30+(-#REF!*COS($F$18*PI()/180)*$F$21-#REF!*COS($I$18*PI()/180)*$I$21)*$C$25*1000)/9.81*$O$99/$U$47*$F$193*#REF!-$T$47/$U$47*$C$20*$F$21</x:f>
        <x:v>#REF!</x:v>
      </x:c>
      <x:c r="V53" s="409" t="e">
        <x:f>(-#REF!*COS($F$18*PI()/180)*$F$21-#REF!*COS($I$18*PI()/180)*$I$21)*$N$99*$C$25*1000/9.81/$W$47*$D$193*#REF!-$V$47/$W$47*$C$20*$F$21</x:f>
        <x:v>#REF!</x:v>
      </x:c>
      <x:c r="W53" s="410" t="e">
        <x:f>(SQRT(((-#REF!*SIN($F$18*PI()/180)*$F$21+#REF!*SIN($I$18*PI()/180)*$I$21)*$C$25*1000)^2+(0.001*$C$25*1000*$F$21)^2)/$C$30+(-#REF!*COS($F$18*PI()/180)*$F$21-#REF!*COS($I$18*PI()/180)*$I$21)*$C$25*1000)/9.81*$O$99/$W$47*$F$193*#REF!-$V$47/$W$47*$C$20*$F$21</x:f>
        <x:v>#REF!</x:v>
      </x:c>
      <x:c r="X53" s="409" t="e">
        <x:f>(-#REF!*COS($F$18*PI()/180)*$F$21-#REF!*COS($I$18*PI()/180)*$I$21)*$N$99*$C$25*1000/9.81/$Y$47*$D$193*#REF!-$X$47/$Y$47*$C$20*$F$21</x:f>
        <x:v>#REF!</x:v>
      </x:c>
      <x:c r="Y53" s="410" t="e">
        <x:f>(SQRT(((-#REF!*SIN($F$18*PI()/180)*$F$21+#REF!*SIN($I$18*PI()/180)*$I$21)*$C$25*1000)^2+(0.001*$C$25*1000*$F$21)^2)/$C$30+(-#REF!*COS($F$18*PI()/180)*$F$21-#REF!*COS($I$18*PI()/180)*$I$21)*$C$25*1000)/9.81*$O$99/$Y$47*$F$193*#REF!-$X$47/$Y$47*$C$20*$F$21</x:f>
        <x:v>#REF!</x:v>
      </x:c>
      <x:c r="Z53" s="409">
        <x:f ca="1">(-'int. presets cp_10d+wd'!I28*COS($F$18*PI()/180)*$F$21-'int. presets cp_10d+wd'!I37*COS($I$18*PI()/180)*$I$21)*$N$99*$C$25*1000/9.81/$AA$47*$D$193*'int. presets cp_10d+wd'!$I$246-$Z$47/$AA$47*$C$20*$F$21</x:f>
        <x:v>21.999460817050586</x:v>
      </x:c>
      <x:c r="AA53" s="1024">
        <x:f ca="1">(SQRT(((-'int. presets cp_10d+wd'!D28*SIN($F$18*PI()/180)*$F$21+'int. presets cp_10d+wd'!D37*SIN($I$18*PI()/180)*$I$21)*$C$25*1000)^2+(0.001*$C$25*1000*$F$21)^2)/$C$30+(-'int. presets cp_10d+wd'!D28*COS($F$18*PI()/180)*$F$21-'int. presets cp_10d+wd'!D37*COS($I$18*PI()/180)*$I$21)*$C$25*1000)/9.81*$O$99/$AA$47*$F$193*'int. presets cp_10d+wd'!$D$246-$Z$47/$AA$47*$C$20*$F$21</x:f>
        <x:v>9.838208544000036</x:v>
      </x:c>
      <x:c r="AB53" s="18"/>
      <x:c r="AC53" s="491"/>
      <x:c r="AD53" s="54"/>
      <x:c r="AE53" s="1549"/>
      <x:c r="AF53" s="1550"/>
      <x:c r="AG53" s="1305"/>
      <x:c r="AH53" s="1256"/>
      <x:c r="AI53" s="1256"/>
      <x:c r="AJ53" s="1256"/>
      <x:c r="AK53" s="1257"/>
      <x:c r="AL53" s="1255"/>
      <x:c r="AM53" s="1256"/>
      <x:c r="AN53" s="1256"/>
      <x:c r="AO53" s="1256"/>
      <x:c r="AP53" s="1257"/>
      <x:c r="AQ53" s="1246"/>
      <x:c r="AR53" s="1247"/>
      <x:c r="AS53" s="1247"/>
      <x:c r="AT53" s="1247"/>
      <x:c r="AU53" s="1248"/>
      <x:c r="AV53" s="1282"/>
      <x:c r="AW53" s="1283"/>
      <x:c r="AX53" s="1283"/>
      <x:c r="AY53" s="1283"/>
      <x:c r="AZ53" s="1284"/>
      <x:c r="BA53" s="1291"/>
      <x:c r="BB53" s="1292"/>
      <x:c r="BC53" s="1292"/>
      <x:c r="BD53" s="1292"/>
      <x:c r="BE53" s="1293"/>
      <x:c r="BF53" s="1300"/>
      <x:c r="BG53" s="1301"/>
      <x:c r="BH53" s="1301"/>
      <x:c r="BI53" s="1301"/>
      <x:c r="BJ53" s="1302"/>
      <x:c r="BK53" s="1569"/>
      <x:c r="BL53" s="1570"/>
      <x:c r="BM53" s="1570"/>
      <x:c r="BN53" s="1570"/>
      <x:c r="BO53" s="1571"/>
      <x:c r="BP53" s="1273"/>
      <x:c r="BQ53" s="1274"/>
      <x:c r="BR53" s="1274"/>
      <x:c r="BS53" s="1274"/>
      <x:c r="BT53" s="1275"/>
      <x:c r="BU53" s="1264"/>
      <x:c r="BV53" s="1265"/>
      <x:c r="BW53" s="1265"/>
      <x:c r="BX53" s="1265"/>
      <x:c r="BY53" s="1266"/>
      <x:c r="BZ53" s="1549"/>
      <x:c r="CA53" s="1550"/>
      <x:c r="CB53" s="360"/>
      <x:c r="CC53" s="602" t="s">
        <x:v>0</x:v>
      </x:c>
      <x:c r="CE53" s="491"/>
      <x:c r="CF53" s="54"/>
      <x:c r="CG53" s="1549"/>
      <x:c r="CH53" s="1550"/>
      <x:c r="CI53" s="1649"/>
      <x:c r="CJ53" s="1265"/>
      <x:c r="CK53" s="1265"/>
      <x:c r="CL53" s="1265"/>
      <x:c r="CM53" s="1650"/>
      <x:c r="CN53" s="1273"/>
      <x:c r="CO53" s="1274"/>
      <x:c r="CP53" s="1274"/>
      <x:c r="CQ53" s="1274"/>
      <x:c r="CR53" s="1275"/>
      <x:c r="CS53" s="1569"/>
      <x:c r="CT53" s="1570"/>
      <x:c r="CU53" s="1570"/>
      <x:c r="CV53" s="1570"/>
      <x:c r="CW53" s="1571"/>
      <x:c r="CX53" s="1300"/>
      <x:c r="CY53" s="1301"/>
      <x:c r="CZ53" s="1301"/>
      <x:c r="DA53" s="1301"/>
      <x:c r="DB53" s="1302"/>
      <x:c r="DC53" s="1291"/>
      <x:c r="DD53" s="1292"/>
      <x:c r="DE53" s="1292"/>
      <x:c r="DF53" s="1292"/>
      <x:c r="DG53" s="1293"/>
      <x:c r="DH53" s="1282"/>
      <x:c r="DI53" s="1283"/>
      <x:c r="DJ53" s="1283"/>
      <x:c r="DK53" s="1283"/>
      <x:c r="DL53" s="1284"/>
      <x:c r="DM53" s="1246"/>
      <x:c r="DN53" s="1247"/>
      <x:c r="DO53" s="1247"/>
      <x:c r="DP53" s="1247"/>
      <x:c r="DQ53" s="1248"/>
      <x:c r="DR53" s="1255"/>
      <x:c r="DS53" s="1256"/>
      <x:c r="DT53" s="1256"/>
      <x:c r="DU53" s="1256"/>
      <x:c r="DV53" s="1257"/>
      <x:c r="DW53" s="1255"/>
      <x:c r="DX53" s="1256"/>
      <x:c r="DY53" s="1256"/>
      <x:c r="DZ53" s="1256"/>
      <x:c r="EA53" s="1484"/>
      <x:c r="EB53" s="1549"/>
      <x:c r="EC53" s="1550"/>
      <x:c r="ED53" s="360"/>
      <x:c r="EE53" s="602" t="s">
        <x:v>0</x:v>
      </x:c>
    </x:row>
    <x:row r="54" spans="1:136" ht="13.5" customHeight="1" thickBot="1" x14ac:dyDescent="0.25">
      <x:c r="A54" s="24"/>
      <x:c r="B54" s="1348" t="e">
        <x:v>#REF!</x:v>
      </x:c>
      <x:c r="C54" s="1349">
        <x:v>0</x:v>
      </x:c>
      <x:c r="D54" s="1350">
        <x:v>0</x:v>
      </x:c>
      <x:c r="E54" s="343" t="s">
        <x:v>462</x:v>
      </x:c>
      <x:c r="F54" s="1055" t="e">
        <x:f t="shared" si="23"/>
        <x:v>#REF!</x:v>
      </x:c>
      <x:c r="G54" s="1055" t="e">
        <x:f t="shared" si="24"/>
        <x:v>#REF!</x:v>
      </x:c>
      <x:c r="H54" s="1055" t="e">
        <x:f t="shared" si="25"/>
        <x:v>#REF!</x:v>
      </x:c>
      <x:c r="I54" s="1056" t="e">
        <x:f t="shared" si="26"/>
        <x:v>#REF!</x:v>
      </x:c>
      <x:c r="J54" s="1055" t="e">
        <x:f t="shared" si="27"/>
        <x:v>#REF!</x:v>
      </x:c>
      <x:c r="K54" s="1063" t="e">
        <x:f t="shared" si="28"/>
        <x:v>#REF!</x:v>
      </x:c>
      <x:c r="L54" s="995">
        <x:f t="shared" ca="1" si="29"/>
        <x:v>9.838208544000036</x:v>
      </x:c>
      <x:c r="M54" s="939">
        <x:f t="shared" ca="1" si="30"/>
        <x:v>21.689511320273358</x:v>
      </x:c>
      <x:c r="N54" s="1021" t="e">
        <x:f>(-#REF!*COS($F$18*PI()/180)*$F$21-#REF!*COS($I$18*PI()/180)*$I$21)*$N$99*$C$25*1000/9.81/$O$47*$D$193*#REF!-$N$47/$O$47*$C$20*$F$21</x:f>
        <x:v>#REF!</x:v>
      </x:c>
      <x:c r="O54" s="935" t="e">
        <x:f>(SQRT(((-#REF!*SIN($F$18*PI()/180)*$F$21+#REF!*SIN($I$18*PI()/180)*$I$21)*$C$25*1000)^2+(0.001*$C$25*1000*$F$21)^2)/$C$30+(-#REF!*COS($F$18*PI()/180)*$F$21-#REF!*COS($I$18*PI()/180)*$I$21)*$C$25*1000)/9.81*$O$99/$O$47*$F$193*#REF!-$N$47/$O$47*$C$20*$F$21</x:f>
        <x:v>#REF!</x:v>
      </x:c>
      <x:c r="P54" s="407" t="e">
        <x:f>(-#REF!*COS($F$18*PI()/180)*$F$21-#REF!*COS($I$18*PI()/180)*$I$21)*$N$99*$C$25*1000/9.81/$Q$47*$D$193*#REF!-$P$47/$Q$47*$C$20*$F$21</x:f>
        <x:v>#REF!</x:v>
      </x:c>
      <x:c r="Q54" s="408" t="e">
        <x:f>(SQRT(((-#REF!*SIN($F$18*PI()/180)*$F$21+#REF!*SIN($I$18*PI()/180)*$I$21)*$C$25*1000)^2+(0.001*$C$25*1000*$F$21)^2)/$C$30+(-#REF!*COS($F$18*PI()/180)*$F$21-#REF!*COS($I$18*PI()/180)*$I$21)*$C$25*1000)/9.81*$O$99/$Q$47*$F$193*#REF!-$P$47/$Q$47*$C$20*$F$21</x:f>
        <x:v>#REF!</x:v>
      </x:c>
      <x:c r="R54" s="407" t="e">
        <x:f>(-#REF!*COS($F$18*PI()/180)*$F$21-#REF!*COS($I$18*PI()/180)*$I$21)*$N$99*$C$25*1000/9.81/$S$47*$D$193*#REF!-$R$47/$S$47*$C$20*$F$21</x:f>
        <x:v>#REF!</x:v>
      </x:c>
      <x:c r="S54" s="408" t="e">
        <x:f>(SQRT(((-#REF!*SIN($F$18*PI()/180)*$F$21+#REF!*SIN($I$18*PI()/180)*$I$21)*$C$25*1000)^2+(0.001*$C$25*1000*$F$21)^2)/$C$30+(-#REF!*COS($F$18*PI()/180)*$F$21-#REF!*COS($I$18*PI()/180)*$I$21)*$C$25*1000)/9.81*$O$99/$S$47*$F$193*#REF!-$R$47/$S$47*$C$20*$F$21</x:f>
        <x:v>#REF!</x:v>
      </x:c>
      <x:c r="T54" s="407" t="e">
        <x:f>(-#REF!*COS($F$18*PI()/180)*$F$21-#REF!*COS($I$18*PI()/180)*$I$21)*$N$99*$C$25*1000/9.81/$U$47*$D$193*#REF!-$T$47/$U$47*$C$20*$F$21</x:f>
        <x:v>#REF!</x:v>
      </x:c>
      <x:c r="U54" s="408" t="e">
        <x:f>(SQRT(((-#REF!*SIN($F$18*PI()/180)*$F$21+#REF!*SIN($I$18*PI()/180)*$I$21)*$C$25*1000)^2+(0.001*$C$25*1000*$F$21)^2)/$C$30+(-#REF!*COS($F$18*PI()/180)*$F$21-#REF!*COS($I$18*PI()/180)*$I$21)*$C$25*1000)/9.81*$O$99/$U$47*$F$193*#REF!-$T$47/$U$47*$C$20*$F$21</x:f>
        <x:v>#REF!</x:v>
      </x:c>
      <x:c r="V54" s="407" t="e">
        <x:f>(-#REF!*COS($F$18*PI()/180)*$F$21-#REF!*COS($I$18*PI()/180)*$I$21)*$N$99*$C$25*1000/9.81/$W$47*$D$193*#REF!-$V$47/$W$47*$C$20*$F$21</x:f>
        <x:v>#REF!</x:v>
      </x:c>
      <x:c r="W54" s="408" t="e">
        <x:f>(SQRT(((-#REF!*SIN($F$18*PI()/180)*$F$21+#REF!*SIN($I$18*PI()/180)*$I$21)*$C$25*1000)^2+(0.001*$C$25*1000*$F$21)^2)/$C$30+(-#REF!*COS($F$18*PI()/180)*$F$21-#REF!*COS($I$18*PI()/180)*$I$21)*$C$25*1000)/9.81*$O$99/$W$47*$F$193*#REF!-$V$47/$W$47*$C$20*$F$21</x:f>
        <x:v>#REF!</x:v>
      </x:c>
      <x:c r="X54" s="407" t="e">
        <x:f>(-#REF!*COS($F$18*PI()/180)*$F$21-#REF!*COS($I$18*PI()/180)*$I$21)*$N$99*$C$25*1000/9.81/$Y$47*$D$193*#REF!-$X$47/$Y$47*$C$20*$F$21</x:f>
        <x:v>#REF!</x:v>
      </x:c>
      <x:c r="Y54" s="408" t="e">
        <x:f>(SQRT(((-#REF!*SIN($F$18*PI()/180)*$F$21+#REF!*SIN($I$18*PI()/180)*$I$21)*$C$25*1000)^2+(0.001*$C$25*1000*$F$21)^2)/$C$30+(-#REF!*COS($F$18*PI()/180)*$F$21-#REF!*COS($I$18*PI()/180)*$I$21)*$C$25*1000)/9.81*$O$99/$Y$47*$F$193*#REF!-$X$47/$Y$47*$C$20*$F$21</x:f>
        <x:v>#REF!</x:v>
      </x:c>
      <x:c r="Z54" s="407">
        <x:f ca="1">(-'int. presets cp_10d+wd'!I29*COS($F$18*PI()/180)*$F$21-'int. presets cp_10d+wd'!I38*COS($I$18*PI()/180)*$I$21)*$N$99*$C$25*1000/9.81/$AA$47*$D$193*'int. presets cp_10d+wd'!$I$246-$Z$47/$AA$47*$C$20*$F$21</x:f>
        <x:v>0.61989151501573758</x:v>
      </x:c>
      <x:c r="AA54" s="1022">
        <x:f ca="1">(SQRT(((-'int. presets cp_10d+wd'!D29*SIN($F$18*PI()/180)*$F$21+'int. presets cp_10d+wd'!D38*SIN($I$18*PI()/180)*$I$21)*$C$25*1000)^2+(0.001*$C$25*1000*$F$21)^2)/$C$30+(-'int. presets cp_10d+wd'!D29*COS($F$18*PI()/180)*$F$21-'int. presets cp_10d+wd'!D38*COS($I$18*PI()/180)*$I$21)*$C$25*1000)/9.81*$O$99/$AA$47*$F$193*'int. presets cp_10d+wd'!$D$246-$Z$47/$AA$47*$C$20*$F$21</x:f>
        <x:v>9.838208544000036</x:v>
      </x:c>
      <x:c r="AB54" s="18"/>
      <x:c r="AC54" s="491"/>
      <x:c r="AD54" s="54"/>
      <x:c r="AE54" s="1549"/>
      <x:c r="AF54" s="1550"/>
      <x:c r="AG54" s="1303" t="str">
        <x:f>AL51</x:f>
        <x:v>Inner row
Interior modules</x:v>
      </x:c>
      <x:c r="AH54" s="1250"/>
      <x:c r="AI54" s="1250"/>
      <x:c r="AJ54" s="1250"/>
      <x:c r="AK54" s="1251"/>
      <x:c r="AL54" s="1249" t="str">
        <x:f>AL32</x:f>
        <x:v>Inner row
Interior modules</x:v>
      </x:c>
      <x:c r="AM54" s="1250"/>
      <x:c r="AN54" s="1250"/>
      <x:c r="AO54" s="1250"/>
      <x:c r="AP54" s="1251"/>
      <x:c r="AQ54" s="1240" t="str">
        <x:f>AQ32</x:f>
        <x:v>Inner row
1st-4th module</x:v>
      </x:c>
      <x:c r="AR54" s="1241"/>
      <x:c r="AS54" s="1241"/>
      <x:c r="AT54" s="1241"/>
      <x:c r="AU54" s="1242"/>
      <x:c r="AV54" s="1276" t="str">
        <x:f>AV32</x:f>
        <x:v>Inner row
Interior modules</x:v>
      </x:c>
      <x:c r="AW54" s="1277"/>
      <x:c r="AX54" s="1277"/>
      <x:c r="AY54" s="1277"/>
      <x:c r="AZ54" s="1278"/>
      <x:c r="BA54" s="1285" t="str">
        <x:f>BA32</x:f>
        <x:v>Inner row
1st-4th module</x:v>
      </x:c>
      <x:c r="BB54" s="1286"/>
      <x:c r="BC54" s="1286"/>
      <x:c r="BD54" s="1286"/>
      <x:c r="BE54" s="1287"/>
      <x:c r="BF54" s="1294" t="str">
        <x:f>BF32</x:f>
        <x:v>Inner row
Interior modules</x:v>
      </x:c>
      <x:c r="BG54" s="1295"/>
      <x:c r="BH54" s="1295"/>
      <x:c r="BI54" s="1295"/>
      <x:c r="BJ54" s="1296"/>
      <x:c r="BK54" s="1486" t="str">
        <x:f>BK32</x:f>
        <x:v>Inner row
1st-4th module</x:v>
      </x:c>
      <x:c r="BL54" s="1487"/>
      <x:c r="BM54" s="1487"/>
      <x:c r="BN54" s="1487"/>
      <x:c r="BO54" s="1488"/>
      <x:c r="BP54" s="1267" t="str">
        <x:f>BP43</x:f>
        <x:v>Inner row
Interior modules</x:v>
      </x:c>
      <x:c r="BQ54" s="1268"/>
      <x:c r="BR54" s="1268"/>
      <x:c r="BS54" s="1268"/>
      <x:c r="BT54" s="1269"/>
      <x:c r="BU54" s="1258" t="str">
        <x:f>BU43</x:f>
        <x:v>Inner row
1st-4th module</x:v>
      </x:c>
      <x:c r="BV54" s="1259"/>
      <x:c r="BW54" s="1259"/>
      <x:c r="BX54" s="1259"/>
      <x:c r="BY54" s="1260"/>
      <x:c r="BZ54" s="1549"/>
      <x:c r="CA54" s="1550"/>
      <x:c r="CB54" s="361"/>
      <x:c r="CC54" s="1436" t="s">
        <x:v>76</x:v>
      </x:c>
      <x:c r="CE54" s="491"/>
      <x:c r="CF54" s="54"/>
      <x:c r="CG54" s="1549"/>
      <x:c r="CH54" s="1550"/>
      <x:c r="CI54" s="1645" t="str">
        <x:f>BU54</x:f>
        <x:v>Inner row
1st-4th module</x:v>
      </x:c>
      <x:c r="CJ54" s="1259"/>
      <x:c r="CK54" s="1259"/>
      <x:c r="CL54" s="1259"/>
      <x:c r="CM54" s="1646"/>
      <x:c r="CN54" s="1267" t="str">
        <x:f>BP54</x:f>
        <x:v>Inner row
Interior modules</x:v>
      </x:c>
      <x:c r="CO54" s="1268"/>
      <x:c r="CP54" s="1268"/>
      <x:c r="CQ54" s="1268"/>
      <x:c r="CR54" s="1269"/>
      <x:c r="CS54" s="1572" t="str">
        <x:f>BK54</x:f>
        <x:v>Inner row
1st-4th module</x:v>
      </x:c>
      <x:c r="CT54" s="1573"/>
      <x:c r="CU54" s="1573"/>
      <x:c r="CV54" s="1573"/>
      <x:c r="CW54" s="1574"/>
      <x:c r="CX54" s="1294" t="str">
        <x:f>BF54</x:f>
        <x:v>Inner row
Interior modules</x:v>
      </x:c>
      <x:c r="CY54" s="1295"/>
      <x:c r="CZ54" s="1295"/>
      <x:c r="DA54" s="1295"/>
      <x:c r="DB54" s="1296"/>
      <x:c r="DC54" s="1285" t="str">
        <x:f>BA54</x:f>
        <x:v>Inner row
1st-4th module</x:v>
      </x:c>
      <x:c r="DD54" s="1286"/>
      <x:c r="DE54" s="1286"/>
      <x:c r="DF54" s="1286"/>
      <x:c r="DG54" s="1287"/>
      <x:c r="DH54" s="1276" t="str">
        <x:f>AV54</x:f>
        <x:v>Inner row
Interior modules</x:v>
      </x:c>
      <x:c r="DI54" s="1277"/>
      <x:c r="DJ54" s="1277"/>
      <x:c r="DK54" s="1277"/>
      <x:c r="DL54" s="1278"/>
      <x:c r="DM54" s="1240" t="str">
        <x:f>AQ54</x:f>
        <x:v>Inner row
1st-4th module</x:v>
      </x:c>
      <x:c r="DN54" s="1241"/>
      <x:c r="DO54" s="1241"/>
      <x:c r="DP54" s="1241"/>
      <x:c r="DQ54" s="1242"/>
      <x:c r="DR54" s="1249" t="str">
        <x:f>AL54</x:f>
        <x:v>Inner row
Interior modules</x:v>
      </x:c>
      <x:c r="DS54" s="1250"/>
      <x:c r="DT54" s="1250"/>
      <x:c r="DU54" s="1250"/>
      <x:c r="DV54" s="1251"/>
      <x:c r="DW54" s="1249" t="str">
        <x:f>AG54</x:f>
        <x:v>Inner row
Interior modules</x:v>
      </x:c>
      <x:c r="DX54" s="1250"/>
      <x:c r="DY54" s="1250"/>
      <x:c r="DZ54" s="1250"/>
      <x:c r="EA54" s="1482"/>
      <x:c r="EB54" s="1549"/>
      <x:c r="EC54" s="1550"/>
      <x:c r="ED54" s="361"/>
      <x:c r="EE54" s="1436" t="s">
        <x:v>76</x:v>
      </x:c>
    </x:row>
    <x:row r="55" spans="1:136" ht="13.5" customHeight="1" x14ac:dyDescent="0.2">
      <x:c r="A55" s="24"/>
      <x:c r="B55" s="1345" t="s">
        <x:v>464</x:v>
      </x:c>
      <x:c r="C55" s="1346">
        <x:v>0</x:v>
      </x:c>
      <x:c r="D55" s="1347" t="s">
        <x:v>464</x:v>
      </x:c>
      <x:c r="E55" s="342" t="s">
        <x:v>461</x:v>
      </x:c>
      <x:c r="F55" s="1057" t="e">
        <x:f t="shared" si="23"/>
        <x:v>#REF!</x:v>
      </x:c>
      <x:c r="G55" s="1057" t="e">
        <x:f t="shared" si="24"/>
        <x:v>#REF!</x:v>
      </x:c>
      <x:c r="H55" s="1057" t="e">
        <x:f t="shared" si="25"/>
        <x:v>#REF!</x:v>
      </x:c>
      <x:c r="I55" s="1054" t="e">
        <x:f t="shared" si="26"/>
        <x:v>#REF!</x:v>
      </x:c>
      <x:c r="J55" s="1057" t="e">
        <x:f t="shared" si="27"/>
        <x:v>#REF!</x:v>
      </x:c>
      <x:c r="K55" s="1064" t="e">
        <x:f t="shared" si="28"/>
        <x:v>#REF!</x:v>
      </x:c>
      <x:c r="L55" s="996">
        <x:f t="shared" ca="1" si="29"/>
        <x:v>16.687507981044735</x:v>
      </x:c>
      <x:c r="M55" s="938">
        <x:f t="shared" ca="1" si="30"/>
        <x:v>36.789613845170841</x:v>
      </x:c>
      <x:c r="N55" s="1019" t="e">
        <x:f>(-#REF!*COS($F$18*PI()/180)*$F$21-#REF!*COS($I$18*PI()/180)*$I$21)*$N$99*$C$25*1000/9.81/$O$47*$D$193*#REF!-$N$47/$O$47*$C$20*$F$21</x:f>
        <x:v>#REF!</x:v>
      </x:c>
      <x:c r="O55" s="934" t="e">
        <x:f>(SQRT(((-#REF!*SIN($F$18*PI()/180)*$F$21+#REF!*SIN($I$18*PI()/180)*$I$21)*$C$25*1000)^2+(0.001*$C$25*1000*$F$21)^2)/$C$30+(-#REF!*COS($F$18*PI()/180)*$F$21-#REF!*COS($I$18*PI()/180)*$I$21)*$C$25*1000)/9.81*$O$99/$O$47*$F$193*#REF!-$N$47/$O$47*$C$20*$F$21</x:f>
        <x:v>#REF!</x:v>
      </x:c>
      <x:c r="P55" s="409" t="e">
        <x:f>(-#REF!*COS($F$18*PI()/180)*$F$21-#REF!*COS($I$18*PI()/180)*$I$21)*$N$99*$C$25*1000/9.81/$Q$47*$D$193*#REF!-$P$47/$Q$47*$C$20*$F$21</x:f>
        <x:v>#REF!</x:v>
      </x:c>
      <x:c r="Q55" s="410" t="e">
        <x:f>(SQRT(((-#REF!*SIN($F$18*PI()/180)*$F$21+#REF!*SIN($I$18*PI()/180)*$I$21)*$C$25*1000)^2+(0.001*$C$25*1000*$F$21)^2)/$C$30+(-#REF!*COS($F$18*PI()/180)*$F$21-#REF!*COS($I$18*PI()/180)*$I$21)*$C$25*1000)/9.81*$O$99/$Q$47*$F$193*#REF!-$P$47/$Q$47*$C$20*$F$21</x:f>
        <x:v>#REF!</x:v>
      </x:c>
      <x:c r="R55" s="409" t="e">
        <x:f>(-#REF!*COS($F$18*PI()/180)*$F$21-#REF!*COS($I$18*PI()/180)*$I$21)*$N$99*$C$25*1000/9.81/$S$47*$D$193*#REF!-$R$47/$S$47*$C$20*$F$21</x:f>
        <x:v>#REF!</x:v>
      </x:c>
      <x:c r="S55" s="410" t="e">
        <x:f>(SQRT(((-#REF!*SIN($F$18*PI()/180)*$F$21+#REF!*SIN($I$18*PI()/180)*$I$21)*$C$25*1000)^2+(0.001*$C$25*1000*$F$21)^2)/$C$30+(-#REF!*COS($F$18*PI()/180)*$F$21-#REF!*COS($I$18*PI()/180)*$I$21)*$C$25*1000)/9.81*$O$99/$S$47*$F$193*#REF!-$R$47/$S$47*$C$20*$F$21</x:f>
        <x:v>#REF!</x:v>
      </x:c>
      <x:c r="T55" s="409" t="e">
        <x:f>(-#REF!*COS($F$18*PI()/180)*$F$21-#REF!*COS($I$18*PI()/180)*$I$21)*$N$99*$C$25*1000/9.81/$U$47*$D$193*#REF!-$T$47/$U$47*$C$20*$F$21</x:f>
        <x:v>#REF!</x:v>
      </x:c>
      <x:c r="U55" s="410" t="e">
        <x:f>(SQRT(((-#REF!*SIN($F$18*PI()/180)*$F$21+#REF!*SIN($I$18*PI()/180)*$I$21)*$C$25*1000)^2+(0.001*$C$25*1000*$F$21)^2)/$C$30+(-#REF!*COS($F$18*PI()/180)*$F$21-#REF!*COS($I$18*PI()/180)*$I$21)*$C$25*1000)/9.81*$O$99/$U$47*$F$193*#REF!-$T$47/$U$47*$C$20*$F$21</x:f>
        <x:v>#REF!</x:v>
      </x:c>
      <x:c r="V55" s="409" t="e">
        <x:f>(-#REF!*COS($F$18*PI()/180)*$F$21-#REF!*COS($I$18*PI()/180)*$I$21)*$N$99*$C$25*1000/9.81/$W$47*$D$193*#REF!-$V$47/$W$47*$C$20*$F$21</x:f>
        <x:v>#REF!</x:v>
      </x:c>
      <x:c r="W55" s="410" t="e">
        <x:f>(SQRT(((-#REF!*SIN($F$18*PI()/180)*$F$21+#REF!*SIN($I$18*PI()/180)*$I$21)*$C$25*1000)^2+(0.001*$C$25*1000*$F$21)^2)/$C$30+(-#REF!*COS($F$18*PI()/180)*$F$21-#REF!*COS($I$18*PI()/180)*$I$21)*$C$25*1000)/9.81*$O$99/$W$47*$F$193*#REF!-$V$47/$W$47*$C$20*$F$21</x:f>
        <x:v>#REF!</x:v>
      </x:c>
      <x:c r="X55" s="409" t="e">
        <x:f>(-#REF!*COS($F$18*PI()/180)*$F$21-#REF!*COS($I$18*PI()/180)*$I$21)*$N$99*$C$25*1000/9.81/$Y$47*$D$193*#REF!-$X$47/$Y$47*$C$20*$F$21</x:f>
        <x:v>#REF!</x:v>
      </x:c>
      <x:c r="Y55" s="410" t="e">
        <x:f>(SQRT(((-#REF!*SIN($F$18*PI()/180)*$F$21+#REF!*SIN($I$18*PI()/180)*$I$21)*$C$25*1000)^2+(0.001*$C$25*1000*$F$21)^2)/$C$30+(-#REF!*COS($F$18*PI()/180)*$F$21-#REF!*COS($I$18*PI()/180)*$I$21)*$C$25*1000)/9.81*$O$99/$Y$47*$F$193*#REF!-$X$47/$Y$47*$C$20*$F$21</x:f>
        <x:v>#REF!</x:v>
      </x:c>
      <x:c r="Z55" s="409">
        <x:f ca="1">(-'int. presets cp_10d+wd'!I30*COS($F$18*PI()/180)*$F$21-'int. presets cp_10d+wd'!I39*COS($I$18*PI()/180)*$I$21)*$N$99*$C$25*1000/9.81/$AA$47*$D$193*'int. presets cp_10d+wd'!$I$246-$Z$47/$AA$47*$C$20*$F$21</x:f>
        <x:v>16.687507981044735</x:v>
      </x:c>
      <x:c r="AA55" s="1024">
        <x:f ca="1">(SQRT(((-'int. presets cp_10d+wd'!D30*SIN($F$18*PI()/180)*$F$21+'int. presets cp_10d+wd'!D39*SIN($I$18*PI()/180)*$I$21)*$C$25*1000)^2+(0.001*$C$25*1000*$F$21)^2)/$C$30+(-'int. presets cp_10d+wd'!D30*COS($F$18*PI()/180)*$F$21-'int. presets cp_10d+wd'!D39*COS($I$18*PI()/180)*$I$21)*$C$25*1000)/9.81*$O$99/$AA$47*$F$193*'int. presets cp_10d+wd'!$D$246-$Z$47/$AA$47*$C$20*$F$21</x:f>
        <x:v>9.838208544000036</x:v>
      </x:c>
      <x:c r="AB55" s="18"/>
      <x:c r="AC55" s="493"/>
      <x:c r="AD55" s="54"/>
      <x:c r="AE55" s="1549"/>
      <x:c r="AF55" s="1550"/>
      <x:c r="AG55" s="1304"/>
      <x:c r="AH55" s="1253"/>
      <x:c r="AI55" s="1253"/>
      <x:c r="AJ55" s="1253"/>
      <x:c r="AK55" s="1254"/>
      <x:c r="AL55" s="1252"/>
      <x:c r="AM55" s="1253"/>
      <x:c r="AN55" s="1253"/>
      <x:c r="AO55" s="1253"/>
      <x:c r="AP55" s="1254"/>
      <x:c r="AQ55" s="1243"/>
      <x:c r="AR55" s="1244"/>
      <x:c r="AS55" s="1244"/>
      <x:c r="AT55" s="1244"/>
      <x:c r="AU55" s="1245"/>
      <x:c r="AV55" s="1279"/>
      <x:c r="AW55" s="1280"/>
      <x:c r="AX55" s="1280"/>
      <x:c r="AY55" s="1280"/>
      <x:c r="AZ55" s="1281"/>
      <x:c r="BA55" s="1288"/>
      <x:c r="BB55" s="1289"/>
      <x:c r="BC55" s="1289"/>
      <x:c r="BD55" s="1289"/>
      <x:c r="BE55" s="1290"/>
      <x:c r="BF55" s="1297"/>
      <x:c r="BG55" s="1298"/>
      <x:c r="BH55" s="1298"/>
      <x:c r="BI55" s="1298"/>
      <x:c r="BJ55" s="1299"/>
      <x:c r="BK55" s="1489"/>
      <x:c r="BL55" s="1490"/>
      <x:c r="BM55" s="1490"/>
      <x:c r="BN55" s="1490"/>
      <x:c r="BO55" s="1491"/>
      <x:c r="BP55" s="1270"/>
      <x:c r="BQ55" s="1271"/>
      <x:c r="BR55" s="1271"/>
      <x:c r="BS55" s="1271"/>
      <x:c r="BT55" s="1272"/>
      <x:c r="BU55" s="1261"/>
      <x:c r="BV55" s="1262"/>
      <x:c r="BW55" s="1262"/>
      <x:c r="BX55" s="1262"/>
      <x:c r="BY55" s="1263"/>
      <x:c r="BZ55" s="1549"/>
      <x:c r="CA55" s="1550"/>
      <x:c r="CB55" s="361"/>
      <x:c r="CC55" s="1436"/>
      <x:c r="CE55" s="493"/>
      <x:c r="CF55" s="54"/>
      <x:c r="CG55" s="1549"/>
      <x:c r="CH55" s="1550"/>
      <x:c r="CI55" s="1647"/>
      <x:c r="CJ55" s="1262"/>
      <x:c r="CK55" s="1262"/>
      <x:c r="CL55" s="1262"/>
      <x:c r="CM55" s="1648"/>
      <x:c r="CN55" s="1270"/>
      <x:c r="CO55" s="1271"/>
      <x:c r="CP55" s="1271"/>
      <x:c r="CQ55" s="1271"/>
      <x:c r="CR55" s="1272"/>
      <x:c r="CS55" s="1575"/>
      <x:c r="CT55" s="1576"/>
      <x:c r="CU55" s="1576"/>
      <x:c r="CV55" s="1576"/>
      <x:c r="CW55" s="1577"/>
      <x:c r="CX55" s="1297"/>
      <x:c r="CY55" s="1298"/>
      <x:c r="CZ55" s="1298"/>
      <x:c r="DA55" s="1298"/>
      <x:c r="DB55" s="1299"/>
      <x:c r="DC55" s="1288"/>
      <x:c r="DD55" s="1289"/>
      <x:c r="DE55" s="1289"/>
      <x:c r="DF55" s="1289"/>
      <x:c r="DG55" s="1290"/>
      <x:c r="DH55" s="1279"/>
      <x:c r="DI55" s="1280"/>
      <x:c r="DJ55" s="1280"/>
      <x:c r="DK55" s="1280"/>
      <x:c r="DL55" s="1281"/>
      <x:c r="DM55" s="1243"/>
      <x:c r="DN55" s="1244"/>
      <x:c r="DO55" s="1244"/>
      <x:c r="DP55" s="1244"/>
      <x:c r="DQ55" s="1245"/>
      <x:c r="DR55" s="1252"/>
      <x:c r="DS55" s="1253"/>
      <x:c r="DT55" s="1253"/>
      <x:c r="DU55" s="1253"/>
      <x:c r="DV55" s="1254"/>
      <x:c r="DW55" s="1252"/>
      <x:c r="DX55" s="1253"/>
      <x:c r="DY55" s="1253"/>
      <x:c r="DZ55" s="1253"/>
      <x:c r="EA55" s="1483"/>
      <x:c r="EB55" s="1549"/>
      <x:c r="EC55" s="1550"/>
      <x:c r="ED55" s="361"/>
      <x:c r="EE55" s="1436"/>
    </x:row>
    <x:row r="56" spans="1:136" ht="13.5" customHeight="1" thickBot="1" x14ac:dyDescent="0.25">
      <x:c r="A56" s="24"/>
      <x:c r="B56" s="1348" t="e">
        <x:v>#REF!</x:v>
      </x:c>
      <x:c r="C56" s="1349">
        <x:v>0</x:v>
      </x:c>
      <x:c r="D56" s="1350">
        <x:v>0</x:v>
      </x:c>
      <x:c r="E56" s="343" t="s">
        <x:v>462</x:v>
      </x:c>
      <x:c r="F56" s="1055" t="e">
        <x:f t="shared" si="23"/>
        <x:v>#REF!</x:v>
      </x:c>
      <x:c r="G56" s="1055" t="e">
        <x:f t="shared" si="24"/>
        <x:v>#REF!</x:v>
      </x:c>
      <x:c r="H56" s="1055" t="e">
        <x:f t="shared" si="25"/>
        <x:v>#REF!</x:v>
      </x:c>
      <x:c r="I56" s="1056" t="e">
        <x:f t="shared" si="26"/>
        <x:v>#REF!</x:v>
      </x:c>
      <x:c r="J56" s="1055" t="e">
        <x:f t="shared" si="27"/>
        <x:v>#REF!</x:v>
      </x:c>
      <x:c r="K56" s="1063" t="e">
        <x:f t="shared" si="28"/>
        <x:v>#REF!</x:v>
      </x:c>
      <x:c r="L56" s="995">
        <x:f t="shared" ca="1" si="29"/>
        <x:v>11.066508457495527</x:v>
      </x:c>
      <x:c r="M56" s="939">
        <x:f t="shared" ca="1" si="30"/>
        <x:v>24.397445875563786</x:v>
      </x:c>
      <x:c r="N56" s="1021" t="e">
        <x:f>(-#REF!*COS($F$18*PI()/180)*$F$21-#REF!*COS($I$18*PI()/180)*$I$21)*$N$99*$C$25*1000/9.81/$O$47*$D$193*#REF!-$N$47/$O$47*$C$20*$F$21</x:f>
        <x:v>#REF!</x:v>
      </x:c>
      <x:c r="O56" s="935" t="e">
        <x:f>(SQRT(((-#REF!*SIN($F$18*PI()/180)*$F$21+#REF!*SIN($I$18*PI()/180)*$I$21)*$C$25*1000)^2+(0.001*$C$25*1000*$F$21)^2)/$C$30+(-#REF!*COS($F$18*PI()/180)*$F$21-#REF!*COS($I$18*PI()/180)*$I$21)*$C$25*1000)/9.81*$O$99/$O$47*$F$193*#REF!-$N$47/$O$47*$C$20*$F$21</x:f>
        <x:v>#REF!</x:v>
      </x:c>
      <x:c r="P56" s="407" t="e">
        <x:f>(-#REF!*COS($F$18*PI()/180)*$F$21-#REF!*COS($I$18*PI()/180)*$I$21)*$N$99*$C$25*1000/9.81/$Q$47*$D$193*#REF!-$P$47/$Q$47*$C$20*$F$21</x:f>
        <x:v>#REF!</x:v>
      </x:c>
      <x:c r="Q56" s="408" t="e">
        <x:f>(SQRT(((-#REF!*SIN($F$18*PI()/180)*$F$21+#REF!*SIN($I$18*PI()/180)*$I$21)*$C$25*1000)^2+(0.001*$C$25*1000*$F$21)^2)/$C$30+(-#REF!*COS($F$18*PI()/180)*$F$21-#REF!*COS($I$18*PI()/180)*$I$21)*$C$25*1000)/9.81*$O$99/$Q$47*$F$193*#REF!-$P$47/$Q$47*$C$20*$F$21</x:f>
        <x:v>#REF!</x:v>
      </x:c>
      <x:c r="R56" s="407" t="e">
        <x:f>(-#REF!*COS($F$18*PI()/180)*$F$21-#REF!*COS($I$18*PI()/180)*$I$21)*$N$99*$C$25*1000/9.81/$S$47*$D$193*#REF!-$R$47/$S$47*$C$20*$F$21</x:f>
        <x:v>#REF!</x:v>
      </x:c>
      <x:c r="S56" s="408" t="e">
        <x:f>(SQRT(((-#REF!*SIN($F$18*PI()/180)*$F$21+#REF!*SIN($I$18*PI()/180)*$I$21)*$C$25*1000)^2+(0.001*$C$25*1000*$F$21)^2)/$C$30+(-#REF!*COS($F$18*PI()/180)*$F$21-#REF!*COS($I$18*PI()/180)*$I$21)*$C$25*1000)/9.81*$O$99/$S$47*$F$193*#REF!-$R$47/$S$47*$C$20*$F$21</x:f>
        <x:v>#REF!</x:v>
      </x:c>
      <x:c r="T56" s="407" t="e">
        <x:f>(-#REF!*COS($F$18*PI()/180)*$F$21-#REF!*COS($I$18*PI()/180)*$I$21)*$N$99*$C$25*1000/9.81/$U$47*$D$193*#REF!-$T$47/$U$47*$C$20*$F$21</x:f>
        <x:v>#REF!</x:v>
      </x:c>
      <x:c r="U56" s="408" t="e">
        <x:f>(SQRT(((-#REF!*SIN($F$18*PI()/180)*$F$21+#REF!*SIN($I$18*PI()/180)*$I$21)*$C$25*1000)^2+(0.001*$C$25*1000*$F$21)^2)/$C$30+(-#REF!*COS($F$18*PI()/180)*$F$21-#REF!*COS($I$18*PI()/180)*$I$21)*$C$25*1000)/9.81*$O$99/$U$47*$F$193*#REF!-$T$47/$U$47*$C$20*$F$21</x:f>
        <x:v>#REF!</x:v>
      </x:c>
      <x:c r="V56" s="407" t="e">
        <x:f>(-#REF!*COS($F$18*PI()/180)*$F$21-#REF!*COS($I$18*PI()/180)*$I$21)*$N$99*$C$25*1000/9.81/$W$47*$D$193*#REF!-$V$47/$W$47*$C$20*$F$21</x:f>
        <x:v>#REF!</x:v>
      </x:c>
      <x:c r="W56" s="408" t="e">
        <x:f>(SQRT(((-#REF!*SIN($F$18*PI()/180)*$F$21+#REF!*SIN($I$18*PI()/180)*$I$21)*$C$25*1000)^2+(0.001*$C$25*1000*$F$21)^2)/$C$30+(-#REF!*COS($F$18*PI()/180)*$F$21-#REF!*COS($I$18*PI()/180)*$I$21)*$C$25*1000)/9.81*$O$99/$W$47*$F$193*#REF!-$V$47/$W$47*$C$20*$F$21</x:f>
        <x:v>#REF!</x:v>
      </x:c>
      <x:c r="X56" s="407" t="e">
        <x:f>(-#REF!*COS($F$18*PI()/180)*$F$21-#REF!*COS($I$18*PI()/180)*$I$21)*$N$99*$C$25*1000/9.81/$Y$47*$D$193*#REF!-$X$47/$Y$47*$C$20*$F$21</x:f>
        <x:v>#REF!</x:v>
      </x:c>
      <x:c r="Y56" s="408" t="e">
        <x:f>(SQRT(((-#REF!*SIN($F$18*PI()/180)*$F$21+#REF!*SIN($I$18*PI()/180)*$I$21)*$C$25*1000)^2+(0.001*$C$25*1000*$F$21)^2)/$C$30+(-#REF!*COS($F$18*PI()/180)*$F$21-#REF!*COS($I$18*PI()/180)*$I$21)*$C$25*1000)/9.81*$O$99/$Y$47*$F$193*#REF!-$X$47/$Y$47*$C$20*$F$21</x:f>
        <x:v>#REF!</x:v>
      </x:c>
      <x:c r="Z56" s="407">
        <x:f ca="1">(-'int. presets cp_10d+wd'!I31*COS($F$18*PI()/180)*$F$21-'int. presets cp_10d+wd'!I40*COS($I$18*PI()/180)*$I$21)*$N$99*$C$25*1000/9.81/$AA$47*$D$193*'int. presets cp_10d+wd'!$I$246-$Z$47/$AA$47*$C$20*$F$21</x:f>
        <x:v>11.066508457495527</x:v>
      </x:c>
      <x:c r="AA56" s="1022">
        <x:f ca="1">(SQRT(((-'int. presets cp_10d+wd'!D31*SIN($F$18*PI()/180)*$F$21+'int. presets cp_10d+wd'!D40*SIN($I$18*PI()/180)*$I$21)*$C$25*1000)^2+(0.001*$C$25*1000*$F$21)^2)/$C$30+(-'int. presets cp_10d+wd'!D31*COS($F$18*PI()/180)*$F$21-'int. presets cp_10d+wd'!D40*COS($I$18*PI()/180)*$I$21)*$C$25*1000)/9.81*$O$99/$AA$47*$F$193*'int. presets cp_10d+wd'!$D$246-$Z$47/$AA$47*$C$20*$F$21</x:f>
        <x:v>9.838208544000036</x:v>
      </x:c>
      <x:c r="AB56" s="18"/>
      <x:c r="AC56" s="153"/>
      <x:c r="AD56" s="56"/>
      <x:c r="AE56" s="1549"/>
      <x:c r="AF56" s="1550"/>
      <x:c r="AG56" s="1305"/>
      <x:c r="AH56" s="1256"/>
      <x:c r="AI56" s="1256"/>
      <x:c r="AJ56" s="1256"/>
      <x:c r="AK56" s="1257"/>
      <x:c r="AL56" s="1255"/>
      <x:c r="AM56" s="1256"/>
      <x:c r="AN56" s="1256"/>
      <x:c r="AO56" s="1256"/>
      <x:c r="AP56" s="1257"/>
      <x:c r="AQ56" s="1246"/>
      <x:c r="AR56" s="1247"/>
      <x:c r="AS56" s="1247"/>
      <x:c r="AT56" s="1247"/>
      <x:c r="AU56" s="1248"/>
      <x:c r="AV56" s="1282"/>
      <x:c r="AW56" s="1283"/>
      <x:c r="AX56" s="1283"/>
      <x:c r="AY56" s="1283"/>
      <x:c r="AZ56" s="1284"/>
      <x:c r="BA56" s="1291"/>
      <x:c r="BB56" s="1292"/>
      <x:c r="BC56" s="1292"/>
      <x:c r="BD56" s="1292"/>
      <x:c r="BE56" s="1293"/>
      <x:c r="BF56" s="1300"/>
      <x:c r="BG56" s="1301"/>
      <x:c r="BH56" s="1301"/>
      <x:c r="BI56" s="1301"/>
      <x:c r="BJ56" s="1302"/>
      <x:c r="BK56" s="1492"/>
      <x:c r="BL56" s="1493"/>
      <x:c r="BM56" s="1493"/>
      <x:c r="BN56" s="1493"/>
      <x:c r="BO56" s="1494"/>
      <x:c r="BP56" s="1273"/>
      <x:c r="BQ56" s="1274"/>
      <x:c r="BR56" s="1274"/>
      <x:c r="BS56" s="1274"/>
      <x:c r="BT56" s="1275"/>
      <x:c r="BU56" s="1264"/>
      <x:c r="BV56" s="1265"/>
      <x:c r="BW56" s="1265"/>
      <x:c r="BX56" s="1265"/>
      <x:c r="BY56" s="1266"/>
      <x:c r="BZ56" s="1549"/>
      <x:c r="CA56" s="1550"/>
      <x:c r="CB56" s="361"/>
      <x:c r="CC56" s="485"/>
      <x:c r="CE56" s="153"/>
      <x:c r="CF56" s="56"/>
      <x:c r="CG56" s="1549"/>
      <x:c r="CH56" s="1550"/>
      <x:c r="CI56" s="1649"/>
      <x:c r="CJ56" s="1265"/>
      <x:c r="CK56" s="1265"/>
      <x:c r="CL56" s="1265"/>
      <x:c r="CM56" s="1650"/>
      <x:c r="CN56" s="1273"/>
      <x:c r="CO56" s="1274"/>
      <x:c r="CP56" s="1274"/>
      <x:c r="CQ56" s="1274"/>
      <x:c r="CR56" s="1275"/>
      <x:c r="CS56" s="1599"/>
      <x:c r="CT56" s="1600"/>
      <x:c r="CU56" s="1600"/>
      <x:c r="CV56" s="1600"/>
      <x:c r="CW56" s="1601"/>
      <x:c r="CX56" s="1300"/>
      <x:c r="CY56" s="1301"/>
      <x:c r="CZ56" s="1301"/>
      <x:c r="DA56" s="1301"/>
      <x:c r="DB56" s="1302"/>
      <x:c r="DC56" s="1291"/>
      <x:c r="DD56" s="1292"/>
      <x:c r="DE56" s="1292"/>
      <x:c r="DF56" s="1292"/>
      <x:c r="DG56" s="1293"/>
      <x:c r="DH56" s="1282"/>
      <x:c r="DI56" s="1283"/>
      <x:c r="DJ56" s="1283"/>
      <x:c r="DK56" s="1283"/>
      <x:c r="DL56" s="1284"/>
      <x:c r="DM56" s="1246"/>
      <x:c r="DN56" s="1247"/>
      <x:c r="DO56" s="1247"/>
      <x:c r="DP56" s="1247"/>
      <x:c r="DQ56" s="1248"/>
      <x:c r="DR56" s="1255"/>
      <x:c r="DS56" s="1256"/>
      <x:c r="DT56" s="1256"/>
      <x:c r="DU56" s="1256"/>
      <x:c r="DV56" s="1257"/>
      <x:c r="DW56" s="1255"/>
      <x:c r="DX56" s="1256"/>
      <x:c r="DY56" s="1256"/>
      <x:c r="DZ56" s="1256"/>
      <x:c r="EA56" s="1484"/>
      <x:c r="EB56" s="1549"/>
      <x:c r="EC56" s="1550"/>
      <x:c r="ED56" s="361"/>
      <x:c r="EE56" s="485"/>
    </x:row>
    <x:row r="57" spans="1:136" ht="13.5" customHeight="1" x14ac:dyDescent="0.2">
      <x:c r="A57" s="24"/>
      <x:c r="B57" s="1345" t="s">
        <x:v>465</x:v>
      </x:c>
      <x:c r="C57" s="1346">
        <x:v>0</x:v>
      </x:c>
      <x:c r="D57" s="1347" t="s">
        <x:v>465</x:v>
      </x:c>
      <x:c r="E57" s="342" t="s">
        <x:v>461</x:v>
      </x:c>
      <x:c r="F57" s="1057" t="e">
        <x:f t="shared" si="23"/>
        <x:v>#REF!</x:v>
      </x:c>
      <x:c r="G57" s="1057" t="e">
        <x:f t="shared" si="24"/>
        <x:v>#REF!</x:v>
      </x:c>
      <x:c r="H57" s="1057" t="e">
        <x:f t="shared" si="25"/>
        <x:v>#REF!</x:v>
      </x:c>
      <x:c r="I57" s="1054" t="e">
        <x:f t="shared" si="26"/>
        <x:v>#REF!</x:v>
      </x:c>
      <x:c r="J57" s="1057" t="e">
        <x:f t="shared" si="27"/>
        <x:v>#REF!</x:v>
      </x:c>
      <x:c r="K57" s="1064" t="e">
        <x:f t="shared" si="28"/>
        <x:v>#REF!</x:v>
      </x:c>
      <x:c r="L57" s="996">
        <x:f t="shared" ca="1" si="29"/>
        <x:v>18.300652837021328</x:v>
      </x:c>
      <x:c r="M57" s="938">
        <x:f t="shared" ca="1" si="30"/>
        <x:v>40.345985257553956</x:v>
      </x:c>
      <x:c r="N57" s="1019" t="e">
        <x:f>(-#REF!*COS($F$18*PI()/180)*$F$21-#REF!*COS($I$18*PI()/180)*$I$21)*$N$99*$C$25*1000/9.81/$O$47*$D$193*#REF!-$N$47/$O$47*$C$20*$F$21</x:f>
        <x:v>#REF!</x:v>
      </x:c>
      <x:c r="O57" s="934" t="e">
        <x:f>(SQRT(((-#REF!*SIN($F$18*PI()/180)*$F$21+#REF!*SIN($I$18*PI()/180)*$I$21)*$C$25*1000)^2+(0.001*$C$25*1000*$F$21)^2)/$C$30+(-#REF!*COS($F$18*PI()/180)*$F$21-#REF!*COS($I$18*PI()/180)*$I$21)*$C$25*1000)/9.81*$O$99/$O$47*$F$193*#REF!-$N$47/$O$47*$C$20*$F$21</x:f>
        <x:v>#REF!</x:v>
      </x:c>
      <x:c r="P57" s="409" t="e">
        <x:f>(-#REF!*COS($F$18*PI()/180)*$F$21-#REF!*COS($I$18*PI()/180)*$I$21)*$N$99*$C$25*1000/9.81/$Q$47*$D$193*#REF!-$P$47/$Q$47*$C$20*$F$21</x:f>
        <x:v>#REF!</x:v>
      </x:c>
      <x:c r="Q57" s="406" t="e">
        <x:f>(SQRT(((-#REF!*SIN($F$18*PI()/180)*$F$21+#REF!*SIN($I$18*PI()/180)*$I$21)*$C$25*1000)^2+(0.001*$C$25*1000*$F$21)^2)/$C$30+(-#REF!*COS($F$18*PI()/180)*$F$21-#REF!*COS($I$18*PI()/180)*$I$21)*$C$25*1000)/9.81*$O$99/$Q$47*$F$193*#REF!-$P$47/$Q$47*$C$20*$F$21</x:f>
        <x:v>#REF!</x:v>
      </x:c>
      <x:c r="R57" s="409" t="e">
        <x:f>(-#REF!*COS($F$18*PI()/180)*$F$21-#REF!*COS($I$18*PI()/180)*$I$21)*$N$99*$C$25*1000/9.81/$S$47*$D$193*#REF!-$R$47/$S$47*$C$20*$F$21</x:f>
        <x:v>#REF!</x:v>
      </x:c>
      <x:c r="S57" s="406" t="e">
        <x:f>(SQRT(((-#REF!*SIN($F$18*PI()/180)*$F$21+#REF!*SIN($I$18*PI()/180)*$I$21)*$C$25*1000)^2+(0.001*$C$25*1000*$F$21)^2)/$C$30+(-#REF!*COS($F$18*PI()/180)*$F$21-#REF!*COS($I$18*PI()/180)*$I$21)*$C$25*1000)/9.81*$O$99/$S$47*$F$193*#REF!-$R$47/$S$47*$C$20*$F$21</x:f>
        <x:v>#REF!</x:v>
      </x:c>
      <x:c r="T57" s="409" t="e">
        <x:f>(-#REF!*COS($F$18*PI()/180)*$F$21-#REF!*COS($I$18*PI()/180)*$I$21)*$N$99*$C$25*1000/9.81/$U$47*$D$193*#REF!-$T$47/$U$47*$C$20*$F$21</x:f>
        <x:v>#REF!</x:v>
      </x:c>
      <x:c r="U57" s="406" t="e">
        <x:f>(SQRT(((-#REF!*SIN($F$18*PI()/180)*$F$21+#REF!*SIN($I$18*PI()/180)*$I$21)*$C$25*1000)^2+(0.001*$C$25*1000*$F$21)^2)/$C$30+(-#REF!*COS($F$18*PI()/180)*$F$21-#REF!*COS($I$18*PI()/180)*$I$21)*$C$25*1000)/9.81*$O$99/$U$47*$F$193*#REF!-$T$47/$U$47*$C$20*$F$21</x:f>
        <x:v>#REF!</x:v>
      </x:c>
      <x:c r="V57" s="409" t="e">
        <x:f>(-#REF!*COS($F$18*PI()/180)*$F$21-#REF!*COS($I$18*PI()/180)*$I$21)*$N$99*$C$25*1000/9.81/$W$47*$D$193*#REF!-$V$47/$W$47*$C$20*$F$21</x:f>
        <x:v>#REF!</x:v>
      </x:c>
      <x:c r="W57" s="406" t="e">
        <x:f>(SQRT(((-#REF!*SIN($F$18*PI()/180)*$F$21+#REF!*SIN($I$18*PI()/180)*$I$21)*$C$25*1000)^2+(0.001*$C$25*1000*$F$21)^2)/$C$30+(-#REF!*COS($F$18*PI()/180)*$F$21-#REF!*COS($I$18*PI()/180)*$I$21)*$C$25*1000)/9.81*$O$99/$W$47*$F$193*#REF!-$V$47/$W$47*$C$20*$F$21</x:f>
        <x:v>#REF!</x:v>
      </x:c>
      <x:c r="X57" s="409" t="e">
        <x:f>(-#REF!*COS($F$18*PI()/180)*$F$21-#REF!*COS($I$18*PI()/180)*$I$21)*$N$99*$C$25*1000/9.81/$Y$47*$D$193*#REF!-$X$47/$Y$47*$C$20*$F$21</x:f>
        <x:v>#REF!</x:v>
      </x:c>
      <x:c r="Y57" s="406" t="e">
        <x:f>(SQRT(((-#REF!*SIN($F$18*PI()/180)*$F$21+#REF!*SIN($I$18*PI()/180)*$I$21)*$C$25*1000)^2+(0.001*$C$25*1000*$F$21)^2)/$C$30+(-#REF!*COS($F$18*PI()/180)*$F$21-#REF!*COS($I$18*PI()/180)*$I$21)*$C$25*1000)/9.81*$O$99/$Y$47*$F$193*#REF!-$X$47/$Y$47*$C$20*$F$21</x:f>
        <x:v>#REF!</x:v>
      </x:c>
      <x:c r="Z57" s="409">
        <x:f ca="1">(-'int. presets cp_10d+wd'!I32*COS($F$18*PI()/180)*$F$21-'int. presets cp_10d+wd'!I41*COS($I$18*PI()/180)*$I$21)*$N$99*$C$25*1000/9.81/$AA$47*$D$193*'int. presets cp_10d+wd'!$I$246-$Z$47/$AA$47*$C$20*$F$21</x:f>
        <x:v>18.300652837021328</x:v>
      </x:c>
      <x:c r="AA57" s="1020">
        <x:f ca="1">(SQRT(((-'int. presets cp_10d+wd'!D32*SIN($F$18*PI()/180)*$F$21+'int. presets cp_10d+wd'!D41*SIN($I$18*PI()/180)*$I$21)*$C$25*1000)^2+(0.001*$C$25*1000*$F$21)^2)/$C$30+(-'int. presets cp_10d+wd'!D32*COS($F$18*PI()/180)*$F$21-'int. presets cp_10d+wd'!D41*COS($I$18*PI()/180)*$I$21)*$C$25*1000)/9.81*$O$99/$AA$47*$F$193*'int. presets cp_10d+wd'!$D$246-$Z$47/$AA$47*$C$20*$F$21</x:f>
        <x:v>9.838208544000036</x:v>
      </x:c>
      <x:c r="AB57" s="18"/>
      <x:c r="AC57" s="493"/>
      <x:c r="AD57" s="18"/>
      <x:c r="AE57" s="1549"/>
      <x:c r="AF57" s="1550"/>
      <x:c r="AG57" s="1303" t="str">
        <x:f>AL51</x:f>
        <x:v>Inner row
Interior modules</x:v>
      </x:c>
      <x:c r="AH57" s="1250"/>
      <x:c r="AI57" s="1250"/>
      <x:c r="AJ57" s="1250"/>
      <x:c r="AK57" s="1251"/>
      <x:c r="AL57" s="1249" t="str">
        <x:f>AL32</x:f>
        <x:v>Inner row
Interior modules</x:v>
      </x:c>
      <x:c r="AM57" s="1250"/>
      <x:c r="AN57" s="1250"/>
      <x:c r="AO57" s="1250"/>
      <x:c r="AP57" s="1251"/>
      <x:c r="AQ57" s="1240" t="str">
        <x:f>AQ32</x:f>
        <x:v>Inner row
1st-4th module</x:v>
      </x:c>
      <x:c r="AR57" s="1241"/>
      <x:c r="AS57" s="1241"/>
      <x:c r="AT57" s="1241"/>
      <x:c r="AU57" s="1242"/>
      <x:c r="AV57" s="1276" t="str">
        <x:f>AV32</x:f>
        <x:v>Inner row
Interior modules</x:v>
      </x:c>
      <x:c r="AW57" s="1277"/>
      <x:c r="AX57" s="1277"/>
      <x:c r="AY57" s="1277"/>
      <x:c r="AZ57" s="1278"/>
      <x:c r="BA57" s="1285" t="str">
        <x:f>BA32</x:f>
        <x:v>Inner row
1st-4th module</x:v>
      </x:c>
      <x:c r="BB57" s="1286"/>
      <x:c r="BC57" s="1286"/>
      <x:c r="BD57" s="1286"/>
      <x:c r="BE57" s="1287"/>
      <x:c r="BF57" s="1294" t="str">
        <x:f>BF32</x:f>
        <x:v>Inner row
Interior modules</x:v>
      </x:c>
      <x:c r="BG57" s="1295"/>
      <x:c r="BH57" s="1295"/>
      <x:c r="BI57" s="1295"/>
      <x:c r="BJ57" s="1296"/>
      <x:c r="BK57" s="1486" t="str">
        <x:f>BK32</x:f>
        <x:v>Inner row
1st-4th module</x:v>
      </x:c>
      <x:c r="BL57" s="1487"/>
      <x:c r="BM57" s="1487"/>
      <x:c r="BN57" s="1487"/>
      <x:c r="BO57" s="1488"/>
      <x:c r="BP57" s="1267" t="str">
        <x:f>BP43</x:f>
        <x:v>Inner row
Interior modules</x:v>
      </x:c>
      <x:c r="BQ57" s="1268"/>
      <x:c r="BR57" s="1268"/>
      <x:c r="BS57" s="1268"/>
      <x:c r="BT57" s="1269"/>
      <x:c r="BU57" s="1258" t="str">
        <x:f>BU43</x:f>
        <x:v>Inner row
1st-4th module</x:v>
      </x:c>
      <x:c r="BV57" s="1259"/>
      <x:c r="BW57" s="1259"/>
      <x:c r="BX57" s="1259"/>
      <x:c r="BY57" s="1260"/>
      <x:c r="BZ57" s="1549"/>
      <x:c r="CA57" s="1550"/>
      <x:c r="CB57" s="361"/>
      <x:c r="CC57" s="485"/>
      <x:c r="CE57" s="493"/>
      <x:c r="CF57" s="18"/>
      <x:c r="CG57" s="1549"/>
      <x:c r="CH57" s="1550"/>
      <x:c r="CI57" s="1645" t="str">
        <x:f>BU57</x:f>
        <x:v>Inner row
1st-4th module</x:v>
      </x:c>
      <x:c r="CJ57" s="1259"/>
      <x:c r="CK57" s="1259"/>
      <x:c r="CL57" s="1259"/>
      <x:c r="CM57" s="1646"/>
      <x:c r="CN57" s="1267" t="str">
        <x:f t="shared" ref="CN57" si="31">BP57</x:f>
        <x:v>Inner row
Interior modules</x:v>
      </x:c>
      <x:c r="CO57" s="1268"/>
      <x:c r="CP57" s="1268"/>
      <x:c r="CQ57" s="1268"/>
      <x:c r="CR57" s="1269"/>
      <x:c r="CS57" s="1572" t="str">
        <x:f t="shared" ref="CS57" si="32">BK57</x:f>
        <x:v>Inner row
1st-4th module</x:v>
      </x:c>
      <x:c r="CT57" s="1573"/>
      <x:c r="CU57" s="1573"/>
      <x:c r="CV57" s="1573"/>
      <x:c r="CW57" s="1574"/>
      <x:c r="CX57" s="1294" t="str">
        <x:f t="shared" ref="CX57" si="33">BF57</x:f>
        <x:v>Inner row
Interior modules</x:v>
      </x:c>
      <x:c r="CY57" s="1295"/>
      <x:c r="CZ57" s="1295"/>
      <x:c r="DA57" s="1295"/>
      <x:c r="DB57" s="1296"/>
      <x:c r="DC57" s="1285" t="str">
        <x:f t="shared" ref="DC57" si="34">BA57</x:f>
        <x:v>Inner row
1st-4th module</x:v>
      </x:c>
      <x:c r="DD57" s="1286"/>
      <x:c r="DE57" s="1286"/>
      <x:c r="DF57" s="1286"/>
      <x:c r="DG57" s="1287"/>
      <x:c r="DH57" s="1276" t="str">
        <x:f t="shared" ref="DH57" si="35">AV57</x:f>
        <x:v>Inner row
Interior modules</x:v>
      </x:c>
      <x:c r="DI57" s="1277"/>
      <x:c r="DJ57" s="1277"/>
      <x:c r="DK57" s="1277"/>
      <x:c r="DL57" s="1278"/>
      <x:c r="DM57" s="1240" t="str">
        <x:f t="shared" ref="DM57" si="36">AQ57</x:f>
        <x:v>Inner row
1st-4th module</x:v>
      </x:c>
      <x:c r="DN57" s="1241"/>
      <x:c r="DO57" s="1241"/>
      <x:c r="DP57" s="1241"/>
      <x:c r="DQ57" s="1242"/>
      <x:c r="DR57" s="1249" t="str">
        <x:f t="shared" ref="DR57" si="37">AL57</x:f>
        <x:v>Inner row
Interior modules</x:v>
      </x:c>
      <x:c r="DS57" s="1250"/>
      <x:c r="DT57" s="1250"/>
      <x:c r="DU57" s="1250"/>
      <x:c r="DV57" s="1251"/>
      <x:c r="DW57" s="1249" t="str">
        <x:f t="shared" ref="DW57" si="38">AG57</x:f>
        <x:v>Inner row
Interior modules</x:v>
      </x:c>
      <x:c r="DX57" s="1250"/>
      <x:c r="DY57" s="1250"/>
      <x:c r="DZ57" s="1250"/>
      <x:c r="EA57" s="1482"/>
      <x:c r="EB57" s="1549"/>
      <x:c r="EC57" s="1550"/>
      <x:c r="ED57" s="361"/>
      <x:c r="EE57" s="485"/>
    </x:row>
    <x:row r="58" spans="1:136" ht="13.5" customHeight="1" thickBot="1" x14ac:dyDescent="0.25">
      <x:c r="B58" s="1351" t="e">
        <x:v>#REF!</x:v>
      </x:c>
      <x:c r="C58" s="1352">
        <x:v>0</x:v>
      </x:c>
      <x:c r="D58" s="1353">
        <x:v>0</x:v>
      </x:c>
      <x:c r="E58" s="986" t="s">
        <x:v>462</x:v>
      </x:c>
      <x:c r="F58" s="1055" t="e">
        <x:f t="shared" si="23"/>
        <x:v>#REF!</x:v>
      </x:c>
      <x:c r="G58" s="1055" t="e">
        <x:f t="shared" si="24"/>
        <x:v>#REF!</x:v>
      </x:c>
      <x:c r="H58" s="1055" t="e">
        <x:f t="shared" si="25"/>
        <x:v>#REF!</x:v>
      </x:c>
      <x:c r="I58" s="1056" t="e">
        <x:f t="shared" si="26"/>
        <x:v>#REF!</x:v>
      </x:c>
      <x:c r="J58" s="1055" t="e">
        <x:f t="shared" si="27"/>
        <x:v>#REF!</x:v>
      </x:c>
      <x:c r="K58" s="1063" t="e">
        <x:f t="shared" si="28"/>
        <x:v>#REF!</x:v>
      </x:c>
      <x:c r="L58" s="997">
        <x:f t="shared" ca="1" si="29"/>
        <x:v>13.500568943354143</x:v>
      </x:c>
      <x:c r="M58" s="987">
        <x:f t="shared" ca="1" si="30"/>
        <x:v>29.763624303897409</x:v>
      </x:c>
      <x:c r="N58" s="1023" t="e">
        <x:f>(-#REF!*COS($F$18*PI()/180)*$F$21-#REF!*COS($I$18*PI()/180)*$I$21)*$N$99*$C$25*1000/9.81/$O$47*$D$193*#REF!-$N$47/$O$47*$C$20*$F$21</x:f>
        <x:v>#REF!</x:v>
      </x:c>
      <x:c r="O58" s="988" t="e">
        <x:f>(SQRT(((-#REF!*SIN($F$18*PI()/180)*$F$21+#REF!*SIN($I$18*PI()/180)*$I$21)*$C$25*1000)^2+(0.001*$C$25*1000*$F$21)^2)/$C$30+(-#REF!*COS($F$18*PI()/180)*$F$21-#REF!*COS($I$18*PI()/180)*$I$21)*$C$25*1000)/9.81*$O$99/$O$47*$F$193*#REF!-$N$47/$O$47*$C$20*$F$21</x:f>
        <x:v>#REF!</x:v>
      </x:c>
      <x:c r="P58" s="409" t="e">
        <x:f>(-#REF!*COS($F$18*PI()/180)*$F$21-#REF!*COS($I$18*PI()/180)*$I$21)*$N$99*$C$25*1000/9.81/$Q$47*$D$193*#REF!-$P$47/$Q$47*$C$20*$F$21</x:f>
        <x:v>#REF!</x:v>
      </x:c>
      <x:c r="Q58" s="410" t="e">
        <x:f>(SQRT(((-#REF!*SIN($F$18*PI()/180)*$F$21+#REF!*SIN($I$18*PI()/180)*$I$21)*$C$25*1000)^2+(0.001*$C$25*1000*$F$21)^2)/$C$30+(-#REF!*COS($F$18*PI()/180)*$F$21-#REF!*COS($I$18*PI()/180)*$I$21)*$C$25*1000)/9.81*$O$99/$Q$47*$F$193*#REF!-$P$47/$Q$47*$C$20*$F$21</x:f>
        <x:v>#REF!</x:v>
      </x:c>
      <x:c r="R58" s="409" t="e">
        <x:f>(-#REF!*COS($F$18*PI()/180)*$F$21-#REF!*COS($I$18*PI()/180)*$I$21)*$N$99*$C$25*1000/9.81/$S$47*$D$193*#REF!-$R$47/$S$47*$C$20*$F$21</x:f>
        <x:v>#REF!</x:v>
      </x:c>
      <x:c r="S58" s="410" t="e">
        <x:f>(SQRT(((-#REF!*SIN($F$18*PI()/180)*$F$21+#REF!*SIN($I$18*PI()/180)*$I$21)*$C$25*1000)^2+(0.001*$C$25*1000*$F$21)^2)/$C$30+(-#REF!*COS($F$18*PI()/180)*$F$21-#REF!*COS($I$18*PI()/180)*$I$21)*$C$25*1000)/9.81*$O$99/$S$47*$F$193*#REF!-$R$47/$S$47*$C$20*$F$21</x:f>
        <x:v>#REF!</x:v>
      </x:c>
      <x:c r="T58" s="409" t="e">
        <x:f>(-#REF!*COS($F$18*PI()/180)*$F$21-#REF!*COS($I$18*PI()/180)*$I$21)*$N$99*$C$25*1000/9.81/$U$47*$D$193*#REF!-$T$47/$U$47*$C$20*$F$21</x:f>
        <x:v>#REF!</x:v>
      </x:c>
      <x:c r="U58" s="410" t="e">
        <x:f>(SQRT(((-#REF!*SIN($F$18*PI()/180)*$F$21+#REF!*SIN($I$18*PI()/180)*$I$21)*$C$25*1000)^2+(0.001*$C$25*1000*$F$21)^2)/$C$30+(-#REF!*COS($F$18*PI()/180)*$F$21-#REF!*COS($I$18*PI()/180)*$I$21)*$C$25*1000)/9.81*$O$99/$U$47*$F$193*#REF!-$T$47/$U$47*$C$20*$F$21</x:f>
        <x:v>#REF!</x:v>
      </x:c>
      <x:c r="V58" s="409" t="e">
        <x:f>(-#REF!*COS($F$18*PI()/180)*$F$21-#REF!*COS($I$18*PI()/180)*$I$21)*$N$99*$C$25*1000/9.81/$W$47*$D$193*#REF!-$V$47/$W$47*$C$20*$F$21</x:f>
        <x:v>#REF!</x:v>
      </x:c>
      <x:c r="W58" s="410" t="e">
        <x:f>(SQRT(((-#REF!*SIN($F$18*PI()/180)*$F$21+#REF!*SIN($I$18*PI()/180)*$I$21)*$C$25*1000)^2+(0.001*$C$25*1000*$F$21)^2)/$C$30+(-#REF!*COS($F$18*PI()/180)*$F$21-#REF!*COS($I$18*PI()/180)*$I$21)*$C$25*1000)/9.81*$O$99/$W$47*$F$193*#REF!-$V$47/$W$47*$C$20*$F$21</x:f>
        <x:v>#REF!</x:v>
      </x:c>
      <x:c r="X58" s="409" t="e">
        <x:f>(-#REF!*COS($F$18*PI()/180)*$F$21-#REF!*COS($I$18*PI()/180)*$I$21)*$N$99*$C$25*1000/9.81/$Y$47*$D$193*#REF!-$X$47/$Y$47*$C$20*$F$21</x:f>
        <x:v>#REF!</x:v>
      </x:c>
      <x:c r="Y58" s="410" t="e">
        <x:f>(SQRT(((-#REF!*SIN($F$18*PI()/180)*$F$21+#REF!*SIN($I$18*PI()/180)*$I$21)*$C$25*1000)^2+(0.001*$C$25*1000*$F$21)^2)/$C$30+(-#REF!*COS($F$18*PI()/180)*$F$21-#REF!*COS($I$18*PI()/180)*$I$21)*$C$25*1000)/9.81*$O$99/$Y$47*$F$193*#REF!-$X$47/$Y$47*$C$20*$F$21</x:f>
        <x:v>#REF!</x:v>
      </x:c>
      <x:c r="Z58" s="409">
        <x:f ca="1">(-'int. presets cp_10d+wd'!I33*COS($F$18*PI()/180)*$F$21-'int. presets cp_10d+wd'!I42*COS($I$18*PI()/180)*$I$21)*$N$99*$C$25*1000/9.81/$AA$47*$D$193*'int. presets cp_10d+wd'!$I$246-$Z$47/$AA$47*$C$20*$F$21</x:f>
        <x:v>13.500568943354143</x:v>
      </x:c>
      <x:c r="AA58" s="1024">
        <x:f ca="1">(SQRT(((-'int. presets cp_10d+wd'!D33*SIN($F$18*PI()/180)*$F$21+'int. presets cp_10d+wd'!D42*SIN($I$18*PI()/180)*$I$21)*$C$25*1000)^2+(0.001*$C$25*1000*$F$21)^2)/$C$30+(-'int. presets cp_10d+wd'!D33*COS($F$18*PI()/180)*$F$21-'int. presets cp_10d+wd'!D42*COS($I$18*PI()/180)*$I$21)*$C$25*1000)/9.81*$O$99/$AA$47*$F$193*'int. presets cp_10d+wd'!$D$246-$Z$47/$AA$47*$C$20*$F$21</x:f>
        <x:v>9.838208544000036</x:v>
      </x:c>
      <x:c r="AB58" s="18"/>
      <x:c r="AC58" s="153"/>
      <x:c r="AD58" s="18"/>
      <x:c r="AE58" s="1549"/>
      <x:c r="AF58" s="1550"/>
      <x:c r="AG58" s="1304"/>
      <x:c r="AH58" s="1253"/>
      <x:c r="AI58" s="1253"/>
      <x:c r="AJ58" s="1253"/>
      <x:c r="AK58" s="1254"/>
      <x:c r="AL58" s="1252"/>
      <x:c r="AM58" s="1253"/>
      <x:c r="AN58" s="1253"/>
      <x:c r="AO58" s="1253"/>
      <x:c r="AP58" s="1254"/>
      <x:c r="AQ58" s="1243"/>
      <x:c r="AR58" s="1244"/>
      <x:c r="AS58" s="1244"/>
      <x:c r="AT58" s="1244"/>
      <x:c r="AU58" s="1245"/>
      <x:c r="AV58" s="1279"/>
      <x:c r="AW58" s="1280"/>
      <x:c r="AX58" s="1280"/>
      <x:c r="AY58" s="1280"/>
      <x:c r="AZ58" s="1281"/>
      <x:c r="BA58" s="1288"/>
      <x:c r="BB58" s="1289"/>
      <x:c r="BC58" s="1289"/>
      <x:c r="BD58" s="1289"/>
      <x:c r="BE58" s="1290"/>
      <x:c r="BF58" s="1297"/>
      <x:c r="BG58" s="1298"/>
      <x:c r="BH58" s="1298"/>
      <x:c r="BI58" s="1298"/>
      <x:c r="BJ58" s="1299"/>
      <x:c r="BK58" s="1489"/>
      <x:c r="BL58" s="1490"/>
      <x:c r="BM58" s="1490"/>
      <x:c r="BN58" s="1490"/>
      <x:c r="BO58" s="1491"/>
      <x:c r="BP58" s="1270"/>
      <x:c r="BQ58" s="1271"/>
      <x:c r="BR58" s="1271"/>
      <x:c r="BS58" s="1271"/>
      <x:c r="BT58" s="1272"/>
      <x:c r="BU58" s="1261"/>
      <x:c r="BV58" s="1262"/>
      <x:c r="BW58" s="1262"/>
      <x:c r="BX58" s="1262"/>
      <x:c r="BY58" s="1263"/>
      <x:c r="BZ58" s="1549"/>
      <x:c r="CA58" s="1550"/>
      <x:c r="CB58" s="361"/>
      <x:c r="CC58" s="485"/>
      <x:c r="CE58" s="153"/>
      <x:c r="CF58" s="18"/>
      <x:c r="CG58" s="1549"/>
      <x:c r="CH58" s="1550"/>
      <x:c r="CI58" s="1647"/>
      <x:c r="CJ58" s="1262"/>
      <x:c r="CK58" s="1262"/>
      <x:c r="CL58" s="1262"/>
      <x:c r="CM58" s="1648"/>
      <x:c r="CN58" s="1270"/>
      <x:c r="CO58" s="1271"/>
      <x:c r="CP58" s="1271"/>
      <x:c r="CQ58" s="1271"/>
      <x:c r="CR58" s="1272"/>
      <x:c r="CS58" s="1575"/>
      <x:c r="CT58" s="1576"/>
      <x:c r="CU58" s="1576"/>
      <x:c r="CV58" s="1576"/>
      <x:c r="CW58" s="1577"/>
      <x:c r="CX58" s="1297"/>
      <x:c r="CY58" s="1298"/>
      <x:c r="CZ58" s="1298"/>
      <x:c r="DA58" s="1298"/>
      <x:c r="DB58" s="1299"/>
      <x:c r="DC58" s="1288"/>
      <x:c r="DD58" s="1289"/>
      <x:c r="DE58" s="1289"/>
      <x:c r="DF58" s="1289"/>
      <x:c r="DG58" s="1290"/>
      <x:c r="DH58" s="1279"/>
      <x:c r="DI58" s="1280"/>
      <x:c r="DJ58" s="1280"/>
      <x:c r="DK58" s="1280"/>
      <x:c r="DL58" s="1281"/>
      <x:c r="DM58" s="1243"/>
      <x:c r="DN58" s="1244"/>
      <x:c r="DO58" s="1244"/>
      <x:c r="DP58" s="1244"/>
      <x:c r="DQ58" s="1245"/>
      <x:c r="DR58" s="1252"/>
      <x:c r="DS58" s="1253"/>
      <x:c r="DT58" s="1253"/>
      <x:c r="DU58" s="1253"/>
      <x:c r="DV58" s="1254"/>
      <x:c r="DW58" s="1252"/>
      <x:c r="DX58" s="1253"/>
      <x:c r="DY58" s="1253"/>
      <x:c r="DZ58" s="1253"/>
      <x:c r="EA58" s="1483"/>
      <x:c r="EB58" s="1549"/>
      <x:c r="EC58" s="1550"/>
      <x:c r="ED58" s="361"/>
      <x:c r="EE58" s="485"/>
    </x:row>
    <x:row r="59" spans="1:136" ht="13.5" customHeight="1" thickTop="1" thickBot="1" x14ac:dyDescent="0.25">
      <x:c r="B59" s="1380" t="s">
        <x:v>340</x:v>
      </x:c>
      <x:c r="C59" s="1381"/>
      <x:c r="D59" s="1381"/>
      <x:c r="E59" s="1381"/>
      <x:c r="F59" s="1381"/>
      <x:c r="G59" s="1381"/>
      <x:c r="H59" s="1381"/>
      <x:c r="I59" s="1381"/>
      <x:c r="J59" s="1381"/>
      <x:c r="K59" s="1381"/>
      <x:c r="L59" s="1382"/>
      <x:c r="M59" s="1048"/>
      <x:c r="N59" s="1006"/>
      <x:c r="O59" s="1007"/>
      <x:c r="P59" s="1007"/>
      <x:c r="Q59" s="1007"/>
      <x:c r="R59" s="1007"/>
      <x:c r="S59" s="1007"/>
      <x:c r="T59" s="1007"/>
      <x:c r="U59" s="1007"/>
      <x:c r="V59" s="1007"/>
      <x:c r="W59" s="1007"/>
      <x:c r="X59" s="1007"/>
      <x:c r="Y59" s="1007"/>
      <x:c r="Z59" s="1007"/>
      <x:c r="AA59" s="1010"/>
      <x:c r="AB59" s="18"/>
      <x:c r="AC59" s="153"/>
      <x:c r="AD59" s="20"/>
      <x:c r="AE59" s="1549"/>
      <x:c r="AF59" s="1550"/>
      <x:c r="AG59" s="1305"/>
      <x:c r="AH59" s="1256"/>
      <x:c r="AI59" s="1256"/>
      <x:c r="AJ59" s="1256"/>
      <x:c r="AK59" s="1257"/>
      <x:c r="AL59" s="1255"/>
      <x:c r="AM59" s="1256"/>
      <x:c r="AN59" s="1256"/>
      <x:c r="AO59" s="1256"/>
      <x:c r="AP59" s="1257"/>
      <x:c r="AQ59" s="1246"/>
      <x:c r="AR59" s="1247"/>
      <x:c r="AS59" s="1247"/>
      <x:c r="AT59" s="1247"/>
      <x:c r="AU59" s="1248"/>
      <x:c r="AV59" s="1282"/>
      <x:c r="AW59" s="1283"/>
      <x:c r="AX59" s="1283"/>
      <x:c r="AY59" s="1283"/>
      <x:c r="AZ59" s="1284"/>
      <x:c r="BA59" s="1291"/>
      <x:c r="BB59" s="1292"/>
      <x:c r="BC59" s="1292"/>
      <x:c r="BD59" s="1292"/>
      <x:c r="BE59" s="1293"/>
      <x:c r="BF59" s="1300"/>
      <x:c r="BG59" s="1301"/>
      <x:c r="BH59" s="1301"/>
      <x:c r="BI59" s="1301"/>
      <x:c r="BJ59" s="1302"/>
      <x:c r="BK59" s="1492"/>
      <x:c r="BL59" s="1493"/>
      <x:c r="BM59" s="1493"/>
      <x:c r="BN59" s="1493"/>
      <x:c r="BO59" s="1494"/>
      <x:c r="BP59" s="1273"/>
      <x:c r="BQ59" s="1274"/>
      <x:c r="BR59" s="1274"/>
      <x:c r="BS59" s="1274"/>
      <x:c r="BT59" s="1275"/>
      <x:c r="BU59" s="1264"/>
      <x:c r="BV59" s="1265"/>
      <x:c r="BW59" s="1265"/>
      <x:c r="BX59" s="1265"/>
      <x:c r="BY59" s="1266"/>
      <x:c r="BZ59" s="1549"/>
      <x:c r="CA59" s="1550"/>
      <x:c r="CB59" s="361"/>
      <x:c r="CC59" s="485"/>
      <x:c r="CE59" s="153"/>
      <x:c r="CF59" s="20"/>
      <x:c r="CG59" s="1549"/>
      <x:c r="CH59" s="1550"/>
      <x:c r="CI59" s="1649"/>
      <x:c r="CJ59" s="1265"/>
      <x:c r="CK59" s="1265"/>
      <x:c r="CL59" s="1265"/>
      <x:c r="CM59" s="1650"/>
      <x:c r="CN59" s="1273"/>
      <x:c r="CO59" s="1274"/>
      <x:c r="CP59" s="1274"/>
      <x:c r="CQ59" s="1274"/>
      <x:c r="CR59" s="1275"/>
      <x:c r="CS59" s="1599"/>
      <x:c r="CT59" s="1600"/>
      <x:c r="CU59" s="1600"/>
      <x:c r="CV59" s="1600"/>
      <x:c r="CW59" s="1601"/>
      <x:c r="CX59" s="1300"/>
      <x:c r="CY59" s="1301"/>
      <x:c r="CZ59" s="1301"/>
      <x:c r="DA59" s="1301"/>
      <x:c r="DB59" s="1302"/>
      <x:c r="DC59" s="1291"/>
      <x:c r="DD59" s="1292"/>
      <x:c r="DE59" s="1292"/>
      <x:c r="DF59" s="1292"/>
      <x:c r="DG59" s="1293"/>
      <x:c r="DH59" s="1282"/>
      <x:c r="DI59" s="1283"/>
      <x:c r="DJ59" s="1283"/>
      <x:c r="DK59" s="1283"/>
      <x:c r="DL59" s="1284"/>
      <x:c r="DM59" s="1246"/>
      <x:c r="DN59" s="1247"/>
      <x:c r="DO59" s="1247"/>
      <x:c r="DP59" s="1247"/>
      <x:c r="DQ59" s="1248"/>
      <x:c r="DR59" s="1255"/>
      <x:c r="DS59" s="1256"/>
      <x:c r="DT59" s="1256"/>
      <x:c r="DU59" s="1256"/>
      <x:c r="DV59" s="1257"/>
      <x:c r="DW59" s="1255"/>
      <x:c r="DX59" s="1256"/>
      <x:c r="DY59" s="1256"/>
      <x:c r="DZ59" s="1256"/>
      <x:c r="EA59" s="1484"/>
      <x:c r="EB59" s="1549"/>
      <x:c r="EC59" s="1550"/>
      <x:c r="ED59" s="361"/>
      <x:c r="EE59" s="485"/>
    </x:row>
    <x:row r="60" spans="1:136" ht="13.5" customHeight="1" x14ac:dyDescent="0.2">
      <x:c r="A60" s="24"/>
      <x:c r="B60" s="1345" t="s">
        <x:v>460</x:v>
      </x:c>
      <x:c r="C60" s="1346">
        <x:v>0</x:v>
      </x:c>
      <x:c r="D60" s="1347">
        <x:v>0</x:v>
      </x:c>
      <x:c r="E60" s="478" t="s">
        <x:v>461</x:v>
      </x:c>
      <x:c r="F60" s="1053" t="e">
        <x:f t="shared" ref="F60:F67" si="39">MAX(N60,O60)</x:f>
        <x:v>#REF!</x:v>
      </x:c>
      <x:c r="G60" s="1053" t="e">
        <x:f t="shared" si="24"/>
        <x:v>#REF!</x:v>
      </x:c>
      <x:c r="H60" s="1053" t="e">
        <x:f t="shared" si="25"/>
        <x:v>#REF!</x:v>
      </x:c>
      <x:c r="I60" s="1061" t="e">
        <x:f t="shared" si="26"/>
        <x:v>#REF!</x:v>
      </x:c>
      <x:c r="J60" s="1053" t="e">
        <x:f t="shared" si="27"/>
        <x:v>#REF!</x:v>
      </x:c>
      <x:c r="K60" s="1062" t="e">
        <x:f t="shared" si="28"/>
        <x:v>#REF!</x:v>
      </x:c>
      <x:c r="L60" s="1011">
        <x:f t="shared" ca="1" si="29"/>
        <x:v>27.382815788809832</x:v>
      </x:c>
      <x:c r="M60" s="940">
        <x:f t="shared" ca="1" si="30"/>
        <x:v>60.36870334432593</x:v>
      </x:c>
      <x:c r="N60" s="1035" t="e">
        <x:f>(-#REF!*COS($F$18*PI()/180)*$F$21-#REF!*COS($I$18*PI()/180)*$I$21)*$N$99*$C$25*1000/9.81/$O$47*$D$193*#REF!-$N$47/$O$47*$C$20*$F$21</x:f>
        <x:v>#REF!</x:v>
      </x:c>
      <x:c r="O60" s="75" t="e">
        <x:f>(SQRT(((-#REF!*SIN($F$18*PI()/180)*$F$21+#REF!*SIN($I$18*PI()/180)*$I$21)*$C$25*1000)^2+(0.001*$C$25*1000*$F$21)^2)/$C$30+(-#REF!*COS($F$18*PI()/180)*$F$21-#REF!*COS($I$18*PI()/180)*$I$21)*$C$25*1000)/9.81*$O$99/$O$47*$F$193*#REF!-$N$47/$O$47*$C$20*$F$21</x:f>
        <x:v>#REF!</x:v>
      </x:c>
      <x:c r="P60" s="181" t="e">
        <x:f>(-#REF!*COS($F$18*PI()/180)*$F$21-#REF!*COS($I$18*PI()/180)*$I$21)*$N$99*$C$25*1000/9.81/$Q$47*$D$193*#REF!-$P$47/$Q$47*$C$20*$F$21</x:f>
        <x:v>#REF!</x:v>
      </x:c>
      <x:c r="Q60" s="198" t="e">
        <x:f>(SQRT(((-#REF!*SIN($F$18*PI()/180)*$F$21+#REF!*SIN($I$18*PI()/180)*$I$21)*$C$25*1000)^2+(0.001*$C$25*1000*$F$21)^2)/$C$30+(-#REF!*COS($F$18*PI()/180)*$F$21-#REF!*COS($I$18*PI()/180)*$I$21)*$C$25*1000)/9.81*$O$99/$Q$47*$F$193*#REF!-$P$47/$Q$47*$C$20*$F$21</x:f>
        <x:v>#REF!</x:v>
      </x:c>
      <x:c r="R60" s="181" t="e">
        <x:f>(-#REF!*COS($F$18*PI()/180)*$F$21-#REF!*COS($I$18*PI()/180)*$I$21)*$N$99*$C$25*1000/9.81/$S$47*$D$193*#REF!-$R$47/$S$47*$C$20*$F$21</x:f>
        <x:v>#REF!</x:v>
      </x:c>
      <x:c r="S60" s="198" t="e">
        <x:f>(SQRT(((-#REF!*SIN($F$18*PI()/180)*$F$21+#REF!*SIN($I$18*PI()/180)*$I$21)*$C$25*1000)^2+(0.001*$C$25*1000*$F$21)^2)/$C$30+(-#REF!*COS($F$18*PI()/180)*$F$21-#REF!*COS($I$18*PI()/180)*$I$21)*$C$25*1000)/9.81*$O$99/$S$47*$F$193*#REF!-$R$47/$S$47*$C$20*$F$21</x:f>
        <x:v>#REF!</x:v>
      </x:c>
      <x:c r="T60" s="181" t="e">
        <x:f>(-#REF!*COS($F$18*PI()/180)*$F$21-#REF!*COS($I$18*PI()/180)*$I$21)*$N$99*$C$25*1000/9.81/$U$47*$D$193*#REF!-$T$47/$U$47*$C$20*$F$21</x:f>
        <x:v>#REF!</x:v>
      </x:c>
      <x:c r="U60" s="198" t="e">
        <x:f>(SQRT(((-#REF!*SIN($F$18*PI()/180)*$F$21+#REF!*SIN($I$18*PI()/180)*$I$21)*$C$25*1000)^2+(0.001*$C$25*1000*$F$21)^2)/$C$30+(-#REF!*COS($F$18*PI()/180)*$F$21-#REF!*COS($I$18*PI()/180)*$I$21)*$C$25*1000)/9.81*$O$99/$U$47*$F$193*#REF!-$T$47/$U$47*$C$20*$F$21</x:f>
        <x:v>#REF!</x:v>
      </x:c>
      <x:c r="V60" s="181" t="e">
        <x:f>(-#REF!*COS($F$18*PI()/180)*$F$21-#REF!*COS($I$18*PI()/180)*$I$21)*$N$99*$C$25*1000/9.81/$W$47*$D$193*#REF!-$V$47/$W$47*$C$20*$F$21</x:f>
        <x:v>#REF!</x:v>
      </x:c>
      <x:c r="W60" s="198" t="e">
        <x:f>(SQRT(((-#REF!*SIN($F$18*PI()/180)*$F$21+#REF!*SIN($I$18*PI()/180)*$I$21)*$C$25*1000)^2+(0.001*$C$25*1000*$F$21)^2)/$C$30+(-#REF!*COS($F$18*PI()/180)*$F$21-#REF!*COS($I$18*PI()/180)*$I$21)*$C$25*1000)/9.81*$O$99/$W$47*$F$193*#REF!-$V$47/$W$47*$C$20*$F$21</x:f>
        <x:v>#REF!</x:v>
      </x:c>
      <x:c r="X60" s="181" t="e">
        <x:f>(-#REF!*COS($F$18*PI()/180)*$F$21-#REF!*COS($I$18*PI()/180)*$I$21)*$N$99*$C$25*1000/9.81/$Y$47*$D$193*#REF!-$X$47/$Y$47*$C$20*$F$21</x:f>
        <x:v>#REF!</x:v>
      </x:c>
      <x:c r="Y60" s="198" t="e">
        <x:f>(SQRT(((-#REF!*SIN($F$18*PI()/180)*$F$21+#REF!*SIN($I$18*PI()/180)*$I$21)*$C$25*1000)^2+(0.001*$C$25*1000*$F$21)^2)/$C$30+(-#REF!*COS($F$18*PI()/180)*$F$21-#REF!*COS($I$18*PI()/180)*$I$21)*$C$25*1000)/9.81*$O$99/$Y$47*$F$193*#REF!-$X$47/$Y$47*$C$20*$F$21</x:f>
        <x:v>#REF!</x:v>
      </x:c>
      <x:c r="Z60" s="181">
        <x:f ca="1">(-'int. presets cp_10d+wd'!J26*COS($F$18*PI()/180)*$F$21-'int. presets cp_10d+wd'!J35*COS($I$18*PI()/180)*$I$21)*$N$99*$C$25*1000/9.81/$AA$47*$D$193*'int. presets cp_10d+wd'!$J$246-$Z$47/$AA$47*$C$20*$F$21</x:f>
        <x:v>27.382815788809832</x:v>
      </x:c>
      <x:c r="AA60" s="1026">
        <x:f ca="1">(SQRT(((-'int. presets cp_10d+wd'!E26*SIN($F$18*PI()/180)*$F$21+'int. presets cp_10d+wd'!E35*SIN($I$18*PI()/180)*$I$21)*$C$25*1000)^2+(0.001*$C$25*1000*$F$21)^2)/$C$30+(-'int. presets cp_10d+wd'!E26*COS($F$18*PI()/180)*$F$21-'int. presets cp_10d+wd'!E35*COS($I$18*PI()/180)*$I$21)*$C$25*1000)/9.81*$O$99/$AA$47*$F$193*'int. presets cp_10d+wd'!$E$246-$Z$47/$AA$47*$C$20*$F$21</x:f>
        <x:v>25.255906297784176</x:v>
      </x:c>
      <x:c r="AB60" s="18"/>
      <x:c r="AC60" s="153"/>
      <x:c r="AD60" s="20"/>
      <x:c r="AE60" s="1549"/>
      <x:c r="AF60" s="1550"/>
      <x:c r="AG60" s="1303" t="str">
        <x:f>AL51</x:f>
        <x:v>Inner row
Interior modules</x:v>
      </x:c>
      <x:c r="AH60" s="1250"/>
      <x:c r="AI60" s="1250"/>
      <x:c r="AJ60" s="1250"/>
      <x:c r="AK60" s="1251"/>
      <x:c r="AL60" s="1249" t="str">
        <x:f>AL32</x:f>
        <x:v>Inner row
Interior modules</x:v>
      </x:c>
      <x:c r="AM60" s="1250"/>
      <x:c r="AN60" s="1250"/>
      <x:c r="AO60" s="1250"/>
      <x:c r="AP60" s="1251"/>
      <x:c r="AQ60" s="1240" t="str">
        <x:f>AQ32</x:f>
        <x:v>Inner row
1st-4th module</x:v>
      </x:c>
      <x:c r="AR60" s="1241"/>
      <x:c r="AS60" s="1241"/>
      <x:c r="AT60" s="1241"/>
      <x:c r="AU60" s="1242"/>
      <x:c r="AV60" s="1276" t="str">
        <x:f>AV32</x:f>
        <x:v>Inner row
Interior modules</x:v>
      </x:c>
      <x:c r="AW60" s="1277"/>
      <x:c r="AX60" s="1277"/>
      <x:c r="AY60" s="1277"/>
      <x:c r="AZ60" s="1278"/>
      <x:c r="BA60" s="1285" t="str">
        <x:f>BA32</x:f>
        <x:v>Inner row
1st-4th module</x:v>
      </x:c>
      <x:c r="BB60" s="1286"/>
      <x:c r="BC60" s="1286"/>
      <x:c r="BD60" s="1286"/>
      <x:c r="BE60" s="1287"/>
      <x:c r="BF60" s="1294" t="str">
        <x:f>BF32</x:f>
        <x:v>Inner row
Interior modules</x:v>
      </x:c>
      <x:c r="BG60" s="1295"/>
      <x:c r="BH60" s="1295"/>
      <x:c r="BI60" s="1295"/>
      <x:c r="BJ60" s="1296"/>
      <x:c r="BK60" s="1486" t="str">
        <x:f>BK32</x:f>
        <x:v>Inner row
1st-4th module</x:v>
      </x:c>
      <x:c r="BL60" s="1487"/>
      <x:c r="BM60" s="1487"/>
      <x:c r="BN60" s="1487"/>
      <x:c r="BO60" s="1488"/>
      <x:c r="BP60" s="1267" t="str">
        <x:f>BP43</x:f>
        <x:v>Inner row
Interior modules</x:v>
      </x:c>
      <x:c r="BQ60" s="1268"/>
      <x:c r="BR60" s="1268"/>
      <x:c r="BS60" s="1268"/>
      <x:c r="BT60" s="1269"/>
      <x:c r="BU60" s="1258" t="str">
        <x:f>BU43</x:f>
        <x:v>Inner row
1st-4th module</x:v>
      </x:c>
      <x:c r="BV60" s="1259"/>
      <x:c r="BW60" s="1259"/>
      <x:c r="BX60" s="1259"/>
      <x:c r="BY60" s="1260"/>
      <x:c r="BZ60" s="1549"/>
      <x:c r="CA60" s="1550"/>
      <x:c r="CB60" s="361"/>
      <x:c r="CC60" s="485"/>
      <x:c r="CE60" s="153"/>
      <x:c r="CF60" s="20"/>
      <x:c r="CG60" s="1549"/>
      <x:c r="CH60" s="1550"/>
      <x:c r="CI60" s="1645" t="str">
        <x:f t="shared" ref="CI60" si="40">BU60</x:f>
        <x:v>Inner row
1st-4th module</x:v>
      </x:c>
      <x:c r="CJ60" s="1259"/>
      <x:c r="CK60" s="1259"/>
      <x:c r="CL60" s="1259"/>
      <x:c r="CM60" s="1646"/>
      <x:c r="CN60" s="1267" t="str">
        <x:f t="shared" ref="CN60" si="41">BP60</x:f>
        <x:v>Inner row
Interior modules</x:v>
      </x:c>
      <x:c r="CO60" s="1268"/>
      <x:c r="CP60" s="1268"/>
      <x:c r="CQ60" s="1268"/>
      <x:c r="CR60" s="1269"/>
      <x:c r="CS60" s="1572" t="str">
        <x:f t="shared" ref="CS60" si="42">BK60</x:f>
        <x:v>Inner row
1st-4th module</x:v>
      </x:c>
      <x:c r="CT60" s="1573"/>
      <x:c r="CU60" s="1573"/>
      <x:c r="CV60" s="1573"/>
      <x:c r="CW60" s="1574"/>
      <x:c r="CX60" s="1294" t="str">
        <x:f t="shared" ref="CX60" si="43">BF60</x:f>
        <x:v>Inner row
Interior modules</x:v>
      </x:c>
      <x:c r="CY60" s="1295"/>
      <x:c r="CZ60" s="1295"/>
      <x:c r="DA60" s="1295"/>
      <x:c r="DB60" s="1296"/>
      <x:c r="DC60" s="1285" t="str">
        <x:f t="shared" ref="DC60" si="44">BA60</x:f>
        <x:v>Inner row
1st-4th module</x:v>
      </x:c>
      <x:c r="DD60" s="1286"/>
      <x:c r="DE60" s="1286"/>
      <x:c r="DF60" s="1286"/>
      <x:c r="DG60" s="1287"/>
      <x:c r="DH60" s="1276" t="str">
        <x:f t="shared" ref="DH60" si="45">AV60</x:f>
        <x:v>Inner row
Interior modules</x:v>
      </x:c>
      <x:c r="DI60" s="1277"/>
      <x:c r="DJ60" s="1277"/>
      <x:c r="DK60" s="1277"/>
      <x:c r="DL60" s="1278"/>
      <x:c r="DM60" s="1240" t="str">
        <x:f t="shared" ref="DM60" si="46">AQ60</x:f>
        <x:v>Inner row
1st-4th module</x:v>
      </x:c>
      <x:c r="DN60" s="1241"/>
      <x:c r="DO60" s="1241"/>
      <x:c r="DP60" s="1241"/>
      <x:c r="DQ60" s="1242"/>
      <x:c r="DR60" s="1249" t="str">
        <x:f t="shared" ref="DR60" si="47">AL60</x:f>
        <x:v>Inner row
Interior modules</x:v>
      </x:c>
      <x:c r="DS60" s="1250"/>
      <x:c r="DT60" s="1250"/>
      <x:c r="DU60" s="1250"/>
      <x:c r="DV60" s="1251"/>
      <x:c r="DW60" s="1249" t="str">
        <x:f t="shared" ref="DW60" si="48">AG60</x:f>
        <x:v>Inner row
Interior modules</x:v>
      </x:c>
      <x:c r="DX60" s="1250"/>
      <x:c r="DY60" s="1250"/>
      <x:c r="DZ60" s="1250"/>
      <x:c r="EA60" s="1482"/>
      <x:c r="EB60" s="1549"/>
      <x:c r="EC60" s="1550"/>
      <x:c r="ED60" s="361"/>
      <x:c r="EE60" s="485"/>
    </x:row>
    <x:row r="61" spans="1:136" ht="13.5" customHeight="1" thickBot="1" x14ac:dyDescent="0.25">
      <x:c r="A61" s="24"/>
      <x:c r="B61" s="1348">
        <x:v>0</x:v>
      </x:c>
      <x:c r="C61" s="1349">
        <x:v>0</x:v>
      </x:c>
      <x:c r="D61" s="1350">
        <x:v>0</x:v>
      </x:c>
      <x:c r="E61" s="481" t="s">
        <x:v>462</x:v>
      </x:c>
      <x:c r="F61" s="1055" t="e">
        <x:f t="shared" si="39"/>
        <x:v>#REF!</x:v>
      </x:c>
      <x:c r="G61" s="1055" t="e">
        <x:f t="shared" si="24"/>
        <x:v>#REF!</x:v>
      </x:c>
      <x:c r="H61" s="1055" t="e">
        <x:f t="shared" si="25"/>
        <x:v>#REF!</x:v>
      </x:c>
      <x:c r="I61" s="1056" t="e">
        <x:f t="shared" si="26"/>
        <x:v>#REF!</x:v>
      </x:c>
      <x:c r="J61" s="1055" t="e">
        <x:f t="shared" si="27"/>
        <x:v>#REF!</x:v>
      </x:c>
      <x:c r="K61" s="1063" t="e">
        <x:f t="shared" si="28"/>
        <x:v>#REF!</x:v>
      </x:c>
      <x:c r="L61" s="1012">
        <x:f t="shared" ca="1" si="29"/>
        <x:v>41.68610029530933</x:v>
      </x:c>
      <x:c r="M61" s="941">
        <x:f t="shared" ca="1" si="30"/>
        <x:v>91.90201043304485</x:v>
      </x:c>
      <x:c r="N61" s="1027" t="e">
        <x:f>(-#REF!*COS($F$18*PI()/180)*$F$21-#REF!*COS($I$18*PI()/180)*$I$21)*$N$99*$C$25*1000/9.81/$O$47*$D$193*#REF!-$N$47/$O$47*$C$20*$F$21</x:f>
        <x:v>#REF!</x:v>
      </x:c>
      <x:c r="O61" s="936" t="e">
        <x:f>(SQRT(((-#REF!*SIN($F$18*PI()/180)*$F$21+#REF!*SIN($I$18*PI()/180)*$I$21)*$C$25*1000)^2+(0.001*$C$25*1000*$F$21)^2)/$C$30+(-#REF!*COS($F$18*PI()/180)*$F$21-#REF!*COS($I$18*PI()/180)*$I$21)*$C$25*1000)/9.81*$O$99/$O$47*$F$193*#REF!-$N$47/$O$47*$C$20*$F$21</x:f>
        <x:v>#REF!</x:v>
      </x:c>
      <x:c r="P61" s="199" t="e">
        <x:f>(-#REF!*COS($F$18*PI()/180)*$F$21-#REF!*COS($I$18*PI()/180)*$I$21)*$N$99*$C$25*1000/9.81/$Q$47*$D$193*#REF!-$P$47/$Q$47*$C$20*$F$21</x:f>
        <x:v>#REF!</x:v>
      </x:c>
      <x:c r="Q61" s="164" t="e">
        <x:f>(SQRT(((-#REF!*SIN($F$18*PI()/180)*$F$21+#REF!*SIN($I$18*PI()/180)*$I$21)*$C$25*1000)^2+(0.001*$C$25*1000*$F$21)^2)/$C$30+(-#REF!*COS($F$18*PI()/180)*$F$21-#REF!*COS($I$18*PI()/180)*$I$21)*$C$25*1000)/9.81*$O$99/$Q$47*$F$193*#REF!-$P$47/$Q$47*$C$20*$F$21</x:f>
        <x:v>#REF!</x:v>
      </x:c>
      <x:c r="R61" s="199" t="e">
        <x:f>(-#REF!*COS($F$18*PI()/180)*$F$21-#REF!*COS($I$18*PI()/180)*$I$21)*$N$99*$C$25*1000/9.81/$S$47*$D$193*#REF!-$R$47/$S$47*$C$20*$F$21</x:f>
        <x:v>#REF!</x:v>
      </x:c>
      <x:c r="S61" s="164" t="e">
        <x:f>(SQRT(((-#REF!*SIN($F$18*PI()/180)*$F$21+#REF!*SIN($I$18*PI()/180)*$I$21)*$C$25*1000)^2+(0.001*$C$25*1000*$F$21)^2)/$C$30+(-#REF!*COS($F$18*PI()/180)*$F$21-#REF!*COS($I$18*PI()/180)*$I$21)*$C$25*1000)/9.81*$O$99/$S$47*$F$193*#REF!-$R$47/$S$47*$C$20*$F$21</x:f>
        <x:v>#REF!</x:v>
      </x:c>
      <x:c r="T61" s="199" t="e">
        <x:f>(-#REF!*COS($F$18*PI()/180)*$F$21-#REF!*COS($I$18*PI()/180)*$I$21)*$N$99*$C$25*1000/9.81/$U$47*$D$193*#REF!-$T$47/$U$47*$C$20*$F$21</x:f>
        <x:v>#REF!</x:v>
      </x:c>
      <x:c r="U61" s="164" t="e">
        <x:f>(SQRT(((-#REF!*SIN($F$18*PI()/180)*$F$21+#REF!*SIN($I$18*PI()/180)*$I$21)*$C$25*1000)^2+(0.001*$C$25*1000*$F$21)^2)/$C$30+(-#REF!*COS($F$18*PI()/180)*$F$21-#REF!*COS($I$18*PI()/180)*$I$21)*$C$25*1000)/9.81*$O$99/$U$47*$F$193*#REF!-$T$47/$U$47*$C$20*$F$21</x:f>
        <x:v>#REF!</x:v>
      </x:c>
      <x:c r="V61" s="199" t="e">
        <x:f>(-#REF!*COS($F$18*PI()/180)*$F$21-#REF!*COS($I$18*PI()/180)*$I$21)*$N$99*$C$25*1000/9.81/$W$47*$D$193*#REF!-$V$47/$W$47*$C$20*$F$21</x:f>
        <x:v>#REF!</x:v>
      </x:c>
      <x:c r="W61" s="164" t="e">
        <x:f>(SQRT(((-#REF!*SIN($F$18*PI()/180)*$F$21+#REF!*SIN($I$18*PI()/180)*$I$21)*$C$25*1000)^2+(0.001*$C$25*1000*$F$21)^2)/$C$30+(-#REF!*COS($F$18*PI()/180)*$F$21-#REF!*COS($I$18*PI()/180)*$I$21)*$C$25*1000)/9.81*$O$99/$W$47*$F$193*#REF!-$V$47/$W$47*$C$20*$F$21</x:f>
        <x:v>#REF!</x:v>
      </x:c>
      <x:c r="X61" s="199" t="e">
        <x:f>(-#REF!*COS($F$18*PI()/180)*$F$21-#REF!*COS($I$18*PI()/180)*$I$21)*$N$99*$C$25*1000/9.81/$Y$47*$D$193*#REF!-$X$47/$Y$47*$C$20*$F$21</x:f>
        <x:v>#REF!</x:v>
      </x:c>
      <x:c r="Y61" s="164" t="e">
        <x:f>(SQRT(((-#REF!*SIN($F$18*PI()/180)*$F$21+#REF!*SIN($I$18*PI()/180)*$I$21)*$C$25*1000)^2+(0.001*$C$25*1000*$F$21)^2)/$C$30+(-#REF!*COS($F$18*PI()/180)*$F$21-#REF!*COS($I$18*PI()/180)*$I$21)*$C$25*1000)/9.81*$O$99/$Y$47*$F$193*#REF!-$X$47/$Y$47*$C$20*$F$21</x:f>
        <x:v>#REF!</x:v>
      </x:c>
      <x:c r="Z61" s="199">
        <x:f ca="1">(-'int. presets cp_10d+wd'!J27*COS($F$18*PI()/180)*$F$21-'int. presets cp_10d+wd'!J36*COS($I$18*PI()/180)*$I$21)*$N$99*$C$25*1000/9.81/$AA$47*$D$193*'int. presets cp_10d+wd'!$J$246-$Z$47/$AA$47*$C$20*$F$21</x:f>
        <x:v>41.68610029530933</x:v>
      </x:c>
      <x:c r="AA61" s="1028">
        <x:f ca="1">(SQRT(((-'int. presets cp_10d+wd'!E27*SIN($F$18*PI()/180)*$F$21+'int. presets cp_10d+wd'!E36*SIN($I$18*PI()/180)*$I$21)*$C$25*1000)^2+(0.001*$C$25*1000*$F$21)^2)/$C$30+(-'int. presets cp_10d+wd'!E27*COS($F$18*PI()/180)*$F$21-'int. presets cp_10d+wd'!E36*COS($I$18*PI()/180)*$I$21)*$C$25*1000)/9.81*$O$99/$AA$47*$F$193*'int. presets cp_10d+wd'!$E$246-$Z$47/$AA$47*$C$20*$F$21</x:f>
        <x:v>26.236130675901517</x:v>
      </x:c>
      <x:c r="AB61" s="18"/>
      <x:c r="AC61" s="153"/>
      <x:c r="AD61" s="20"/>
      <x:c r="AE61" s="1549"/>
      <x:c r="AF61" s="1550"/>
      <x:c r="AG61" s="1304"/>
      <x:c r="AH61" s="1253"/>
      <x:c r="AI61" s="1253"/>
      <x:c r="AJ61" s="1253"/>
      <x:c r="AK61" s="1254"/>
      <x:c r="AL61" s="1252"/>
      <x:c r="AM61" s="1253"/>
      <x:c r="AN61" s="1253"/>
      <x:c r="AO61" s="1253"/>
      <x:c r="AP61" s="1254"/>
      <x:c r="AQ61" s="1243"/>
      <x:c r="AR61" s="1244"/>
      <x:c r="AS61" s="1244"/>
      <x:c r="AT61" s="1244"/>
      <x:c r="AU61" s="1245"/>
      <x:c r="AV61" s="1279"/>
      <x:c r="AW61" s="1280"/>
      <x:c r="AX61" s="1280"/>
      <x:c r="AY61" s="1280"/>
      <x:c r="AZ61" s="1281"/>
      <x:c r="BA61" s="1288"/>
      <x:c r="BB61" s="1289"/>
      <x:c r="BC61" s="1289"/>
      <x:c r="BD61" s="1289"/>
      <x:c r="BE61" s="1290"/>
      <x:c r="BF61" s="1297"/>
      <x:c r="BG61" s="1298"/>
      <x:c r="BH61" s="1298"/>
      <x:c r="BI61" s="1298"/>
      <x:c r="BJ61" s="1299"/>
      <x:c r="BK61" s="1489"/>
      <x:c r="BL61" s="1490"/>
      <x:c r="BM61" s="1490"/>
      <x:c r="BN61" s="1490"/>
      <x:c r="BO61" s="1491"/>
      <x:c r="BP61" s="1270"/>
      <x:c r="BQ61" s="1271"/>
      <x:c r="BR61" s="1271"/>
      <x:c r="BS61" s="1271"/>
      <x:c r="BT61" s="1272"/>
      <x:c r="BU61" s="1261"/>
      <x:c r="BV61" s="1262"/>
      <x:c r="BW61" s="1262"/>
      <x:c r="BX61" s="1262"/>
      <x:c r="BY61" s="1263"/>
      <x:c r="BZ61" s="1549"/>
      <x:c r="CA61" s="1550"/>
      <x:c r="CB61" s="361"/>
      <x:c r="CC61" s="485"/>
      <x:c r="CE61" s="153"/>
      <x:c r="CF61" s="20"/>
      <x:c r="CG61" s="1549"/>
      <x:c r="CH61" s="1550"/>
      <x:c r="CI61" s="1647"/>
      <x:c r="CJ61" s="1262"/>
      <x:c r="CK61" s="1262"/>
      <x:c r="CL61" s="1262"/>
      <x:c r="CM61" s="1648"/>
      <x:c r="CN61" s="1270"/>
      <x:c r="CO61" s="1271"/>
      <x:c r="CP61" s="1271"/>
      <x:c r="CQ61" s="1271"/>
      <x:c r="CR61" s="1272"/>
      <x:c r="CS61" s="1575"/>
      <x:c r="CT61" s="1576"/>
      <x:c r="CU61" s="1576"/>
      <x:c r="CV61" s="1576"/>
      <x:c r="CW61" s="1577"/>
      <x:c r="CX61" s="1297"/>
      <x:c r="CY61" s="1298"/>
      <x:c r="CZ61" s="1298"/>
      <x:c r="DA61" s="1298"/>
      <x:c r="DB61" s="1299"/>
      <x:c r="DC61" s="1288"/>
      <x:c r="DD61" s="1289"/>
      <x:c r="DE61" s="1289"/>
      <x:c r="DF61" s="1289"/>
      <x:c r="DG61" s="1290"/>
      <x:c r="DH61" s="1279"/>
      <x:c r="DI61" s="1280"/>
      <x:c r="DJ61" s="1280"/>
      <x:c r="DK61" s="1280"/>
      <x:c r="DL61" s="1281"/>
      <x:c r="DM61" s="1243"/>
      <x:c r="DN61" s="1244"/>
      <x:c r="DO61" s="1244"/>
      <x:c r="DP61" s="1244"/>
      <x:c r="DQ61" s="1245"/>
      <x:c r="DR61" s="1252"/>
      <x:c r="DS61" s="1253"/>
      <x:c r="DT61" s="1253"/>
      <x:c r="DU61" s="1253"/>
      <x:c r="DV61" s="1254"/>
      <x:c r="DW61" s="1252"/>
      <x:c r="DX61" s="1253"/>
      <x:c r="DY61" s="1253"/>
      <x:c r="DZ61" s="1253"/>
      <x:c r="EA61" s="1483"/>
      <x:c r="EB61" s="1549"/>
      <x:c r="EC61" s="1550"/>
      <x:c r="ED61" s="361"/>
      <x:c r="EE61" s="485"/>
    </x:row>
    <x:row r="62" spans="1:136" s="75" customFormat="1" ht="13.5" customHeight="1" x14ac:dyDescent="0.2">
      <x:c r="B62" s="1345" t="s">
        <x:v>463</x:v>
      </x:c>
      <x:c r="C62" s="1346">
        <x:v>0</x:v>
      </x:c>
      <x:c r="D62" s="1347" t="s">
        <x:v>463</x:v>
      </x:c>
      <x:c r="E62" s="479" t="s">
        <x:v>461</x:v>
      </x:c>
      <x:c r="F62" s="1057" t="e">
        <x:f t="shared" si="39"/>
        <x:v>#REF!</x:v>
      </x:c>
      <x:c r="G62" s="1057" t="e">
        <x:f t="shared" si="24"/>
        <x:v>#REF!</x:v>
      </x:c>
      <x:c r="H62" s="1057" t="e">
        <x:f t="shared" si="25"/>
        <x:v>#REF!</x:v>
      </x:c>
      <x:c r="I62" s="1054" t="e">
        <x:f t="shared" si="26"/>
        <x:v>#REF!</x:v>
      </x:c>
      <x:c r="J62" s="1057" t="e">
        <x:f t="shared" si="27"/>
        <x:v>#REF!</x:v>
      </x:c>
      <x:c r="K62" s="1064" t="e">
        <x:f t="shared" si="28"/>
        <x:v>#REF!</x:v>
      </x:c>
      <x:c r="L62" s="1011">
        <x:f t="shared" ca="1" si="29"/>
        <x:v>19.488033898115699</x:v>
      </x:c>
      <x:c r="M62" s="940">
        <x:f t="shared" ca="1" si="30"/>
        <x:v>42.963709292463825</x:v>
      </x:c>
      <x:c r="N62" s="1025" t="e">
        <x:f>(-#REF!*COS($F$18*PI()/180)*$F$21-#REF!*COS($I$18*PI()/180)*$I$21)*$N$99*$C$25*1000/9.81/$O$47*$D$193*#REF!-$N$47/$O$47*$C$20*$F$21</x:f>
        <x:v>#REF!</x:v>
      </x:c>
      <x:c r="O62" s="75" t="e">
        <x:f>(SQRT(((-#REF!*SIN($F$18*PI()/180)*$F$21+#REF!*SIN($I$18*PI()/180)*$I$21)*$C$25*1000)^2+(0.001*$C$25*1000*$F$21)^2)/$C$30+(-#REF!*COS($F$18*PI()/180)*$F$21-#REF!*COS($I$18*PI()/180)*$I$21)*$C$25*1000)/9.81*$O$99/$O$47*$F$193*#REF!-$N$47/$O$47*$C$20*$F$21</x:f>
        <x:v>#REF!</x:v>
      </x:c>
      <x:c r="P62" s="161" t="e">
        <x:f>(-#REF!*COS($F$18*PI()/180)*$F$21-#REF!*COS($I$18*PI()/180)*$I$21)*$N$99*$C$25*1000/9.81/$Q$47*$D$193*#REF!-$P$47/$Q$47*$C$20*$F$21</x:f>
        <x:v>#REF!</x:v>
      </x:c>
      <x:c r="Q62" s="162" t="e">
        <x:f>(SQRT(((-#REF!*SIN($F$18*PI()/180)*$F$21+#REF!*SIN($I$18*PI()/180)*$I$21)*$C$25*1000)^2+(0.001*$C$25*1000*$F$21)^2)/$C$30+(-#REF!*COS($F$18*PI()/180)*$F$21-#REF!*COS($I$18*PI()/180)*$I$21)*$C$25*1000)/9.81*$O$99/$Q$47*$F$193*#REF!-$P$47/$Q$47*$C$20*$F$21</x:f>
        <x:v>#REF!</x:v>
      </x:c>
      <x:c r="R62" s="161" t="e">
        <x:f>(-#REF!*COS($F$18*PI()/180)*$F$21-#REF!*COS($I$18*PI()/180)*$I$21)*$N$99*$C$25*1000/9.81/$S$47*$D$193*#REF!-$R$47/$S$47*$C$20*$F$21</x:f>
        <x:v>#REF!</x:v>
      </x:c>
      <x:c r="S62" s="162" t="e">
        <x:f>(SQRT(((-#REF!*SIN($F$18*PI()/180)*$F$21+#REF!*SIN($I$18*PI()/180)*$I$21)*$C$25*1000)^2+(0.001*$C$25*1000*$F$21)^2)/$C$30+(-#REF!*COS($F$18*PI()/180)*$F$21-#REF!*COS($I$18*PI()/180)*$I$21)*$C$25*1000)/9.81*$O$99/$S$47*$F$193*#REF!-$R$47/$S$47*$C$20*$F$21</x:f>
        <x:v>#REF!</x:v>
      </x:c>
      <x:c r="T62" s="161" t="e">
        <x:f>(-#REF!*COS($F$18*PI()/180)*$F$21-#REF!*COS($I$18*PI()/180)*$I$21)*$N$99*$C$25*1000/9.81/$U$47*$D$193*#REF!-$T$47/$U$47*$C$20*$F$21</x:f>
        <x:v>#REF!</x:v>
      </x:c>
      <x:c r="U62" s="162" t="e">
        <x:f>(SQRT(((-#REF!*SIN($F$18*PI()/180)*$F$21+#REF!*SIN($I$18*PI()/180)*$I$21)*$C$25*1000)^2+(0.001*$C$25*1000*$F$21)^2)/$C$30+(-#REF!*COS($F$18*PI()/180)*$F$21-#REF!*COS($I$18*PI()/180)*$I$21)*$C$25*1000)/9.81*$O$99/$U$47*$F$193*#REF!-$T$47/$U$47*$C$20*$F$21</x:f>
        <x:v>#REF!</x:v>
      </x:c>
      <x:c r="V62" s="161" t="e">
        <x:f>(-#REF!*COS($F$18*PI()/180)*$F$21-#REF!*COS($I$18*PI()/180)*$I$21)*$N$99*$C$25*1000/9.81/$W$47*$D$193*#REF!-$V$47/$W$47*$C$20*$F$21</x:f>
        <x:v>#REF!</x:v>
      </x:c>
      <x:c r="W62" s="162" t="e">
        <x:f>(SQRT(((-#REF!*SIN($F$18*PI()/180)*$F$21+#REF!*SIN($I$18*PI()/180)*$I$21)*$C$25*1000)^2+(0.001*$C$25*1000*$F$21)^2)/$C$30+(-#REF!*COS($F$18*PI()/180)*$F$21-#REF!*COS($I$18*PI()/180)*$I$21)*$C$25*1000)/9.81*$O$99/$W$47*$F$193*#REF!-$V$47/$W$47*$C$20*$F$21</x:f>
        <x:v>#REF!</x:v>
      </x:c>
      <x:c r="X62" s="161" t="e">
        <x:f>(-#REF!*COS($F$18*PI()/180)*$F$21-#REF!*COS($I$18*PI()/180)*$I$21)*$N$99*$C$25*1000/9.81/$Y$47*$D$193*#REF!-$X$47/$Y$47*$C$20*$F$21</x:f>
        <x:v>#REF!</x:v>
      </x:c>
      <x:c r="Y62" s="162" t="e">
        <x:f>(SQRT(((-#REF!*SIN($F$18*PI()/180)*$F$21+#REF!*SIN($I$18*PI()/180)*$I$21)*$C$25*1000)^2+(0.001*$C$25*1000*$F$21)^2)/$C$30+(-#REF!*COS($F$18*PI()/180)*$F$21-#REF!*COS($I$18*PI()/180)*$I$21)*$C$25*1000)/9.81*$O$99/$Y$47*$F$193*#REF!-$X$47/$Y$47*$C$20*$F$21</x:f>
        <x:v>#REF!</x:v>
      </x:c>
      <x:c r="Z62" s="161">
        <x:f ca="1">(-'int. presets cp_10d+wd'!J28*COS($F$18*PI()/180)*$F$21-'int. presets cp_10d+wd'!J37*COS($I$18*PI()/180)*$I$21)*$N$99*$C$25*1000/9.81/$AA$47*$D$193*'int. presets cp_10d+wd'!$J$246-$Z$47/$AA$47*$C$20*$F$21</x:f>
        <x:v>1.6805789555751112</x:v>
      </x:c>
      <x:c r="AA62" s="1030">
        <x:f ca="1">(SQRT(((-'int. presets cp_10d+wd'!E28*SIN($F$18*PI()/180)*$F$21+'int. presets cp_10d+wd'!E37*SIN($I$18*PI()/180)*$I$21)*$C$25*1000)^2+(0.001*$C$25*1000*$F$21)^2)/$C$30+(-'int. presets cp_10d+wd'!E28*COS($F$18*PI()/180)*$F$21-'int. presets cp_10d+wd'!E37*COS($I$18*PI()/180)*$I$21)*$C$25*1000)/9.81*$O$99/$AA$47*$F$193*'int. presets cp_10d+wd'!$E$246-$Z$47/$AA$47*$C$20*$F$21</x:f>
        <x:v>19.488033898115699</x:v>
      </x:c>
      <x:c r="AB62" s="18"/>
      <x:c r="AC62" s="153"/>
      <x:c r="AD62" s="20"/>
      <x:c r="AE62" s="1549"/>
      <x:c r="AF62" s="1550"/>
      <x:c r="AG62" s="1305"/>
      <x:c r="AH62" s="1256"/>
      <x:c r="AI62" s="1256"/>
      <x:c r="AJ62" s="1256"/>
      <x:c r="AK62" s="1257"/>
      <x:c r="AL62" s="1255"/>
      <x:c r="AM62" s="1256"/>
      <x:c r="AN62" s="1256"/>
      <x:c r="AO62" s="1256"/>
      <x:c r="AP62" s="1257"/>
      <x:c r="AQ62" s="1246"/>
      <x:c r="AR62" s="1247"/>
      <x:c r="AS62" s="1247"/>
      <x:c r="AT62" s="1247"/>
      <x:c r="AU62" s="1248"/>
      <x:c r="AV62" s="1282"/>
      <x:c r="AW62" s="1283"/>
      <x:c r="AX62" s="1283"/>
      <x:c r="AY62" s="1283"/>
      <x:c r="AZ62" s="1284"/>
      <x:c r="BA62" s="1291"/>
      <x:c r="BB62" s="1292"/>
      <x:c r="BC62" s="1292"/>
      <x:c r="BD62" s="1292"/>
      <x:c r="BE62" s="1293"/>
      <x:c r="BF62" s="1300"/>
      <x:c r="BG62" s="1301"/>
      <x:c r="BH62" s="1301"/>
      <x:c r="BI62" s="1301"/>
      <x:c r="BJ62" s="1302"/>
      <x:c r="BK62" s="1492"/>
      <x:c r="BL62" s="1493"/>
      <x:c r="BM62" s="1493"/>
      <x:c r="BN62" s="1493"/>
      <x:c r="BO62" s="1494"/>
      <x:c r="BP62" s="1273"/>
      <x:c r="BQ62" s="1274"/>
      <x:c r="BR62" s="1274"/>
      <x:c r="BS62" s="1274"/>
      <x:c r="BT62" s="1275"/>
      <x:c r="BU62" s="1264"/>
      <x:c r="BV62" s="1265"/>
      <x:c r="BW62" s="1265"/>
      <x:c r="BX62" s="1265"/>
      <x:c r="BY62" s="1266"/>
      <x:c r="BZ62" s="1549"/>
      <x:c r="CA62" s="1550"/>
      <x:c r="CB62" s="361"/>
      <x:c r="CC62" s="486"/>
      <x:c r="CD62" s="1"/>
      <x:c r="CE62" s="153"/>
      <x:c r="CF62" s="20"/>
      <x:c r="CG62" s="1549"/>
      <x:c r="CH62" s="1550"/>
      <x:c r="CI62" s="1649"/>
      <x:c r="CJ62" s="1265"/>
      <x:c r="CK62" s="1265"/>
      <x:c r="CL62" s="1265"/>
      <x:c r="CM62" s="1650"/>
      <x:c r="CN62" s="1273"/>
      <x:c r="CO62" s="1274"/>
      <x:c r="CP62" s="1274"/>
      <x:c r="CQ62" s="1274"/>
      <x:c r="CR62" s="1275"/>
      <x:c r="CS62" s="1599"/>
      <x:c r="CT62" s="1600"/>
      <x:c r="CU62" s="1600"/>
      <x:c r="CV62" s="1600"/>
      <x:c r="CW62" s="1601"/>
      <x:c r="CX62" s="1300"/>
      <x:c r="CY62" s="1301"/>
      <x:c r="CZ62" s="1301"/>
      <x:c r="DA62" s="1301"/>
      <x:c r="DB62" s="1302"/>
      <x:c r="DC62" s="1291"/>
      <x:c r="DD62" s="1292"/>
      <x:c r="DE62" s="1292"/>
      <x:c r="DF62" s="1292"/>
      <x:c r="DG62" s="1293"/>
      <x:c r="DH62" s="1282"/>
      <x:c r="DI62" s="1283"/>
      <x:c r="DJ62" s="1283"/>
      <x:c r="DK62" s="1283"/>
      <x:c r="DL62" s="1284"/>
      <x:c r="DM62" s="1246"/>
      <x:c r="DN62" s="1247"/>
      <x:c r="DO62" s="1247"/>
      <x:c r="DP62" s="1247"/>
      <x:c r="DQ62" s="1248"/>
      <x:c r="DR62" s="1255"/>
      <x:c r="DS62" s="1256"/>
      <x:c r="DT62" s="1256"/>
      <x:c r="DU62" s="1256"/>
      <x:c r="DV62" s="1257"/>
      <x:c r="DW62" s="1255"/>
      <x:c r="DX62" s="1256"/>
      <x:c r="DY62" s="1256"/>
      <x:c r="DZ62" s="1256"/>
      <x:c r="EA62" s="1484"/>
      <x:c r="EB62" s="1549"/>
      <x:c r="EC62" s="1550"/>
      <x:c r="ED62" s="361"/>
      <x:c r="EE62" s="486"/>
      <x:c r="EF62" s="1"/>
    </x:row>
    <x:row r="63" spans="1:136" s="75" customFormat="1" ht="13.5" customHeight="1" thickBot="1" x14ac:dyDescent="0.25">
      <x:c r="B63" s="1348" t="e">
        <x:v>#REF!</x:v>
      </x:c>
      <x:c r="C63" s="1349">
        <x:v>0</x:v>
      </x:c>
      <x:c r="D63" s="1350">
        <x:v>0</x:v>
      </x:c>
      <x:c r="E63" s="481" t="s">
        <x:v>462</x:v>
      </x:c>
      <x:c r="F63" s="1055" t="e">
        <x:f t="shared" si="39"/>
        <x:v>#REF!</x:v>
      </x:c>
      <x:c r="G63" s="1055" t="e">
        <x:f t="shared" si="24"/>
        <x:v>#REF!</x:v>
      </x:c>
      <x:c r="H63" s="1055" t="e">
        <x:f t="shared" si="25"/>
        <x:v>#REF!</x:v>
      </x:c>
      <x:c r="I63" s="1056" t="e">
        <x:f t="shared" si="26"/>
        <x:v>#REF!</x:v>
      </x:c>
      <x:c r="J63" s="1055" t="e">
        <x:f t="shared" si="27"/>
        <x:v>#REF!</x:v>
      </x:c>
      <x:c r="K63" s="1063" t="e">
        <x:f t="shared" si="28"/>
        <x:v>#REF!</x:v>
      </x:c>
      <x:c r="L63" s="1012">
        <x:f t="shared" ca="1" si="29"/>
        <x:v>19.488033898115699</x:v>
      </x:c>
      <x:c r="M63" s="941">
        <x:f t="shared" ca="1" si="30"/>
        <x:v>42.963709292463825</x:v>
      </x:c>
      <x:c r="N63" s="1027" t="e">
        <x:f>(-#REF!*COS($F$18*PI()/180)*$F$21-#REF!*COS($I$18*PI()/180)*$I$21)*$N$99*$C$25*1000/9.81/$O$47*$D$193*#REF!-$N$47/$O$47*$C$20*$F$21</x:f>
        <x:v>#REF!</x:v>
      </x:c>
      <x:c r="O63" s="936" t="e">
        <x:f>(SQRT(((-#REF!*SIN($F$18*PI()/180)*$F$21+#REF!*SIN($I$18*PI()/180)*$I$21)*$C$25*1000)^2+(0.001*$C$25*1000*$F$21)^2)/$C$30+(-#REF!*COS($F$18*PI()/180)*$F$21-#REF!*COS($I$18*PI()/180)*$I$21)*$C$25*1000)/9.81*$O$99/$O$47*$F$193*#REF!-$N$47/$O$47*$C$20*$F$21</x:f>
        <x:v>#REF!</x:v>
      </x:c>
      <x:c r="P63" s="199" t="e">
        <x:f>(-#REF!*COS($F$18*PI()/180)*$F$21-#REF!*COS($I$18*PI()/180)*$I$21)*$N$99*$C$25*1000/9.81/$Q$47*$D$193*#REF!-$P$47/$Q$47*$C$20*$F$21</x:f>
        <x:v>#REF!</x:v>
      </x:c>
      <x:c r="Q63" s="164" t="e">
        <x:f>(SQRT(((-#REF!*SIN($F$18*PI()/180)*$F$21+#REF!*SIN($I$18*PI()/180)*$I$21)*$C$25*1000)^2+(0.001*$C$25*1000*$F$21)^2)/$C$30+(-#REF!*COS($F$18*PI()/180)*$F$21-#REF!*COS($I$18*PI()/180)*$I$21)*$C$25*1000)/9.81*$O$99/$Q$47*$F$193*#REF!-$P$47/$Q$47*$C$20*$F$21</x:f>
        <x:v>#REF!</x:v>
      </x:c>
      <x:c r="R63" s="199" t="e">
        <x:f>(-#REF!*COS($F$18*PI()/180)*$F$21-#REF!*COS($I$18*PI()/180)*$I$21)*$N$99*$C$25*1000/9.81/$S$47*$D$193*#REF!-$R$47/$S$47*$C$20*$F$21</x:f>
        <x:v>#REF!</x:v>
      </x:c>
      <x:c r="S63" s="164" t="e">
        <x:f>(SQRT(((-#REF!*SIN($F$18*PI()/180)*$F$21+#REF!*SIN($I$18*PI()/180)*$I$21)*$C$25*1000)^2+(0.001*$C$25*1000*$F$21)^2)/$C$30+(-#REF!*COS($F$18*PI()/180)*$F$21-#REF!*COS($I$18*PI()/180)*$I$21)*$C$25*1000)/9.81*$O$99/$S$47*$F$193*#REF!-$R$47/$S$47*$C$20*$F$21</x:f>
        <x:v>#REF!</x:v>
      </x:c>
      <x:c r="T63" s="199" t="e">
        <x:f>(-#REF!*COS($F$18*PI()/180)*$F$21-#REF!*COS($I$18*PI()/180)*$I$21)*$N$99*$C$25*1000/9.81/$U$47*$D$193*#REF!-$T$47/$U$47*$C$20*$F$21</x:f>
        <x:v>#REF!</x:v>
      </x:c>
      <x:c r="U63" s="164" t="e">
        <x:f>(SQRT(((-#REF!*SIN($F$18*PI()/180)*$F$21+#REF!*SIN($I$18*PI()/180)*$I$21)*$C$25*1000)^2+(0.001*$C$25*1000*$F$21)^2)/$C$30+(-#REF!*COS($F$18*PI()/180)*$F$21-#REF!*COS($I$18*PI()/180)*$I$21)*$C$25*1000)/9.81*$O$99/$U$47*$F$193*#REF!-$T$47/$U$47*$C$20*$F$21</x:f>
        <x:v>#REF!</x:v>
      </x:c>
      <x:c r="V63" s="199" t="e">
        <x:f>(-#REF!*COS($F$18*PI()/180)*$F$21-#REF!*COS($I$18*PI()/180)*$I$21)*$N$99*$C$25*1000/9.81/$W$47*$D$193*#REF!-$V$47/$W$47*$C$20*$F$21</x:f>
        <x:v>#REF!</x:v>
      </x:c>
      <x:c r="W63" s="164" t="e">
        <x:f>(SQRT(((-#REF!*SIN($F$18*PI()/180)*$F$21+#REF!*SIN($I$18*PI()/180)*$I$21)*$C$25*1000)^2+(0.001*$C$25*1000*$F$21)^2)/$C$30+(-#REF!*COS($F$18*PI()/180)*$F$21-#REF!*COS($I$18*PI()/180)*$I$21)*$C$25*1000)/9.81*$O$99/$W$47*$F$193*#REF!-$V$47/$W$47*$C$20*$F$21</x:f>
        <x:v>#REF!</x:v>
      </x:c>
      <x:c r="X63" s="199" t="e">
        <x:f>(-#REF!*COS($F$18*PI()/180)*$F$21-#REF!*COS($I$18*PI()/180)*$I$21)*$N$99*$C$25*1000/9.81/$Y$47*$D$193*#REF!-$X$47/$Y$47*$C$20*$F$21</x:f>
        <x:v>#REF!</x:v>
      </x:c>
      <x:c r="Y63" s="164" t="e">
        <x:f>(SQRT(((-#REF!*SIN($F$18*PI()/180)*$F$21+#REF!*SIN($I$18*PI()/180)*$I$21)*$C$25*1000)^2+(0.001*$C$25*1000*$F$21)^2)/$C$30+(-#REF!*COS($F$18*PI()/180)*$F$21-#REF!*COS($I$18*PI()/180)*$I$21)*$C$25*1000)/9.81*$O$99/$Y$47*$F$193*#REF!-$X$47/$Y$47*$C$20*$F$21</x:f>
        <x:v>#REF!</x:v>
      </x:c>
      <x:c r="Z63" s="199">
        <x:f ca="1">(-'int. presets cp_10d+wd'!J29*COS($F$18*PI()/180)*$F$21-'int. presets cp_10d+wd'!J38*COS($I$18*PI()/180)*$I$21)*$N$99*$C$25*1000/9.81/$AA$47*$D$193*'int. presets cp_10d+wd'!$J$246-$Z$47/$AA$47*$C$20*$F$21</x:f>
        <x:v>11.81745910177742</x:v>
      </x:c>
      <x:c r="AA63" s="1028">
        <x:f ca="1">(SQRT(((-'int. presets cp_10d+wd'!E29*SIN($F$18*PI()/180)*$F$21+'int. presets cp_10d+wd'!E38*SIN($I$18*PI()/180)*$I$21)*$C$25*1000)^2+(0.001*$C$25*1000*$F$21)^2)/$C$30+(-'int. presets cp_10d+wd'!E29*COS($F$18*PI()/180)*$F$21-'int. presets cp_10d+wd'!E38*COS($I$18*PI()/180)*$I$21)*$C$25*1000)/9.81*$O$99/$AA$47*$F$193*'int. presets cp_10d+wd'!$E$246-$Z$47/$AA$47*$C$20*$F$21</x:f>
        <x:v>19.488033898115699</x:v>
      </x:c>
      <x:c r="AB63" s="18"/>
      <x:c r="AC63" s="153"/>
      <x:c r="AD63" s="20"/>
      <x:c r="AE63" s="1549"/>
      <x:c r="AF63" s="1550"/>
      <x:c r="AG63" s="1303" t="str">
        <x:f>AL51</x:f>
        <x:v>Inner row
Interior modules</x:v>
      </x:c>
      <x:c r="AH63" s="1250"/>
      <x:c r="AI63" s="1250"/>
      <x:c r="AJ63" s="1250"/>
      <x:c r="AK63" s="1251"/>
      <x:c r="AL63" s="1249" t="str">
        <x:f>AL32</x:f>
        <x:v>Inner row
Interior modules</x:v>
      </x:c>
      <x:c r="AM63" s="1250"/>
      <x:c r="AN63" s="1250"/>
      <x:c r="AO63" s="1250"/>
      <x:c r="AP63" s="1251"/>
      <x:c r="AQ63" s="1240" t="str">
        <x:f>AQ32</x:f>
        <x:v>Inner row
1st-4th module</x:v>
      </x:c>
      <x:c r="AR63" s="1241"/>
      <x:c r="AS63" s="1241"/>
      <x:c r="AT63" s="1241"/>
      <x:c r="AU63" s="1242"/>
      <x:c r="AV63" s="1276" t="str">
        <x:f>AV32</x:f>
        <x:v>Inner row
Interior modules</x:v>
      </x:c>
      <x:c r="AW63" s="1277"/>
      <x:c r="AX63" s="1277"/>
      <x:c r="AY63" s="1277"/>
      <x:c r="AZ63" s="1278"/>
      <x:c r="BA63" s="1285" t="str">
        <x:f>BA32</x:f>
        <x:v>Inner row
1st-4th module</x:v>
      </x:c>
      <x:c r="BB63" s="1286"/>
      <x:c r="BC63" s="1286"/>
      <x:c r="BD63" s="1286"/>
      <x:c r="BE63" s="1287"/>
      <x:c r="BF63" s="1294" t="str">
        <x:f>BF32</x:f>
        <x:v>Inner row
Interior modules</x:v>
      </x:c>
      <x:c r="BG63" s="1295"/>
      <x:c r="BH63" s="1295"/>
      <x:c r="BI63" s="1295"/>
      <x:c r="BJ63" s="1296"/>
      <x:c r="BK63" s="1486" t="str">
        <x:f>BK32</x:f>
        <x:v>Inner row
1st-4th module</x:v>
      </x:c>
      <x:c r="BL63" s="1487"/>
      <x:c r="BM63" s="1487"/>
      <x:c r="BN63" s="1487"/>
      <x:c r="BO63" s="1488"/>
      <x:c r="BP63" s="1267" t="str">
        <x:f>BP43</x:f>
        <x:v>Inner row
Interior modules</x:v>
      </x:c>
      <x:c r="BQ63" s="1268"/>
      <x:c r="BR63" s="1268"/>
      <x:c r="BS63" s="1268"/>
      <x:c r="BT63" s="1269"/>
      <x:c r="BU63" s="1258" t="str">
        <x:f>BU43</x:f>
        <x:v>Inner row
1st-4th module</x:v>
      </x:c>
      <x:c r="BV63" s="1259"/>
      <x:c r="BW63" s="1259"/>
      <x:c r="BX63" s="1259"/>
      <x:c r="BY63" s="1260"/>
      <x:c r="BZ63" s="1549"/>
      <x:c r="CA63" s="1550"/>
      <x:c r="CB63" s="361"/>
      <x:c r="CC63" s="486"/>
      <x:c r="CD63" s="1"/>
      <x:c r="CE63" s="153"/>
      <x:c r="CF63" s="20"/>
      <x:c r="CG63" s="1549"/>
      <x:c r="CH63" s="1550"/>
      <x:c r="CI63" s="1645" t="str">
        <x:f t="shared" ref="CI63" si="49">BU63</x:f>
        <x:v>Inner row
1st-4th module</x:v>
      </x:c>
      <x:c r="CJ63" s="1259"/>
      <x:c r="CK63" s="1259"/>
      <x:c r="CL63" s="1259"/>
      <x:c r="CM63" s="1646"/>
      <x:c r="CN63" s="1267" t="str">
        <x:f t="shared" ref="CN63" si="50">BP63</x:f>
        <x:v>Inner row
Interior modules</x:v>
      </x:c>
      <x:c r="CO63" s="1268"/>
      <x:c r="CP63" s="1268"/>
      <x:c r="CQ63" s="1268"/>
      <x:c r="CR63" s="1269"/>
      <x:c r="CS63" s="1572" t="str">
        <x:f t="shared" ref="CS63" si="51">BK63</x:f>
        <x:v>Inner row
1st-4th module</x:v>
      </x:c>
      <x:c r="CT63" s="1573"/>
      <x:c r="CU63" s="1573"/>
      <x:c r="CV63" s="1573"/>
      <x:c r="CW63" s="1574"/>
      <x:c r="CX63" s="1294" t="str">
        <x:f t="shared" ref="CX63" si="52">BF63</x:f>
        <x:v>Inner row
Interior modules</x:v>
      </x:c>
      <x:c r="CY63" s="1295"/>
      <x:c r="CZ63" s="1295"/>
      <x:c r="DA63" s="1295"/>
      <x:c r="DB63" s="1296"/>
      <x:c r="DC63" s="1285" t="str">
        <x:f t="shared" ref="DC63" si="53">BA63</x:f>
        <x:v>Inner row
1st-4th module</x:v>
      </x:c>
      <x:c r="DD63" s="1286"/>
      <x:c r="DE63" s="1286"/>
      <x:c r="DF63" s="1286"/>
      <x:c r="DG63" s="1287"/>
      <x:c r="DH63" s="1276" t="str">
        <x:f t="shared" ref="DH63" si="54">AV63</x:f>
        <x:v>Inner row
Interior modules</x:v>
      </x:c>
      <x:c r="DI63" s="1277"/>
      <x:c r="DJ63" s="1277"/>
      <x:c r="DK63" s="1277"/>
      <x:c r="DL63" s="1278"/>
      <x:c r="DM63" s="1240" t="str">
        <x:f t="shared" ref="DM63" si="55">AQ63</x:f>
        <x:v>Inner row
1st-4th module</x:v>
      </x:c>
      <x:c r="DN63" s="1241"/>
      <x:c r="DO63" s="1241"/>
      <x:c r="DP63" s="1241"/>
      <x:c r="DQ63" s="1242"/>
      <x:c r="DR63" s="1249" t="str">
        <x:f t="shared" ref="DR63" si="56">AL63</x:f>
        <x:v>Inner row
Interior modules</x:v>
      </x:c>
      <x:c r="DS63" s="1250"/>
      <x:c r="DT63" s="1250"/>
      <x:c r="DU63" s="1250"/>
      <x:c r="DV63" s="1251"/>
      <x:c r="DW63" s="1249" t="str">
        <x:f t="shared" ref="DW63" si="57">AG63</x:f>
        <x:v>Inner row
Interior modules</x:v>
      </x:c>
      <x:c r="DX63" s="1250"/>
      <x:c r="DY63" s="1250"/>
      <x:c r="DZ63" s="1250"/>
      <x:c r="EA63" s="1482"/>
      <x:c r="EB63" s="1549"/>
      <x:c r="EC63" s="1550"/>
      <x:c r="ED63" s="361"/>
      <x:c r="EE63" s="486"/>
      <x:c r="EF63" s="1"/>
    </x:row>
    <x:row r="64" spans="1:136" s="75" customFormat="1" ht="13.5" customHeight="1" x14ac:dyDescent="0.2">
      <x:c r="B64" s="1345" t="s">
        <x:v>464</x:v>
      </x:c>
      <x:c r="C64" s="1346">
        <x:v>0</x:v>
      </x:c>
      <x:c r="D64" s="1347" t="s">
        <x:v>464</x:v>
      </x:c>
      <x:c r="E64" s="479" t="s">
        <x:v>461</x:v>
      </x:c>
      <x:c r="F64" s="1057" t="e">
        <x:f t="shared" si="39"/>
        <x:v>#REF!</x:v>
      </x:c>
      <x:c r="G64" s="1057" t="e">
        <x:f t="shared" si="24"/>
        <x:v>#REF!</x:v>
      </x:c>
      <x:c r="H64" s="1057" t="e">
        <x:f t="shared" si="25"/>
        <x:v>#REF!</x:v>
      </x:c>
      <x:c r="I64" s="1054" t="e">
        <x:f t="shared" si="26"/>
        <x:v>#REF!</x:v>
      </x:c>
      <x:c r="J64" s="1057" t="e">
        <x:f t="shared" si="27"/>
        <x:v>#REF!</x:v>
      </x:c>
      <x:c r="K64" s="1064" t="e">
        <x:f t="shared" si="28"/>
        <x:v>#REF!</x:v>
      </x:c>
      <x:c r="L64" s="1011">
        <x:f t="shared" ca="1" si="29"/>
        <x:v>19.488033898115699</x:v>
      </x:c>
      <x:c r="M64" s="940">
        <x:f t="shared" ca="1" si="30"/>
        <x:v>42.963709292463825</x:v>
      </x:c>
      <x:c r="N64" s="1025" t="e">
        <x:f>(-#REF!*COS($F$18*PI()/180)*$F$21-#REF!*COS($I$18*PI()/180)*$I$21)*$N$99*$C$25*1000/9.81/$O$47*$D$193*#REF!-$N$47/$O$47*$C$20*$F$21</x:f>
        <x:v>#REF!</x:v>
      </x:c>
      <x:c r="O64" s="75" t="e">
        <x:f>(SQRT(((-#REF!*SIN($F$18*PI()/180)*$F$21+#REF!*SIN($I$18*PI()/180)*$I$21)*$C$25*1000)^2+(0.001*$C$25*1000*$F$21)^2)/$C$30+(-#REF!*COS($F$18*PI()/180)*$F$21-#REF!*COS($I$18*PI()/180)*$I$21)*$C$25*1000)/9.81*$O$99/$O$47*$F$193*#REF!-$N$47/$O$47*$C$20*$F$21</x:f>
        <x:v>#REF!</x:v>
      </x:c>
      <x:c r="P64" s="161" t="e">
        <x:f>(-#REF!*COS($F$18*PI()/180)*$F$21-#REF!*COS($I$18*PI()/180)*$I$21)*$N$99*$C$25*1000/9.81/$Q$47*$D$193*#REF!-$P$47/$Q$47*$C$20*$F$21</x:f>
        <x:v>#REF!</x:v>
      </x:c>
      <x:c r="Q64" s="162" t="e">
        <x:f>(SQRT(((-#REF!*SIN($F$18*PI()/180)*$F$21+#REF!*SIN($I$18*PI()/180)*$I$21)*$C$25*1000)^2+(0.001*$C$25*1000*$F$21)^2)/$C$30+(-#REF!*COS($F$18*PI()/180)*$F$21-#REF!*COS($I$18*PI()/180)*$I$21)*$C$25*1000)/9.81*$O$99/$Q$47*$F$193*#REF!-$P$47/$Q$47*$C$20*$F$21</x:f>
        <x:v>#REF!</x:v>
      </x:c>
      <x:c r="R64" s="161" t="e">
        <x:f>(-#REF!*COS($F$18*PI()/180)*$F$21-#REF!*COS($I$18*PI()/180)*$I$21)*$N$99*$C$25*1000/9.81/$S$47*$D$193*#REF!-$R$47/$S$47*$C$20*$F$21</x:f>
        <x:v>#REF!</x:v>
      </x:c>
      <x:c r="S64" s="162" t="e">
        <x:f>(SQRT(((-#REF!*SIN($F$18*PI()/180)*$F$21+#REF!*SIN($I$18*PI()/180)*$I$21)*$C$25*1000)^2+(0.001*$C$25*1000*$F$21)^2)/$C$30+(-#REF!*COS($F$18*PI()/180)*$F$21-#REF!*COS($I$18*PI()/180)*$I$21)*$C$25*1000)/9.81*$O$99/$S$47*$F$193*#REF!-$R$47/$S$47*$C$20*$F$21</x:f>
        <x:v>#REF!</x:v>
      </x:c>
      <x:c r="T64" s="161" t="e">
        <x:f>(-#REF!*COS($F$18*PI()/180)*$F$21-#REF!*COS($I$18*PI()/180)*$I$21)*$N$99*$C$25*1000/9.81/$U$47*$D$193*#REF!-$T$47/$U$47*$C$20*$F$21</x:f>
        <x:v>#REF!</x:v>
      </x:c>
      <x:c r="U64" s="162" t="e">
        <x:f>(SQRT(((-#REF!*SIN($F$18*PI()/180)*$F$21+#REF!*SIN($I$18*PI()/180)*$I$21)*$C$25*1000)^2+(0.001*$C$25*1000*$F$21)^2)/$C$30+(-#REF!*COS($F$18*PI()/180)*$F$21-#REF!*COS($I$18*PI()/180)*$I$21)*$C$25*1000)/9.81*$O$99/$U$47*$F$193*#REF!-$T$47/$U$47*$C$20*$F$21</x:f>
        <x:v>#REF!</x:v>
      </x:c>
      <x:c r="V64" s="161" t="e">
        <x:f>(-#REF!*COS($F$18*PI()/180)*$F$21-#REF!*COS($I$18*PI()/180)*$I$21)*$N$99*$C$25*1000/9.81/$W$47*$D$193*#REF!-$V$47/$W$47*$C$20*$F$21</x:f>
        <x:v>#REF!</x:v>
      </x:c>
      <x:c r="W64" s="162" t="e">
        <x:f>(SQRT(((-#REF!*SIN($F$18*PI()/180)*$F$21+#REF!*SIN($I$18*PI()/180)*$I$21)*$C$25*1000)^2+(0.001*$C$25*1000*$F$21)^2)/$C$30+(-#REF!*COS($F$18*PI()/180)*$F$21-#REF!*COS($I$18*PI()/180)*$I$21)*$C$25*1000)/9.81*$O$99/$W$47*$F$193*#REF!-$V$47/$W$47*$C$20*$F$21</x:f>
        <x:v>#REF!</x:v>
      </x:c>
      <x:c r="X64" s="161" t="e">
        <x:f>(-#REF!*COS($F$18*PI()/180)*$F$21-#REF!*COS($I$18*PI()/180)*$I$21)*$N$99*$C$25*1000/9.81/$Y$47*$D$193*#REF!-$X$47/$Y$47*$C$20*$F$21</x:f>
        <x:v>#REF!</x:v>
      </x:c>
      <x:c r="Y64" s="162" t="e">
        <x:f>(SQRT(((-#REF!*SIN($F$18*PI()/180)*$F$21+#REF!*SIN($I$18*PI()/180)*$I$21)*$C$25*1000)^2+(0.001*$C$25*1000*$F$21)^2)/$C$30+(-#REF!*COS($F$18*PI()/180)*$F$21-#REF!*COS($I$18*PI()/180)*$I$21)*$C$25*1000)/9.81*$O$99/$Y$47*$F$193*#REF!-$X$47/$Y$47*$C$20*$F$21</x:f>
        <x:v>#REF!</x:v>
      </x:c>
      <x:c r="Z64" s="161">
        <x:f ca="1">(-'int. presets cp_10d+wd'!J30*COS($F$18*PI()/180)*$F$21-'int. presets cp_10d+wd'!J39*COS($I$18*PI()/180)*$I$21)*$N$99*$C$25*1000/9.81/$AA$47*$D$193*'int. presets cp_10d+wd'!$J$246-$Z$47/$AA$47*$C$20*$F$21</x:f>
        <x:v>8.6446183341023932</x:v>
      </x:c>
      <x:c r="AA64" s="1030">
        <x:f ca="1">(SQRT(((-'int. presets cp_10d+wd'!E30*SIN($F$18*PI()/180)*$F$21+'int. presets cp_10d+wd'!E39*SIN($I$18*PI()/180)*$I$21)*$C$25*1000)^2+(0.001*$C$25*1000*$F$21)^2)/$C$30+(-'int. presets cp_10d+wd'!E30*COS($F$18*PI()/180)*$F$21-'int. presets cp_10d+wd'!E39*COS($I$18*PI()/180)*$I$21)*$C$25*1000)/9.81*$O$99/$AA$47*$F$193*'int. presets cp_10d+wd'!$E$246-$Z$47/$AA$47*$C$20*$F$21</x:f>
        <x:v>19.488033898115699</x:v>
      </x:c>
      <x:c r="AB64" s="18"/>
      <x:c r="AC64" s="153"/>
      <x:c r="AD64" s="20"/>
      <x:c r="AE64" s="1549"/>
      <x:c r="AF64" s="1550"/>
      <x:c r="AG64" s="1304"/>
      <x:c r="AH64" s="1253"/>
      <x:c r="AI64" s="1253"/>
      <x:c r="AJ64" s="1253"/>
      <x:c r="AK64" s="1254"/>
      <x:c r="AL64" s="1252"/>
      <x:c r="AM64" s="1253"/>
      <x:c r="AN64" s="1253"/>
      <x:c r="AO64" s="1253"/>
      <x:c r="AP64" s="1254"/>
      <x:c r="AQ64" s="1243"/>
      <x:c r="AR64" s="1244"/>
      <x:c r="AS64" s="1244"/>
      <x:c r="AT64" s="1244"/>
      <x:c r="AU64" s="1245"/>
      <x:c r="AV64" s="1279"/>
      <x:c r="AW64" s="1280"/>
      <x:c r="AX64" s="1280"/>
      <x:c r="AY64" s="1280"/>
      <x:c r="AZ64" s="1281"/>
      <x:c r="BA64" s="1288"/>
      <x:c r="BB64" s="1289"/>
      <x:c r="BC64" s="1289"/>
      <x:c r="BD64" s="1289"/>
      <x:c r="BE64" s="1290"/>
      <x:c r="BF64" s="1297"/>
      <x:c r="BG64" s="1298"/>
      <x:c r="BH64" s="1298"/>
      <x:c r="BI64" s="1298"/>
      <x:c r="BJ64" s="1299"/>
      <x:c r="BK64" s="1489"/>
      <x:c r="BL64" s="1490"/>
      <x:c r="BM64" s="1490"/>
      <x:c r="BN64" s="1490"/>
      <x:c r="BO64" s="1491"/>
      <x:c r="BP64" s="1270"/>
      <x:c r="BQ64" s="1271"/>
      <x:c r="BR64" s="1271"/>
      <x:c r="BS64" s="1271"/>
      <x:c r="BT64" s="1272"/>
      <x:c r="BU64" s="1261"/>
      <x:c r="BV64" s="1262"/>
      <x:c r="BW64" s="1262"/>
      <x:c r="BX64" s="1262"/>
      <x:c r="BY64" s="1263"/>
      <x:c r="BZ64" s="1549"/>
      <x:c r="CA64" s="1550"/>
      <x:c r="CB64" s="361"/>
      <x:c r="CC64" s="486"/>
      <x:c r="CD64" s="1"/>
      <x:c r="CE64" s="153"/>
      <x:c r="CF64" s="20"/>
      <x:c r="CG64" s="1549"/>
      <x:c r="CH64" s="1550"/>
      <x:c r="CI64" s="1647"/>
      <x:c r="CJ64" s="1262"/>
      <x:c r="CK64" s="1262"/>
      <x:c r="CL64" s="1262"/>
      <x:c r="CM64" s="1648"/>
      <x:c r="CN64" s="1270"/>
      <x:c r="CO64" s="1271"/>
      <x:c r="CP64" s="1271"/>
      <x:c r="CQ64" s="1271"/>
      <x:c r="CR64" s="1272"/>
      <x:c r="CS64" s="1575"/>
      <x:c r="CT64" s="1576"/>
      <x:c r="CU64" s="1576"/>
      <x:c r="CV64" s="1576"/>
      <x:c r="CW64" s="1577"/>
      <x:c r="CX64" s="1297"/>
      <x:c r="CY64" s="1298"/>
      <x:c r="CZ64" s="1298"/>
      <x:c r="DA64" s="1298"/>
      <x:c r="DB64" s="1299"/>
      <x:c r="DC64" s="1288"/>
      <x:c r="DD64" s="1289"/>
      <x:c r="DE64" s="1289"/>
      <x:c r="DF64" s="1289"/>
      <x:c r="DG64" s="1290"/>
      <x:c r="DH64" s="1279"/>
      <x:c r="DI64" s="1280"/>
      <x:c r="DJ64" s="1280"/>
      <x:c r="DK64" s="1280"/>
      <x:c r="DL64" s="1281"/>
      <x:c r="DM64" s="1243"/>
      <x:c r="DN64" s="1244"/>
      <x:c r="DO64" s="1244"/>
      <x:c r="DP64" s="1244"/>
      <x:c r="DQ64" s="1245"/>
      <x:c r="DR64" s="1252"/>
      <x:c r="DS64" s="1253"/>
      <x:c r="DT64" s="1253"/>
      <x:c r="DU64" s="1253"/>
      <x:c r="DV64" s="1254"/>
      <x:c r="DW64" s="1252"/>
      <x:c r="DX64" s="1253"/>
      <x:c r="DY64" s="1253"/>
      <x:c r="DZ64" s="1253"/>
      <x:c r="EA64" s="1483"/>
      <x:c r="EB64" s="1549"/>
      <x:c r="EC64" s="1550"/>
      <x:c r="ED64" s="361"/>
      <x:c r="EE64" s="486"/>
      <x:c r="EF64" s="1"/>
    </x:row>
    <x:row r="65" spans="2:136" s="75" customFormat="1" ht="13.5" customHeight="1" thickBot="1" x14ac:dyDescent="0.25">
      <x:c r="B65" s="1348" t="e">
        <x:v>#REF!</x:v>
      </x:c>
      <x:c r="C65" s="1349">
        <x:v>0</x:v>
      </x:c>
      <x:c r="D65" s="1350">
        <x:v>0</x:v>
      </x:c>
      <x:c r="E65" s="481" t="s">
        <x:v>462</x:v>
      </x:c>
      <x:c r="F65" s="1055" t="e">
        <x:f t="shared" si="39"/>
        <x:v>#REF!</x:v>
      </x:c>
      <x:c r="G65" s="1055" t="e">
        <x:f t="shared" si="24"/>
        <x:v>#REF!</x:v>
      </x:c>
      <x:c r="H65" s="1055" t="e">
        <x:f t="shared" si="25"/>
        <x:v>#REF!</x:v>
      </x:c>
      <x:c r="I65" s="1056" t="e">
        <x:f t="shared" si="26"/>
        <x:v>#REF!</x:v>
      </x:c>
      <x:c r="J65" s="1055" t="e">
        <x:f t="shared" si="27"/>
        <x:v>#REF!</x:v>
      </x:c>
      <x:c r="K65" s="1063" t="e">
        <x:f t="shared" si="28"/>
        <x:v>#REF!</x:v>
      </x:c>
      <x:c r="L65" s="1012">
        <x:f t="shared" ca="1" si="29"/>
        <x:v>19.488033898115699</x:v>
      </x:c>
      <x:c r="M65" s="941">
        <x:f t="shared" ca="1" si="30"/>
        <x:v>42.963709292463825</x:v>
      </x:c>
      <x:c r="N65" s="1027" t="e">
        <x:f>(-#REF!*COS($F$18*PI()/180)*$F$21-#REF!*COS($I$18*PI()/180)*$I$21)*$N$99*$C$25*1000/9.81/$O$47*$D$193*#REF!-$N$47/$O$47*$C$20*$F$21</x:f>
        <x:v>#REF!</x:v>
      </x:c>
      <x:c r="O65" s="936" t="e">
        <x:f>(SQRT(((-#REF!*SIN($F$18*PI()/180)*$F$21+#REF!*SIN($I$18*PI()/180)*$I$21)*$C$25*1000)^2+(0.001*$C$25*1000*$F$21)^2)/$C$30+(-#REF!*COS($F$18*PI()/180)*$F$21-#REF!*COS($I$18*PI()/180)*$I$21)*$C$25*1000)/9.81*$O$99/$O$47*$F$193*#REF!-$N$47/$O$47*$C$20*$F$21</x:f>
        <x:v>#REF!</x:v>
      </x:c>
      <x:c r="P65" s="199" t="e">
        <x:f>(-#REF!*COS($F$18*PI()/180)*$F$21-#REF!*COS($I$18*PI()/180)*$I$21)*$N$99*$C$25*1000/9.81/$Q$47*$D$193*#REF!-$P$47/$Q$47*$C$20*$F$21</x:f>
        <x:v>#REF!</x:v>
      </x:c>
      <x:c r="Q65" s="164" t="e">
        <x:f>(SQRT(((-#REF!*SIN($F$18*PI()/180)*$F$21+#REF!*SIN($I$18*PI()/180)*$I$21)*$C$25*1000)^2+(0.001*$C$25*1000*$F$21)^2)/$C$30+(-#REF!*COS($F$18*PI()/180)*$F$21-#REF!*COS($I$18*PI()/180)*$I$21)*$C$25*1000)/9.81*$O$99/$Q$47*$F$193*#REF!-$P$47/$Q$47*$C$20*$F$21</x:f>
        <x:v>#REF!</x:v>
      </x:c>
      <x:c r="R65" s="199" t="e">
        <x:f>(-#REF!*COS($F$18*PI()/180)*$F$21-#REF!*COS($I$18*PI()/180)*$I$21)*$N$99*$C$25*1000/9.81/$S$47*$D$193*#REF!-$R$47/$S$47*$C$20*$F$21</x:f>
        <x:v>#REF!</x:v>
      </x:c>
      <x:c r="S65" s="164" t="e">
        <x:f>(SQRT(((-#REF!*SIN($F$18*PI()/180)*$F$21+#REF!*SIN($I$18*PI()/180)*$I$21)*$C$25*1000)^2+(0.001*$C$25*1000*$F$21)^2)/$C$30+(-#REF!*COS($F$18*PI()/180)*$F$21-#REF!*COS($I$18*PI()/180)*$I$21)*$C$25*1000)/9.81*$O$99/$S$47*$F$193*#REF!-$R$47/$S$47*$C$20*$F$21</x:f>
        <x:v>#REF!</x:v>
      </x:c>
      <x:c r="T65" s="199" t="e">
        <x:f>(-#REF!*COS($F$18*PI()/180)*$F$21-#REF!*COS($I$18*PI()/180)*$I$21)*$N$99*$C$25*1000/9.81/$U$47*$D$193*#REF!-$T$47/$U$47*$C$20*$F$21</x:f>
        <x:v>#REF!</x:v>
      </x:c>
      <x:c r="U65" s="164" t="e">
        <x:f>(SQRT(((-#REF!*SIN($F$18*PI()/180)*$F$21+#REF!*SIN($I$18*PI()/180)*$I$21)*$C$25*1000)^2+(0.001*$C$25*1000*$F$21)^2)/$C$30+(-#REF!*COS($F$18*PI()/180)*$F$21-#REF!*COS($I$18*PI()/180)*$I$21)*$C$25*1000)/9.81*$O$99/$U$47*$F$193*#REF!-$T$47/$U$47*$C$20*$F$21</x:f>
        <x:v>#REF!</x:v>
      </x:c>
      <x:c r="V65" s="199" t="e">
        <x:f>(-#REF!*COS($F$18*PI()/180)*$F$21-#REF!*COS($I$18*PI()/180)*$I$21)*$N$99*$C$25*1000/9.81/$W$47*$D$193*#REF!-$V$47/$W$47*$C$20*$F$21</x:f>
        <x:v>#REF!</x:v>
      </x:c>
      <x:c r="W65" s="164" t="e">
        <x:f>(SQRT(((-#REF!*SIN($F$18*PI()/180)*$F$21+#REF!*SIN($I$18*PI()/180)*$I$21)*$C$25*1000)^2+(0.001*$C$25*1000*$F$21)^2)/$C$30+(-#REF!*COS($F$18*PI()/180)*$F$21-#REF!*COS($I$18*PI()/180)*$I$21)*$C$25*1000)/9.81*$O$99/$W$47*$F$193*#REF!-$V$47/$W$47*$C$20*$F$21</x:f>
        <x:v>#REF!</x:v>
      </x:c>
      <x:c r="X65" s="199" t="e">
        <x:f>(-#REF!*COS($F$18*PI()/180)*$F$21-#REF!*COS($I$18*PI()/180)*$I$21)*$N$99*$C$25*1000/9.81/$Y$47*$D$193*#REF!-$X$47/$Y$47*$C$20*$F$21</x:f>
        <x:v>#REF!</x:v>
      </x:c>
      <x:c r="Y65" s="164" t="e">
        <x:f>(SQRT(((-#REF!*SIN($F$18*PI()/180)*$F$21+#REF!*SIN($I$18*PI()/180)*$I$21)*$C$25*1000)^2+(0.001*$C$25*1000*$F$21)^2)/$C$30+(-#REF!*COS($F$18*PI()/180)*$F$21-#REF!*COS($I$18*PI()/180)*$I$21)*$C$25*1000)/9.81*$O$99/$Y$47*$F$193*#REF!-$X$47/$Y$47*$C$20*$F$21</x:f>
        <x:v>#REF!</x:v>
      </x:c>
      <x:c r="Z65" s="199">
        <x:f ca="1">(-'int. presets cp_10d+wd'!J31*COS($F$18*PI()/180)*$F$21-'int. presets cp_10d+wd'!J40*COS($I$18*PI()/180)*$I$21)*$N$99*$C$25*1000/9.81/$AA$47*$D$193*'int. presets cp_10d+wd'!$J$246-$Z$47/$AA$47*$C$20*$F$21</x:f>
        <x:v>14.832138406884415</x:v>
      </x:c>
      <x:c r="AA65" s="1028">
        <x:f ca="1">(SQRT(((-'int. presets cp_10d+wd'!E31*SIN($F$18*PI()/180)*$F$21+'int. presets cp_10d+wd'!E40*SIN($I$18*PI()/180)*$I$21)*$C$25*1000)^2+(0.001*$C$25*1000*$F$21)^2)/$C$30+(-'int. presets cp_10d+wd'!E31*COS($F$18*PI()/180)*$F$21-'int. presets cp_10d+wd'!E40*COS($I$18*PI()/180)*$I$21)*$C$25*1000)/9.81*$O$99/$AA$47*$F$193*'int. presets cp_10d+wd'!$E$246-$Z$47/$AA$47*$C$20*$F$21</x:f>
        <x:v>19.488033898115699</x:v>
      </x:c>
      <x:c r="AB65" s="18"/>
      <x:c r="AC65" s="153"/>
      <x:c r="AD65" s="20"/>
      <x:c r="AE65" s="1549"/>
      <x:c r="AF65" s="1550"/>
      <x:c r="AG65" s="1305"/>
      <x:c r="AH65" s="1256"/>
      <x:c r="AI65" s="1256"/>
      <x:c r="AJ65" s="1256"/>
      <x:c r="AK65" s="1257"/>
      <x:c r="AL65" s="1255"/>
      <x:c r="AM65" s="1256"/>
      <x:c r="AN65" s="1256"/>
      <x:c r="AO65" s="1256"/>
      <x:c r="AP65" s="1257"/>
      <x:c r="AQ65" s="1246"/>
      <x:c r="AR65" s="1247"/>
      <x:c r="AS65" s="1247"/>
      <x:c r="AT65" s="1247"/>
      <x:c r="AU65" s="1248"/>
      <x:c r="AV65" s="1282"/>
      <x:c r="AW65" s="1283"/>
      <x:c r="AX65" s="1283"/>
      <x:c r="AY65" s="1283"/>
      <x:c r="AZ65" s="1284"/>
      <x:c r="BA65" s="1291"/>
      <x:c r="BB65" s="1292"/>
      <x:c r="BC65" s="1292"/>
      <x:c r="BD65" s="1292"/>
      <x:c r="BE65" s="1293"/>
      <x:c r="BF65" s="1300"/>
      <x:c r="BG65" s="1301"/>
      <x:c r="BH65" s="1301"/>
      <x:c r="BI65" s="1301"/>
      <x:c r="BJ65" s="1302"/>
      <x:c r="BK65" s="1492"/>
      <x:c r="BL65" s="1493"/>
      <x:c r="BM65" s="1493"/>
      <x:c r="BN65" s="1493"/>
      <x:c r="BO65" s="1494"/>
      <x:c r="BP65" s="1273"/>
      <x:c r="BQ65" s="1274"/>
      <x:c r="BR65" s="1274"/>
      <x:c r="BS65" s="1274"/>
      <x:c r="BT65" s="1275"/>
      <x:c r="BU65" s="1264"/>
      <x:c r="BV65" s="1265"/>
      <x:c r="BW65" s="1265"/>
      <x:c r="BX65" s="1265"/>
      <x:c r="BY65" s="1266"/>
      <x:c r="BZ65" s="1549"/>
      <x:c r="CA65" s="1550"/>
      <x:c r="CB65" s="361"/>
      <x:c r="CC65" s="486"/>
      <x:c r="CD65" s="1"/>
      <x:c r="CE65" s="153"/>
      <x:c r="CF65" s="20"/>
      <x:c r="CG65" s="1549"/>
      <x:c r="CH65" s="1550"/>
      <x:c r="CI65" s="1649"/>
      <x:c r="CJ65" s="1265"/>
      <x:c r="CK65" s="1265"/>
      <x:c r="CL65" s="1265"/>
      <x:c r="CM65" s="1650"/>
      <x:c r="CN65" s="1273"/>
      <x:c r="CO65" s="1274"/>
      <x:c r="CP65" s="1274"/>
      <x:c r="CQ65" s="1274"/>
      <x:c r="CR65" s="1275"/>
      <x:c r="CS65" s="1599"/>
      <x:c r="CT65" s="1600"/>
      <x:c r="CU65" s="1600"/>
      <x:c r="CV65" s="1600"/>
      <x:c r="CW65" s="1601"/>
      <x:c r="CX65" s="1300"/>
      <x:c r="CY65" s="1301"/>
      <x:c r="CZ65" s="1301"/>
      <x:c r="DA65" s="1301"/>
      <x:c r="DB65" s="1302"/>
      <x:c r="DC65" s="1291"/>
      <x:c r="DD65" s="1292"/>
      <x:c r="DE65" s="1292"/>
      <x:c r="DF65" s="1292"/>
      <x:c r="DG65" s="1293"/>
      <x:c r="DH65" s="1282"/>
      <x:c r="DI65" s="1283"/>
      <x:c r="DJ65" s="1283"/>
      <x:c r="DK65" s="1283"/>
      <x:c r="DL65" s="1284"/>
      <x:c r="DM65" s="1246"/>
      <x:c r="DN65" s="1247"/>
      <x:c r="DO65" s="1247"/>
      <x:c r="DP65" s="1247"/>
      <x:c r="DQ65" s="1248"/>
      <x:c r="DR65" s="1255"/>
      <x:c r="DS65" s="1256"/>
      <x:c r="DT65" s="1256"/>
      <x:c r="DU65" s="1256"/>
      <x:c r="DV65" s="1257"/>
      <x:c r="DW65" s="1255"/>
      <x:c r="DX65" s="1256"/>
      <x:c r="DY65" s="1256"/>
      <x:c r="DZ65" s="1256"/>
      <x:c r="EA65" s="1484"/>
      <x:c r="EB65" s="1549"/>
      <x:c r="EC65" s="1550"/>
      <x:c r="ED65" s="361"/>
      <x:c r="EE65" s="486"/>
      <x:c r="EF65" s="1"/>
    </x:row>
    <x:row r="66" spans="2:136" s="75" customFormat="1" ht="13.5" customHeight="1" x14ac:dyDescent="0.2">
      <x:c r="B66" s="1345" t="s">
        <x:v>465</x:v>
      </x:c>
      <x:c r="C66" s="1346">
        <x:v>0</x:v>
      </x:c>
      <x:c r="D66" s="1347" t="s">
        <x:v>465</x:v>
      </x:c>
      <x:c r="E66" s="479" t="s">
        <x:v>461</x:v>
      </x:c>
      <x:c r="F66" s="1057" t="e">
        <x:f t="shared" si="39"/>
        <x:v>#REF!</x:v>
      </x:c>
      <x:c r="G66" s="1057" t="e">
        <x:f t="shared" si="24"/>
        <x:v>#REF!</x:v>
      </x:c>
      <x:c r="H66" s="1057" t="e">
        <x:f t="shared" si="25"/>
        <x:v>#REF!</x:v>
      </x:c>
      <x:c r="I66" s="1054" t="e">
        <x:f t="shared" si="26"/>
        <x:v>#REF!</x:v>
      </x:c>
      <x:c r="J66" s="1057" t="e">
        <x:f t="shared" si="27"/>
        <x:v>#REF!</x:v>
      </x:c>
      <x:c r="K66" s="1064" t="e">
        <x:f t="shared" si="28"/>
        <x:v>#REF!</x:v>
      </x:c>
      <x:c r="L66" s="1011">
        <x:f t="shared" ca="1" si="29"/>
        <x:v>19.488033898115699</x:v>
      </x:c>
      <x:c r="M66" s="940">
        <x:f t="shared" ca="1" si="30"/>
        <x:v>42.963709292463825</x:v>
      </x:c>
      <x:c r="N66" s="1025" t="e">
        <x:f>(-#REF!*COS($F$18*PI()/180)*$F$21-#REF!*COS($I$18*PI()/180)*$I$21)*$N$99*$C$25*1000/9.81/$O$47*$D$193*#REF!-$N$47/$O$47*$C$20*$F$21</x:f>
        <x:v>#REF!</x:v>
      </x:c>
      <x:c r="O66" s="75" t="e">
        <x:f>(SQRT(((-#REF!*SIN($F$18*PI()/180)*$F$21+#REF!*SIN($I$18*PI()/180)*$I$21)*$C$25*1000)^2+(0.001*$C$25*1000*$F$21)^2)/$C$30+(-#REF!*COS($F$18*PI()/180)*$F$21-#REF!*COS($I$18*PI()/180)*$I$21)*$C$25*1000)/9.81*$O$99/$O$47*$F$193*#REF!-$N$47/$O$47*$C$20*$F$21</x:f>
        <x:v>#REF!</x:v>
      </x:c>
      <x:c r="P66" s="161" t="e">
        <x:f>(-#REF!*COS($F$18*PI()/180)*$F$21-#REF!*COS($I$18*PI()/180)*$I$21)*$N$99*$C$25*1000/9.81/$Q$47*$D$193*#REF!-$P$47/$Q$47*$C$20*$F$21</x:f>
        <x:v>#REF!</x:v>
      </x:c>
      <x:c r="Q66" s="198" t="e">
        <x:f>(SQRT(((-#REF!*SIN($F$18*PI()/180)*$F$21+#REF!*SIN($I$18*PI()/180)*$I$21)*$C$25*1000)^2+(0.001*$C$25*1000*$F$21)^2)/$C$30+(-#REF!*COS($F$18*PI()/180)*$F$21-#REF!*COS($I$18*PI()/180)*$I$21)*$C$25*1000)/9.81*$O$99/$Q$47*$F$193*#REF!-$P$47/$Q$47*$C$20*$F$21</x:f>
        <x:v>#REF!</x:v>
      </x:c>
      <x:c r="R66" s="161" t="e">
        <x:f>(-#REF!*COS($F$18*PI()/180)*$F$21-#REF!*COS($I$18*PI()/180)*$I$21)*$N$99*$C$25*1000/9.81/$S$47*$D$193*#REF!-$R$47/$S$47*$C$20*$F$21</x:f>
        <x:v>#REF!</x:v>
      </x:c>
      <x:c r="S66" s="198" t="e">
        <x:f>(SQRT(((-#REF!*SIN($F$18*PI()/180)*$F$21+#REF!*SIN($I$18*PI()/180)*$I$21)*$C$25*1000)^2+(0.001*$C$25*1000*$F$21)^2)/$C$30+(-#REF!*COS($F$18*PI()/180)*$F$21-#REF!*COS($I$18*PI()/180)*$I$21)*$C$25*1000)/9.81*$O$99/$S$47*$F$193*#REF!-$R$47/$S$47*$C$20*$F$21</x:f>
        <x:v>#REF!</x:v>
      </x:c>
      <x:c r="T66" s="161" t="e">
        <x:f>(-#REF!*COS($F$18*PI()/180)*$F$21-#REF!*COS($I$18*PI()/180)*$I$21)*$N$99*$C$25*1000/9.81/$U$47*$D$193*#REF!-$T$47/$U$47*$C$20*$F$21</x:f>
        <x:v>#REF!</x:v>
      </x:c>
      <x:c r="U66" s="198" t="e">
        <x:f>(SQRT(((-#REF!*SIN($F$18*PI()/180)*$F$21+#REF!*SIN($I$18*PI()/180)*$I$21)*$C$25*1000)^2+(0.001*$C$25*1000*$F$21)^2)/$C$30+(-#REF!*COS($F$18*PI()/180)*$F$21-#REF!*COS($I$18*PI()/180)*$I$21)*$C$25*1000)/9.81*$O$99/$U$47*$F$193*#REF!-$T$47/$U$47*$C$20*$F$21</x:f>
        <x:v>#REF!</x:v>
      </x:c>
      <x:c r="V66" s="161" t="e">
        <x:f>(-#REF!*COS($F$18*PI()/180)*$F$21-#REF!*COS($I$18*PI()/180)*$I$21)*$N$99*$C$25*1000/9.81/$W$47*$D$193*#REF!-$V$47/$W$47*$C$20*$F$21</x:f>
        <x:v>#REF!</x:v>
      </x:c>
      <x:c r="W66" s="198" t="e">
        <x:f>(SQRT(((-#REF!*SIN($F$18*PI()/180)*$F$21+#REF!*SIN($I$18*PI()/180)*$I$21)*$C$25*1000)^2+(0.001*$C$25*1000*$F$21)^2)/$C$30+(-#REF!*COS($F$18*PI()/180)*$F$21-#REF!*COS($I$18*PI()/180)*$I$21)*$C$25*1000)/9.81*$O$99/$W$47*$F$193*#REF!-$V$47/$W$47*$C$20*$F$21</x:f>
        <x:v>#REF!</x:v>
      </x:c>
      <x:c r="X66" s="161" t="e">
        <x:f>(-#REF!*COS($F$18*PI()/180)*$F$21-#REF!*COS($I$18*PI()/180)*$I$21)*$N$99*$C$25*1000/9.81/$Y$47*$D$193*#REF!-$X$47/$Y$47*$C$20*$F$21</x:f>
        <x:v>#REF!</x:v>
      </x:c>
      <x:c r="Y66" s="198" t="e">
        <x:f>(SQRT(((-#REF!*SIN($F$18*PI()/180)*$F$21+#REF!*SIN($I$18*PI()/180)*$I$21)*$C$25*1000)^2+(0.001*$C$25*1000*$F$21)^2)/$C$30+(-#REF!*COS($F$18*PI()/180)*$F$21-#REF!*COS($I$18*PI()/180)*$I$21)*$C$25*1000)/9.81*$O$99/$Y$47*$F$193*#REF!-$X$47/$Y$47*$C$20*$F$21</x:f>
        <x:v>#REF!</x:v>
      </x:c>
      <x:c r="Z66" s="161">
        <x:f ca="1">(-'int. presets cp_10d+wd'!J32*COS($F$18*PI()/180)*$F$21-'int. presets cp_10d+wd'!J41*COS($I$18*PI()/180)*$I$21)*$N$99*$C$25*1000/9.81/$AA$47*$D$193*'int. presets cp_10d+wd'!$J$246-$Z$47/$AA$47*$C$20*$F$21</x:f>
        <x:v>1.6805789555751112</x:v>
      </x:c>
      <x:c r="AA66" s="1026">
        <x:f ca="1">(SQRT(((-'int. presets cp_10d+wd'!E32*SIN($F$18*PI()/180)*$F$21+'int. presets cp_10d+wd'!E41*SIN($I$18*PI()/180)*$I$21)*$C$25*1000)^2+(0.001*$C$25*1000*$F$21)^2)/$C$30+(-'int. presets cp_10d+wd'!E32*COS($F$18*PI()/180)*$F$21-'int. presets cp_10d+wd'!E41*COS($I$18*PI()/180)*$I$21)*$C$25*1000)/9.81*$O$99/$AA$47*$F$193*'int. presets cp_10d+wd'!$E$246-$Z$47/$AA$47*$C$20*$F$21</x:f>
        <x:v>19.488033898115699</x:v>
      </x:c>
      <x:c r="AB66" s="18"/>
      <x:c r="AC66" s="153"/>
      <x:c r="AD66" s="20"/>
      <x:c r="AE66" s="1549"/>
      <x:c r="AF66" s="1550"/>
      <x:c r="AG66" s="1303" t="str">
        <x:f>AL66</x:f>
        <x:v>South row
Interior modules</x:v>
      </x:c>
      <x:c r="AH66" s="1250"/>
      <x:c r="AI66" s="1250"/>
      <x:c r="AJ66" s="1250"/>
      <x:c r="AK66" s="1251"/>
      <x:c r="AL66" s="1249" t="str">
        <x:f>CONCATENATE(B145,CHAR(10),E146)</x:f>
        <x:v>South row
Interior modules</x:v>
      </x:c>
      <x:c r="AM66" s="1250"/>
      <x:c r="AN66" s="1250"/>
      <x:c r="AO66" s="1250"/>
      <x:c r="AP66" s="1251"/>
      <x:c r="AQ66" s="1240" t="str">
        <x:f>CONCATENATE(B145,CHAR(10),E145)</x:f>
        <x:v>South row
1st-4th module</x:v>
      </x:c>
      <x:c r="AR66" s="1241"/>
      <x:c r="AS66" s="1241"/>
      <x:c r="AT66" s="1241"/>
      <x:c r="AU66" s="1242"/>
      <x:c r="AV66" s="1276" t="str">
        <x:f>CONCATENATE(B136,CHAR(10),E137)</x:f>
        <x:v>South row
Interior modules</x:v>
      </x:c>
      <x:c r="AW66" s="1277"/>
      <x:c r="AX66" s="1277"/>
      <x:c r="AY66" s="1277"/>
      <x:c r="AZ66" s="1278"/>
      <x:c r="BA66" s="1285" t="str">
        <x:f>CONCATENATE(B136,CHAR(10),E136)</x:f>
        <x:v>South row
1st-4th module</x:v>
      </x:c>
      <x:c r="BB66" s="1286"/>
      <x:c r="BC66" s="1286"/>
      <x:c r="BD66" s="1286"/>
      <x:c r="BE66" s="1287"/>
      <x:c r="BF66" s="1294" t="str">
        <x:f>CONCATENATE(B127,CHAR(10),E128)</x:f>
        <x:v>South row
Interior modules</x:v>
      </x:c>
      <x:c r="BG66" s="1295"/>
      <x:c r="BH66" s="1295"/>
      <x:c r="BI66" s="1295"/>
      <x:c r="BJ66" s="1296"/>
      <x:c r="BK66" s="1486" t="str">
        <x:f>CONCATENATE(B127,CHAR(10),E127)</x:f>
        <x:v>South row
1st-4th module</x:v>
      </x:c>
      <x:c r="BL66" s="1487"/>
      <x:c r="BM66" s="1487"/>
      <x:c r="BN66" s="1487"/>
      <x:c r="BO66" s="1488"/>
      <x:c r="BP66" s="1267" t="str">
        <x:f>CONCATENATE(B118,CHAR(10),E119)</x:f>
        <x:v>South row
Interior modules</x:v>
      </x:c>
      <x:c r="BQ66" s="1268"/>
      <x:c r="BR66" s="1268"/>
      <x:c r="BS66" s="1268"/>
      <x:c r="BT66" s="1269"/>
      <x:c r="BU66" s="1258" t="str">
        <x:f>CONCATENATE(B118,CHAR(10),E118)</x:f>
        <x:v>South row
1st-4th module</x:v>
      </x:c>
      <x:c r="BV66" s="1259"/>
      <x:c r="BW66" s="1259"/>
      <x:c r="BX66" s="1259"/>
      <x:c r="BY66" s="1260"/>
      <x:c r="BZ66" s="1549"/>
      <x:c r="CA66" s="1550"/>
      <x:c r="CB66" s="361"/>
      <x:c r="CC66" s="486"/>
      <x:c r="CD66" s="1"/>
      <x:c r="CE66" s="153"/>
      <x:c r="CF66" s="20"/>
      <x:c r="CG66" s="1549"/>
      <x:c r="CH66" s="1550"/>
      <x:c r="CI66" s="1645" t="str">
        <x:f t="shared" ref="CI66" si="58">BU66</x:f>
        <x:v>South row
1st-4th module</x:v>
      </x:c>
      <x:c r="CJ66" s="1259"/>
      <x:c r="CK66" s="1259"/>
      <x:c r="CL66" s="1259"/>
      <x:c r="CM66" s="1646"/>
      <x:c r="CN66" s="1267" t="str">
        <x:f t="shared" ref="CN66" si="59">BP66</x:f>
        <x:v>South row
Interior modules</x:v>
      </x:c>
      <x:c r="CO66" s="1268"/>
      <x:c r="CP66" s="1268"/>
      <x:c r="CQ66" s="1268"/>
      <x:c r="CR66" s="1269"/>
      <x:c r="CS66" s="1572" t="str">
        <x:f t="shared" ref="CS66" si="60">BK66</x:f>
        <x:v>South row
1st-4th module</x:v>
      </x:c>
      <x:c r="CT66" s="1573"/>
      <x:c r="CU66" s="1573"/>
      <x:c r="CV66" s="1573"/>
      <x:c r="CW66" s="1574"/>
      <x:c r="CX66" s="1294" t="str">
        <x:f t="shared" ref="CX66" si="61">BF66</x:f>
        <x:v>South row
Interior modules</x:v>
      </x:c>
      <x:c r="CY66" s="1295"/>
      <x:c r="CZ66" s="1295"/>
      <x:c r="DA66" s="1295"/>
      <x:c r="DB66" s="1296"/>
      <x:c r="DC66" s="1285" t="str">
        <x:f t="shared" ref="DC66" si="62">BA66</x:f>
        <x:v>South row
1st-4th module</x:v>
      </x:c>
      <x:c r="DD66" s="1286"/>
      <x:c r="DE66" s="1286"/>
      <x:c r="DF66" s="1286"/>
      <x:c r="DG66" s="1287"/>
      <x:c r="DH66" s="1276" t="str">
        <x:f t="shared" ref="DH66" si="63">AV66</x:f>
        <x:v>South row
Interior modules</x:v>
      </x:c>
      <x:c r="DI66" s="1277"/>
      <x:c r="DJ66" s="1277"/>
      <x:c r="DK66" s="1277"/>
      <x:c r="DL66" s="1278"/>
      <x:c r="DM66" s="1240" t="str">
        <x:f t="shared" ref="DM66" si="64">AQ66</x:f>
        <x:v>South row
1st-4th module</x:v>
      </x:c>
      <x:c r="DN66" s="1241"/>
      <x:c r="DO66" s="1241"/>
      <x:c r="DP66" s="1241"/>
      <x:c r="DQ66" s="1242"/>
      <x:c r="DR66" s="1249" t="str">
        <x:f t="shared" ref="DR66" si="65">AL66</x:f>
        <x:v>South row
Interior modules</x:v>
      </x:c>
      <x:c r="DS66" s="1250"/>
      <x:c r="DT66" s="1250"/>
      <x:c r="DU66" s="1250"/>
      <x:c r="DV66" s="1251"/>
      <x:c r="DW66" s="1249" t="str">
        <x:f t="shared" ref="DW66" si="66">AG66</x:f>
        <x:v>South row
Interior modules</x:v>
      </x:c>
      <x:c r="DX66" s="1250"/>
      <x:c r="DY66" s="1250"/>
      <x:c r="DZ66" s="1250"/>
      <x:c r="EA66" s="1482"/>
      <x:c r="EB66" s="1549"/>
      <x:c r="EC66" s="1550"/>
      <x:c r="ED66" s="361"/>
      <x:c r="EE66" s="486"/>
      <x:c r="EF66" s="1"/>
    </x:row>
    <x:row r="67" spans="2:136" s="75" customFormat="1" ht="13.5" customHeight="1" thickBot="1" x14ac:dyDescent="0.25">
      <x:c r="B67" s="1351" t="e">
        <x:v>#REF!</x:v>
      </x:c>
      <x:c r="C67" s="1352">
        <x:v>0</x:v>
      </x:c>
      <x:c r="D67" s="1353">
        <x:v>0</x:v>
      </x:c>
      <x:c r="E67" s="989" t="s">
        <x:v>462</x:v>
      </x:c>
      <x:c r="F67" s="1055" t="e">
        <x:f t="shared" si="39"/>
        <x:v>#REF!</x:v>
      </x:c>
      <x:c r="G67" s="1055" t="e">
        <x:f t="shared" si="24"/>
        <x:v>#REF!</x:v>
      </x:c>
      <x:c r="H67" s="1055" t="e">
        <x:f t="shared" si="25"/>
        <x:v>#REF!</x:v>
      </x:c>
      <x:c r="I67" s="1056" t="e">
        <x:f t="shared" si="26"/>
        <x:v>#REF!</x:v>
      </x:c>
      <x:c r="J67" s="1055" t="e">
        <x:f t="shared" si="27"/>
        <x:v>#REF!</x:v>
      </x:c>
      <x:c r="K67" s="1063" t="e">
        <x:f t="shared" si="28"/>
        <x:v>#REF!</x:v>
      </x:c>
      <x:c r="L67" s="1013">
        <x:f t="shared" ca="1" si="29"/>
        <x:v>19.488033898115699</x:v>
      </x:c>
      <x:c r="M67" s="990">
        <x:f t="shared" ca="1" si="30"/>
        <x:v>42.963709292463825</x:v>
      </x:c>
      <x:c r="N67" s="1029" t="e">
        <x:f>(-#REF!*COS($F$18*PI()/180)*$F$21-#REF!*COS($I$18*PI()/180)*$I$21)*$N$99*$C$25*1000/9.81/$O$47*$D$193*#REF!-$N$47/$O$47*$C$20*$F$21</x:f>
        <x:v>#REF!</x:v>
      </x:c>
      <x:c r="O67" s="991" t="e">
        <x:f>(SQRT(((-#REF!*SIN($F$18*PI()/180)*$F$21+#REF!*SIN($I$18*PI()/180)*$I$21)*$C$25*1000)^2+(0.001*$C$25*1000*$F$21)^2)/$C$30+(-#REF!*COS($F$18*PI()/180)*$F$21-#REF!*COS($I$18*PI()/180)*$I$21)*$C$25*1000)/9.81*$O$99/$O$47*$F$193*#REF!-$N$47/$O$47*$C$20*$F$21</x:f>
        <x:v>#REF!</x:v>
      </x:c>
      <x:c r="P67" s="161" t="e">
        <x:f>(-#REF!*COS($F$18*PI()/180)*$F$21-#REF!*COS($I$18*PI()/180)*$I$21)*$N$99*$C$25*1000/9.81/$Q$47*$D$193*#REF!-$P$47/$Q$47*$C$20*$F$21</x:f>
        <x:v>#REF!</x:v>
      </x:c>
      <x:c r="Q67" s="162" t="e">
        <x:f>(SQRT(((-#REF!*SIN($F$18*PI()/180)*$F$21+#REF!*SIN($I$18*PI()/180)*$I$21)*$C$25*1000)^2+(0.001*$C$25*1000*$F$21)^2)/$C$30+(-#REF!*COS($F$18*PI()/180)*$F$21-#REF!*COS($I$18*PI()/180)*$I$21)*$C$25*1000)/9.81*$O$99/$Q$47*$F$193*#REF!-$P$47/$Q$47*$C$20*$F$21</x:f>
        <x:v>#REF!</x:v>
      </x:c>
      <x:c r="R67" s="161" t="e">
        <x:f>(-#REF!*COS($F$18*PI()/180)*$F$21-#REF!*COS($I$18*PI()/180)*$I$21)*$N$99*$C$25*1000/9.81/$S$47*$D$193*#REF!-$R$47/$S$47*$C$20*$F$21</x:f>
        <x:v>#REF!</x:v>
      </x:c>
      <x:c r="S67" s="162" t="e">
        <x:f>(SQRT(((-#REF!*SIN($F$18*PI()/180)*$F$21+#REF!*SIN($I$18*PI()/180)*$I$21)*$C$25*1000)^2+(0.001*$C$25*1000*$F$21)^2)/$C$30+(-#REF!*COS($F$18*PI()/180)*$F$21-#REF!*COS($I$18*PI()/180)*$I$21)*$C$25*1000)/9.81*$O$99/$S$47*$F$193*#REF!-$R$47/$S$47*$C$20*$F$21</x:f>
        <x:v>#REF!</x:v>
      </x:c>
      <x:c r="T67" s="161" t="e">
        <x:f>(-#REF!*COS($F$18*PI()/180)*$F$21-#REF!*COS($I$18*PI()/180)*$I$21)*$N$99*$C$25*1000/9.81/$U$47*$D$193*#REF!-$T$47/$U$47*$C$20*$F$21</x:f>
        <x:v>#REF!</x:v>
      </x:c>
      <x:c r="U67" s="162" t="e">
        <x:f>(SQRT(((-#REF!*SIN($F$18*PI()/180)*$F$21+#REF!*SIN($I$18*PI()/180)*$I$21)*$C$25*1000)^2+(0.001*$C$25*1000*$F$21)^2)/$C$30+(-#REF!*COS($F$18*PI()/180)*$F$21-#REF!*COS($I$18*PI()/180)*$I$21)*$C$25*1000)/9.81*$O$99/$U$47*$F$193*#REF!-$T$47/$U$47*$C$20*$F$21</x:f>
        <x:v>#REF!</x:v>
      </x:c>
      <x:c r="V67" s="161" t="e">
        <x:f>(-#REF!*COS($F$18*PI()/180)*$F$21-#REF!*COS($I$18*PI()/180)*$I$21)*$N$99*$C$25*1000/9.81/$W$47*$D$193*#REF!-$V$47/$W$47*$C$20*$F$21</x:f>
        <x:v>#REF!</x:v>
      </x:c>
      <x:c r="W67" s="162" t="e">
        <x:f>(SQRT(((-#REF!*SIN($F$18*PI()/180)*$F$21+#REF!*SIN($I$18*PI()/180)*$I$21)*$C$25*1000)^2+(0.001*$C$25*1000*$F$21)^2)/$C$30+(-#REF!*COS($F$18*PI()/180)*$F$21-#REF!*COS($I$18*PI()/180)*$I$21)*$C$25*1000)/9.81*$O$99/$W$47*$F$193*#REF!-$V$47/$W$47*$C$20*$F$21</x:f>
        <x:v>#REF!</x:v>
      </x:c>
      <x:c r="X67" s="161" t="e">
        <x:f>(-#REF!*COS($F$18*PI()/180)*$F$21-#REF!*COS($I$18*PI()/180)*$I$21)*$N$99*$C$25*1000/9.81/$Y$47*$D$193*#REF!-$X$47/$Y$47*$C$20*$F$21</x:f>
        <x:v>#REF!</x:v>
      </x:c>
      <x:c r="Y67" s="162" t="e">
        <x:f>(SQRT(((-#REF!*SIN($F$18*PI()/180)*$F$21+#REF!*SIN($I$18*PI()/180)*$I$21)*$C$25*1000)^2+(0.001*$C$25*1000*$F$21)^2)/$C$30+(-#REF!*COS($F$18*PI()/180)*$F$21-#REF!*COS($I$18*PI()/180)*$I$21)*$C$25*1000)/9.81*$O$99/$Y$47*$F$193*#REF!-$X$47/$Y$47*$C$20*$F$21</x:f>
        <x:v>#REF!</x:v>
      </x:c>
      <x:c r="Z67" s="161">
        <x:f ca="1">(-'int. presets cp_10d+wd'!J33*COS($F$18*PI()/180)*$F$21-'int. presets cp_10d+wd'!J42*COS($I$18*PI()/180)*$I$21)*$N$99*$C$25*1000/9.81/$AA$47*$D$193*'int. presets cp_10d+wd'!$J$246-$Z$47/$AA$47*$C$20*$F$21</x:f>
        <x:v>11.09538467790237</x:v>
      </x:c>
      <x:c r="AA67" s="1030">
        <x:f ca="1">(SQRT(((-'int. presets cp_10d+wd'!E33*SIN($F$18*PI()/180)*$F$21+'int. presets cp_10d+wd'!E42*SIN($I$18*PI()/180)*$I$21)*$C$25*1000)^2+(0.001*$C$25*1000*$F$21)^2)/$C$30+(-'int. presets cp_10d+wd'!E33*COS($F$18*PI()/180)*$F$21-'int. presets cp_10d+wd'!E42*COS($I$18*PI()/180)*$I$21)*$C$25*1000)/9.81*$O$99/$AA$47*$F$193*'int. presets cp_10d+wd'!$E$246-$Z$47/$AA$47*$C$20*$F$21</x:f>
        <x:v>19.488033898115699</x:v>
      </x:c>
      <x:c r="AB67" s="18"/>
      <x:c r="AC67" s="153"/>
      <x:c r="AD67" s="20"/>
      <x:c r="AE67" s="1549"/>
      <x:c r="AF67" s="1550"/>
      <x:c r="AG67" s="1304"/>
      <x:c r="AH67" s="1253"/>
      <x:c r="AI67" s="1253"/>
      <x:c r="AJ67" s="1253"/>
      <x:c r="AK67" s="1254"/>
      <x:c r="AL67" s="1252"/>
      <x:c r="AM67" s="1253"/>
      <x:c r="AN67" s="1253"/>
      <x:c r="AO67" s="1253"/>
      <x:c r="AP67" s="1254"/>
      <x:c r="AQ67" s="1243"/>
      <x:c r="AR67" s="1244"/>
      <x:c r="AS67" s="1244"/>
      <x:c r="AT67" s="1244"/>
      <x:c r="AU67" s="1245"/>
      <x:c r="AV67" s="1279"/>
      <x:c r="AW67" s="1280"/>
      <x:c r="AX67" s="1280"/>
      <x:c r="AY67" s="1280"/>
      <x:c r="AZ67" s="1281"/>
      <x:c r="BA67" s="1288"/>
      <x:c r="BB67" s="1289"/>
      <x:c r="BC67" s="1289"/>
      <x:c r="BD67" s="1289"/>
      <x:c r="BE67" s="1290"/>
      <x:c r="BF67" s="1297"/>
      <x:c r="BG67" s="1298"/>
      <x:c r="BH67" s="1298"/>
      <x:c r="BI67" s="1298"/>
      <x:c r="BJ67" s="1299"/>
      <x:c r="BK67" s="1489"/>
      <x:c r="BL67" s="1490"/>
      <x:c r="BM67" s="1490"/>
      <x:c r="BN67" s="1490"/>
      <x:c r="BO67" s="1491"/>
      <x:c r="BP67" s="1270"/>
      <x:c r="BQ67" s="1271"/>
      <x:c r="BR67" s="1271"/>
      <x:c r="BS67" s="1271"/>
      <x:c r="BT67" s="1272"/>
      <x:c r="BU67" s="1261"/>
      <x:c r="BV67" s="1262"/>
      <x:c r="BW67" s="1262"/>
      <x:c r="BX67" s="1262"/>
      <x:c r="BY67" s="1263"/>
      <x:c r="BZ67" s="1549"/>
      <x:c r="CA67" s="1550"/>
      <x:c r="CB67" s="361"/>
      <x:c r="CC67" s="486"/>
      <x:c r="CD67" s="1"/>
      <x:c r="CE67" s="153"/>
      <x:c r="CF67" s="20"/>
      <x:c r="CG67" s="1549"/>
      <x:c r="CH67" s="1550"/>
      <x:c r="CI67" s="1647"/>
      <x:c r="CJ67" s="1262"/>
      <x:c r="CK67" s="1262"/>
      <x:c r="CL67" s="1262"/>
      <x:c r="CM67" s="1648"/>
      <x:c r="CN67" s="1270"/>
      <x:c r="CO67" s="1271"/>
      <x:c r="CP67" s="1271"/>
      <x:c r="CQ67" s="1271"/>
      <x:c r="CR67" s="1272"/>
      <x:c r="CS67" s="1575"/>
      <x:c r="CT67" s="1576"/>
      <x:c r="CU67" s="1576"/>
      <x:c r="CV67" s="1576"/>
      <x:c r="CW67" s="1577"/>
      <x:c r="CX67" s="1297"/>
      <x:c r="CY67" s="1298"/>
      <x:c r="CZ67" s="1298"/>
      <x:c r="DA67" s="1298"/>
      <x:c r="DB67" s="1299"/>
      <x:c r="DC67" s="1288"/>
      <x:c r="DD67" s="1289"/>
      <x:c r="DE67" s="1289"/>
      <x:c r="DF67" s="1289"/>
      <x:c r="DG67" s="1290"/>
      <x:c r="DH67" s="1279"/>
      <x:c r="DI67" s="1280"/>
      <x:c r="DJ67" s="1280"/>
      <x:c r="DK67" s="1280"/>
      <x:c r="DL67" s="1281"/>
      <x:c r="DM67" s="1243"/>
      <x:c r="DN67" s="1244"/>
      <x:c r="DO67" s="1244"/>
      <x:c r="DP67" s="1244"/>
      <x:c r="DQ67" s="1245"/>
      <x:c r="DR67" s="1252"/>
      <x:c r="DS67" s="1253"/>
      <x:c r="DT67" s="1253"/>
      <x:c r="DU67" s="1253"/>
      <x:c r="DV67" s="1254"/>
      <x:c r="DW67" s="1252"/>
      <x:c r="DX67" s="1253"/>
      <x:c r="DY67" s="1253"/>
      <x:c r="DZ67" s="1253"/>
      <x:c r="EA67" s="1483"/>
      <x:c r="EB67" s="1549"/>
      <x:c r="EC67" s="1550"/>
      <x:c r="ED67" s="361"/>
      <x:c r="EE67" s="486"/>
      <x:c r="EF67" s="1"/>
    </x:row>
    <x:row r="68" spans="2:136" s="75" customFormat="1" ht="13.5" customHeight="1" thickTop="1" thickBot="1" x14ac:dyDescent="0.25">
      <x:c r="B68" s="1380" t="s">
        <x:v>341</x:v>
      </x:c>
      <x:c r="C68" s="1381"/>
      <x:c r="D68" s="1381"/>
      <x:c r="E68" s="1381"/>
      <x:c r="F68" s="1381"/>
      <x:c r="G68" s="1381"/>
      <x:c r="H68" s="1381"/>
      <x:c r="I68" s="1381"/>
      <x:c r="J68" s="1381"/>
      <x:c r="K68" s="1381"/>
      <x:c r="L68" s="1382"/>
      <x:c r="M68" s="1048"/>
      <x:c r="N68" s="1006"/>
      <x:c r="O68" s="1007"/>
      <x:c r="P68" s="1007"/>
      <x:c r="Q68" s="1007"/>
      <x:c r="R68" s="1007"/>
      <x:c r="S68" s="1007"/>
      <x:c r="T68" s="1007"/>
      <x:c r="U68" s="1007"/>
      <x:c r="V68" s="1007"/>
      <x:c r="W68" s="1007"/>
      <x:c r="X68" s="1007"/>
      <x:c r="Y68" s="1007"/>
      <x:c r="Z68" s="1007"/>
      <x:c r="AA68" s="1010"/>
      <x:c r="AB68" s="18"/>
      <x:c r="AC68" s="492"/>
      <x:c r="AD68" s="20"/>
      <x:c r="AE68" s="1551"/>
      <x:c r="AF68" s="1552"/>
      <x:c r="AG68" s="1316"/>
      <x:c r="AH68" s="1317"/>
      <x:c r="AI68" s="1317"/>
      <x:c r="AJ68" s="1317"/>
      <x:c r="AK68" s="1318"/>
      <x:c r="AL68" s="1328"/>
      <x:c r="AM68" s="1317"/>
      <x:c r="AN68" s="1317"/>
      <x:c r="AO68" s="1317"/>
      <x:c r="AP68" s="1318"/>
      <x:c r="AQ68" s="1560"/>
      <x:c r="AR68" s="1561"/>
      <x:c r="AS68" s="1561"/>
      <x:c r="AT68" s="1561"/>
      <x:c r="AU68" s="1562"/>
      <x:c r="AV68" s="1557"/>
      <x:c r="AW68" s="1558"/>
      <x:c r="AX68" s="1558"/>
      <x:c r="AY68" s="1558"/>
      <x:c r="AZ68" s="1559"/>
      <x:c r="BA68" s="1325"/>
      <x:c r="BB68" s="1326"/>
      <x:c r="BC68" s="1326"/>
      <x:c r="BD68" s="1326"/>
      <x:c r="BE68" s="1327"/>
      <x:c r="BF68" s="1357"/>
      <x:c r="BG68" s="1358"/>
      <x:c r="BH68" s="1358"/>
      <x:c r="BI68" s="1358"/>
      <x:c r="BJ68" s="1359"/>
      <x:c r="BK68" s="1553"/>
      <x:c r="BL68" s="1554"/>
      <x:c r="BM68" s="1554"/>
      <x:c r="BN68" s="1554"/>
      <x:c r="BO68" s="1555"/>
      <x:c r="BP68" s="1611"/>
      <x:c r="BQ68" s="1612"/>
      <x:c r="BR68" s="1612"/>
      <x:c r="BS68" s="1612"/>
      <x:c r="BT68" s="1613"/>
      <x:c r="BU68" s="1626"/>
      <x:c r="BV68" s="1627"/>
      <x:c r="BW68" s="1627"/>
      <x:c r="BX68" s="1627"/>
      <x:c r="BY68" s="1628"/>
      <x:c r="BZ68" s="1551"/>
      <x:c r="CA68" s="1552"/>
      <x:c r="CB68" s="361"/>
      <x:c r="CC68" s="486"/>
      <x:c r="CE68" s="492"/>
      <x:c r="CF68" s="20"/>
      <x:c r="CG68" s="1551"/>
      <x:c r="CH68" s="1552"/>
      <x:c r="CI68" s="1664"/>
      <x:c r="CJ68" s="1627"/>
      <x:c r="CK68" s="1627"/>
      <x:c r="CL68" s="1627"/>
      <x:c r="CM68" s="1665"/>
      <x:c r="CN68" s="1611"/>
      <x:c r="CO68" s="1612"/>
      <x:c r="CP68" s="1612"/>
      <x:c r="CQ68" s="1612"/>
      <x:c r="CR68" s="1613"/>
      <x:c r="CS68" s="1578"/>
      <x:c r="CT68" s="1579"/>
      <x:c r="CU68" s="1579"/>
      <x:c r="CV68" s="1579"/>
      <x:c r="CW68" s="1580"/>
      <x:c r="CX68" s="1357"/>
      <x:c r="CY68" s="1358"/>
      <x:c r="CZ68" s="1358"/>
      <x:c r="DA68" s="1358"/>
      <x:c r="DB68" s="1359"/>
      <x:c r="DC68" s="1325"/>
      <x:c r="DD68" s="1326"/>
      <x:c r="DE68" s="1326"/>
      <x:c r="DF68" s="1326"/>
      <x:c r="DG68" s="1327"/>
      <x:c r="DH68" s="1557"/>
      <x:c r="DI68" s="1558"/>
      <x:c r="DJ68" s="1558"/>
      <x:c r="DK68" s="1558"/>
      <x:c r="DL68" s="1559"/>
      <x:c r="DM68" s="1560"/>
      <x:c r="DN68" s="1561"/>
      <x:c r="DO68" s="1561"/>
      <x:c r="DP68" s="1561"/>
      <x:c r="DQ68" s="1562"/>
      <x:c r="DR68" s="1328"/>
      <x:c r="DS68" s="1317"/>
      <x:c r="DT68" s="1317"/>
      <x:c r="DU68" s="1317"/>
      <x:c r="DV68" s="1318"/>
      <x:c r="DW68" s="1328"/>
      <x:c r="DX68" s="1317"/>
      <x:c r="DY68" s="1317"/>
      <x:c r="DZ68" s="1317"/>
      <x:c r="EA68" s="1651"/>
      <x:c r="EB68" s="1551"/>
      <x:c r="EC68" s="1552"/>
      <x:c r="ED68" s="361"/>
      <x:c r="EE68" s="486"/>
    </x:row>
    <x:row r="69" spans="2:136" s="75" customFormat="1" ht="13.5" customHeight="1" thickTop="1" x14ac:dyDescent="0.2">
      <x:c r="B69" s="1345" t="s">
        <x:v>460</x:v>
      </x:c>
      <x:c r="C69" s="1346">
        <x:v>0</x:v>
      </x:c>
      <x:c r="D69" s="1347">
        <x:v>0</x:v>
      </x:c>
      <x:c r="E69" s="350" t="s">
        <x:v>461</x:v>
      </x:c>
      <x:c r="F69" s="1053" t="e">
        <x:f t="shared" ref="F69:F76" si="67">MAX(N69,O69)</x:f>
        <x:v>#REF!</x:v>
      </x:c>
      <x:c r="G69" s="1053" t="e">
        <x:f t="shared" si="24"/>
        <x:v>#REF!</x:v>
      </x:c>
      <x:c r="H69" s="1053" t="e">
        <x:f t="shared" si="25"/>
        <x:v>#REF!</x:v>
      </x:c>
      <x:c r="I69" s="1061" t="e">
        <x:f t="shared" si="26"/>
        <x:v>#REF!</x:v>
      </x:c>
      <x:c r="J69" s="1053" t="e">
        <x:f t="shared" si="27"/>
        <x:v>#REF!</x:v>
      </x:c>
      <x:c r="K69" s="1062" t="e">
        <x:f t="shared" si="28"/>
        <x:v>#REF!</x:v>
      </x:c>
      <x:c r="L69" s="1011">
        <x:f t="shared" ca="1" si="29"/>
        <x:v>19.654537550997883</x:v>
      </x:c>
      <x:c r="M69" s="940">
        <x:f t="shared" ca="1" si="30"/>
        <x:v>43.330786575680946</x:v>
      </x:c>
      <x:c r="N69" s="1035" t="e">
        <x:f>(-#REF!*COS($F$18*PI()/180)*$F$21-#REF!*COS($I$18*PI()/180)*$I$21)*$N$99*$C$25*1000/9.81/$O$47*$D$193*#REF!-$N$47/$O$47*$C$20*$F$21</x:f>
        <x:v>#REF!</x:v>
      </x:c>
      <x:c r="O69" s="75" t="e">
        <x:f>(SQRT(((-#REF!*SIN($F$18*PI()/180)*$F$21+#REF!*SIN($I$18*PI()/180)*$I$21)*$C$25*1000)^2+(0.001*$C$25*1000*$F$21)^2)/$C$30+(-#REF!*COS($F$18*PI()/180)*$F$21-#REF!*COS($I$18*PI()/180)*$I$21)*$C$25*1000)/9.81*$O$99/$O$47*$F$193*#REF!-$N$47/$O$47*$C$20*$F$21</x:f>
        <x:v>#REF!</x:v>
      </x:c>
      <x:c r="P69" s="181" t="e">
        <x:f>(-#REF!*COS($F$18*PI()/180)*$F$21-#REF!*COS($I$18*PI()/180)*$I$21)*$N$99*$C$25*1000/9.81/$Q$47*$D$193*#REF!-$P$47/$Q$47*$C$20*$F$21</x:f>
        <x:v>#REF!</x:v>
      </x:c>
      <x:c r="Q69" s="198" t="e">
        <x:f>(SQRT(((-#REF!*SIN($F$18*PI()/180)*$F$21+#REF!*SIN($I$18*PI()/180)*$I$21)*$C$25*1000)^2+(0.001*$C$25*1000*$F$21)^2)/$C$30+(-#REF!*COS($F$18*PI()/180)*$F$21-#REF!*COS($I$18*PI()/180)*$I$21)*$C$25*1000)/9.81*$O$99/$Q$47*$F$193*#REF!-$P$47/$Q$47*$C$20*$F$21</x:f>
        <x:v>#REF!</x:v>
      </x:c>
      <x:c r="R69" s="181" t="e">
        <x:f>(-#REF!*COS($F$18*PI()/180)*$F$21-#REF!*COS($I$18*PI()/180)*$I$21)*$N$99*$C$25*1000/9.81/$S$47*$D$193*#REF!-$R$47/$S$47*$C$20*$F$21</x:f>
        <x:v>#REF!</x:v>
      </x:c>
      <x:c r="S69" s="198" t="e">
        <x:f>(SQRT(((-#REF!*SIN($F$18*PI()/180)*$F$21+#REF!*SIN($I$18*PI()/180)*$I$21)*$C$25*1000)^2+(0.001*$C$25*1000*$F$21)^2)/$C$30+(-#REF!*COS($F$18*PI()/180)*$F$21-#REF!*COS($I$18*PI()/180)*$I$21)*$C$25*1000)/9.81*$O$99/$S$47*$F$193*#REF!-$R$47/$S$47*$C$20*$F$21</x:f>
        <x:v>#REF!</x:v>
      </x:c>
      <x:c r="T69" s="181" t="e">
        <x:f>(-#REF!*COS($F$18*PI()/180)*$F$21-#REF!*COS($I$18*PI()/180)*$I$21)*$N$99*$C$25*1000/9.81/$U$47*$D$193*#REF!-$T$47/$U$47*$C$20*$F$21</x:f>
        <x:v>#REF!</x:v>
      </x:c>
      <x:c r="U69" s="198" t="e">
        <x:f>(SQRT(((-#REF!*SIN($F$18*PI()/180)*$F$21+#REF!*SIN($I$18*PI()/180)*$I$21)*$C$25*1000)^2+(0.001*$C$25*1000*$F$21)^2)/$C$30+(-#REF!*COS($F$18*PI()/180)*$F$21-#REF!*COS($I$18*PI()/180)*$I$21)*$C$25*1000)/9.81*$O$99/$U$47*$F$193*#REF!-$T$47/$U$47*$C$20*$F$21</x:f>
        <x:v>#REF!</x:v>
      </x:c>
      <x:c r="V69" s="181" t="e">
        <x:f>(-#REF!*COS($F$18*PI()/180)*$F$21-#REF!*COS($I$18*PI()/180)*$I$21)*$N$99*$C$25*1000/9.81/$W$47*$D$193*#REF!-$V$47/$W$47*$C$20*$F$21</x:f>
        <x:v>#REF!</x:v>
      </x:c>
      <x:c r="W69" s="198" t="e">
        <x:f>(SQRT(((-#REF!*SIN($F$18*PI()/180)*$F$21+#REF!*SIN($I$18*PI()/180)*$I$21)*$C$25*1000)^2+(0.001*$C$25*1000*$F$21)^2)/$C$30+(-#REF!*COS($F$18*PI()/180)*$F$21-#REF!*COS($I$18*PI()/180)*$I$21)*$C$25*1000)/9.81*$O$99/$W$47*$F$193*#REF!-$V$47/$W$47*$C$20*$F$21</x:f>
        <x:v>#REF!</x:v>
      </x:c>
      <x:c r="X69" s="181" t="e">
        <x:f>(-#REF!*COS($F$18*PI()/180)*$F$21-#REF!*COS($I$18*PI()/180)*$I$21)*$N$99*$C$25*1000/9.81/$Y$47*$D$193*#REF!-$X$47/$Y$47*$C$20*$F$21</x:f>
        <x:v>#REF!</x:v>
      </x:c>
      <x:c r="Y69" s="198" t="e">
        <x:f>(SQRT(((-#REF!*SIN($F$18*PI()/180)*$F$21+#REF!*SIN($I$18*PI()/180)*$I$21)*$C$25*1000)^2+(0.001*$C$25*1000*$F$21)^2)/$C$30+(-#REF!*COS($F$18*PI()/180)*$F$21-#REF!*COS($I$18*PI()/180)*$I$21)*$C$25*1000)/9.81*$O$99/$Y$47*$F$193*#REF!-$Y$47/$Y$47*$C$20*$F$21</x:f>
        <x:v>#REF!</x:v>
      </x:c>
      <x:c r="Z69" s="181">
        <x:f ca="1">(-'int. presets cp_10d+wd'!K26*COS($F$18*PI()/180)*$F$21-'int. presets cp_10d+wd'!K35*COS($I$18*PI()/180)*$I$21)*$N$99*$C$25*1000/9.81/$AA$47*$D$193*'int. presets cp_10d+wd'!$K$246-$Z$47/$AA$47*$C$20*$F$21</x:f>
        <x:v>19.654537550997883</x:v>
      </x:c>
      <x:c r="AA69" s="1026">
        <x:f ca="1">(SQRT(((-'int. presets cp_10d+wd'!F26*SIN($F$18*PI()/180)*$F$21+'int. presets cp_10d+wd'!F35*SIN($I$18*PI()/180)*$I$21)*$C$25*1000)^2+(0.001*$C$25*1000*$F$21)^2)/$C$30+(-'int. presets cp_10d+wd'!F26*COS($F$18*PI()/180)*$F$21-'int. presets cp_10d+wd'!F35*COS($I$18*PI()/180)*$I$21)*$C$25*1000)/9.81*$O$99/$AA$47*$F$193*'int. presets cp_10d+wd'!$F$246-$Z$47/$AA$47*$C$20*$F$21</x:f>
        <x:v>13.623796723857378</x:v>
      </x:c>
      <x:c r="AB69" s="18"/>
      <x:c r="AC69" s="1314" t="str">
        <x:f>AC27</x:f>
        <x:v>setback a</x:v>
      </x:c>
      <x:c r="AD69" s="19"/>
      <x:c r="AE69" s="369"/>
      <x:c r="AF69" s="179"/>
      <x:c r="AG69" s="1319" t="s">
        <x:v>449</x:v>
      </x:c>
      <x:c r="AH69" s="1320"/>
      <x:c r="AI69" s="1320"/>
      <x:c r="AJ69" s="1320"/>
      <x:c r="AK69" s="1320"/>
      <x:c r="AL69" s="1320"/>
      <x:c r="AM69" s="1320"/>
      <x:c r="AN69" s="1320"/>
      <x:c r="AO69" s="1320"/>
      <x:c r="AP69" s="1320"/>
      <x:c r="AQ69" s="1320"/>
      <x:c r="AR69" s="1320"/>
      <x:c r="AS69" s="1320"/>
      <x:c r="AT69" s="1320"/>
      <x:c r="AU69" s="1320"/>
      <x:c r="AV69" s="1320"/>
      <x:c r="AW69" s="1320"/>
      <x:c r="AX69" s="1320"/>
      <x:c r="AY69" s="1320"/>
      <x:c r="AZ69" s="1320"/>
      <x:c r="BA69" s="1320"/>
      <x:c r="BB69" s="1320"/>
      <x:c r="BC69" s="1320"/>
      <x:c r="BD69" s="1320"/>
      <x:c r="BE69" s="1320"/>
      <x:c r="BF69" s="1320"/>
      <x:c r="BG69" s="1320"/>
      <x:c r="BH69" s="1320"/>
      <x:c r="BI69" s="1320"/>
      <x:c r="BJ69" s="1320"/>
      <x:c r="BK69" s="1320"/>
      <x:c r="BL69" s="1320"/>
      <x:c r="BM69" s="1320"/>
      <x:c r="BN69" s="1320"/>
      <x:c r="BO69" s="1320"/>
      <x:c r="BP69" s="1320"/>
      <x:c r="BQ69" s="1320"/>
      <x:c r="BR69" s="1320"/>
      <x:c r="BS69" s="1320"/>
      <x:c r="BT69" s="1320"/>
      <x:c r="BU69" s="1320"/>
      <x:c r="BV69" s="1320"/>
      <x:c r="BW69" s="1320"/>
      <x:c r="BX69" s="1320"/>
      <x:c r="BY69" s="1321"/>
      <x:c r="BZ69" s="19"/>
      <x:c r="CA69" s="370"/>
      <x:c r="CB69" s="361"/>
      <x:c r="CC69" s="486"/>
      <x:c r="CE69" s="1314" t="str">
        <x:f>CE27</x:f>
        <x:v>setback a</x:v>
      </x:c>
      <x:c r="CF69" s="19"/>
      <x:c r="CG69" s="369"/>
      <x:c r="CH69" s="179"/>
      <x:c r="CI69" s="1319" t="s">
        <x:v>449</x:v>
      </x:c>
      <x:c r="CJ69" s="1320"/>
      <x:c r="CK69" s="1320"/>
      <x:c r="CL69" s="1320"/>
      <x:c r="CM69" s="1320"/>
      <x:c r="CN69" s="1320"/>
      <x:c r="CO69" s="1320"/>
      <x:c r="CP69" s="1320"/>
      <x:c r="CQ69" s="1320"/>
      <x:c r="CR69" s="1320"/>
      <x:c r="CS69" s="1320"/>
      <x:c r="CT69" s="1320"/>
      <x:c r="CU69" s="1320"/>
      <x:c r="CV69" s="1320"/>
      <x:c r="CW69" s="1320"/>
      <x:c r="CX69" s="1320"/>
      <x:c r="CY69" s="1320"/>
      <x:c r="CZ69" s="1320"/>
      <x:c r="DA69" s="1320"/>
      <x:c r="DB69" s="1320"/>
      <x:c r="DC69" s="1320"/>
      <x:c r="DD69" s="1320"/>
      <x:c r="DE69" s="1320"/>
      <x:c r="DF69" s="1320"/>
      <x:c r="DG69" s="1320"/>
      <x:c r="DH69" s="1320"/>
      <x:c r="DI69" s="1320"/>
      <x:c r="DJ69" s="1320"/>
      <x:c r="DK69" s="1320"/>
      <x:c r="DL69" s="1320"/>
      <x:c r="DM69" s="1320"/>
      <x:c r="DN69" s="1320"/>
      <x:c r="DO69" s="1320"/>
      <x:c r="DP69" s="1320"/>
      <x:c r="DQ69" s="1320"/>
      <x:c r="DR69" s="1320"/>
      <x:c r="DS69" s="1320"/>
      <x:c r="DT69" s="1320"/>
      <x:c r="DU69" s="1320"/>
      <x:c r="DV69" s="1320"/>
      <x:c r="DW69" s="1320"/>
      <x:c r="DX69" s="1320"/>
      <x:c r="DY69" s="1320"/>
      <x:c r="DZ69" s="1320"/>
      <x:c r="EA69" s="1321"/>
      <x:c r="EB69" s="19"/>
      <x:c r="EC69" s="370"/>
      <x:c r="ED69" s="361"/>
      <x:c r="EE69" s="486"/>
    </x:row>
    <x:row r="70" spans="2:136" s="75" customFormat="1" ht="13.5" customHeight="1" thickBot="1" x14ac:dyDescent="0.25">
      <x:c r="B70" s="1348">
        <x:v>0</x:v>
      </x:c>
      <x:c r="C70" s="1349">
        <x:v>0</x:v>
      </x:c>
      <x:c r="D70" s="1350">
        <x:v>0</x:v>
      </x:c>
      <x:c r="E70" s="344" t="s">
        <x:v>462</x:v>
      </x:c>
      <x:c r="F70" s="1055" t="e">
        <x:f t="shared" si="67"/>
        <x:v>#REF!</x:v>
      </x:c>
      <x:c r="G70" s="1055" t="e">
        <x:f t="shared" si="24"/>
        <x:v>#REF!</x:v>
      </x:c>
      <x:c r="H70" s="1055" t="e">
        <x:f t="shared" si="25"/>
        <x:v>#REF!</x:v>
      </x:c>
      <x:c r="I70" s="1056" t="e">
        <x:f t="shared" si="26"/>
        <x:v>#REF!</x:v>
      </x:c>
      <x:c r="J70" s="1055" t="e">
        <x:f t="shared" si="27"/>
        <x:v>#REF!</x:v>
      </x:c>
      <x:c r="K70" s="1063" t="e">
        <x:f t="shared" si="28"/>
        <x:v>#REF!</x:v>
      </x:c>
      <x:c r="L70" s="1012">
        <x:f t="shared" ca="1" si="29"/>
        <x:v>13.623796723857378</x:v>
      </x:c>
      <x:c r="M70" s="941">
        <x:f t="shared" ca="1" si="30"/>
        <x:v>30.035294733350451</x:v>
      </x:c>
      <x:c r="N70" s="1027" t="e">
        <x:f>(-#REF!*COS($F$18*PI()/180)*$F$21-#REF!*COS($I$18*PI()/180)*$I$21)*$N$99*$C$25*1000/9.81/$O$47*$D$193*#REF!-$N$47/$O$47*$C$20*$F$21</x:f>
        <x:v>#REF!</x:v>
      </x:c>
      <x:c r="O70" s="936" t="e">
        <x:f>(SQRT(((-#REF!*SIN($F$18*PI()/180)*$F$21+#REF!*SIN($I$18*PI()/180)*$I$21)*$C$25*1000)^2+(0.001*$C$25*1000*$F$21)^2)/$C$30+(-#REF!*COS($F$18*PI()/180)*$F$21-#REF!*COS($I$18*PI()/180)*$I$21)*$C$25*1000)/9.81*$O$99/$O$47*$F$193*#REF!-$N$47/$O$47*$C$20*$F$21</x:f>
        <x:v>#REF!</x:v>
      </x:c>
      <x:c r="P70" s="199" t="e">
        <x:f>(-#REF!*COS($F$18*PI()/180)*$F$21-#REF!*COS($I$18*PI()/180)*$I$21)*$N$99*$C$25*1000/9.81/$Q$47*$D$193*#REF!-$P$47/$Q$47*$C$20*$F$21</x:f>
        <x:v>#REF!</x:v>
      </x:c>
      <x:c r="Q70" s="164" t="e">
        <x:f>(SQRT(((-#REF!*SIN($F$18*PI()/180)*$F$21+#REF!*SIN($I$18*PI()/180)*$I$21)*$C$25*1000)^2+(0.001*$C$25*1000*$F$21)^2)/$C$30+(-#REF!*COS($F$18*PI()/180)*$F$21-#REF!*COS($I$18*PI()/180)*$I$21)*$C$25*1000)/9.81*$O$99/$Q$47*$F$193*#REF!-$P$47/$Q$47*$C$20*$F$21</x:f>
        <x:v>#REF!</x:v>
      </x:c>
      <x:c r="R70" s="199" t="e">
        <x:f>(-#REF!*COS($F$18*PI()/180)*$F$21-#REF!*COS($I$18*PI()/180)*$I$21)*$N$99*$C$25*1000/9.81/$S$47*$D$193*#REF!-$R$47/$S$47*$C$20*$F$21</x:f>
        <x:v>#REF!</x:v>
      </x:c>
      <x:c r="S70" s="164" t="e">
        <x:f>(SQRT(((-#REF!*SIN($F$18*PI()/180)*$F$21+#REF!*SIN($I$18*PI()/180)*$I$21)*$C$25*1000)^2+(0.001*$C$25*1000*$F$21)^2)/$C$30+(-#REF!*COS($F$18*PI()/180)*$F$21-#REF!*COS($I$18*PI()/180)*$I$21)*$C$25*1000)/9.81*$O$99/$S$47*$F$193*#REF!-$R$47/$S$47*$C$20*$F$21</x:f>
        <x:v>#REF!</x:v>
      </x:c>
      <x:c r="T70" s="199" t="e">
        <x:f>(-#REF!*COS($F$18*PI()/180)*$F$21-#REF!*COS($I$18*PI()/180)*$I$21)*$N$99*$C$25*1000/9.81/$U$47*$D$193*#REF!-$T$47/$U$47*$C$20*$F$21</x:f>
        <x:v>#REF!</x:v>
      </x:c>
      <x:c r="U70" s="164" t="e">
        <x:f>(SQRT(((-#REF!*SIN($F$18*PI()/180)*$F$21+#REF!*SIN($I$18*PI()/180)*$I$21)*$C$25*1000)^2+(0.001*$C$25*1000*$F$21)^2)/$C$30+(-#REF!*COS($F$18*PI()/180)*$F$21-#REF!*COS($I$18*PI()/180)*$I$21)*$C$25*1000)/9.81*$O$99/$U$47*$F$193*#REF!-$T$47/$U$47*$C$20*$F$21</x:f>
        <x:v>#REF!</x:v>
      </x:c>
      <x:c r="V70" s="199" t="e">
        <x:f>(-#REF!*COS($F$18*PI()/180)*$F$21-#REF!*COS($I$18*PI()/180)*$I$21)*$N$99*$C$25*1000/9.81/$W$47*$D$193*#REF!-$V$47/$W$47*$C$20*$F$21</x:f>
        <x:v>#REF!</x:v>
      </x:c>
      <x:c r="W70" s="164" t="e">
        <x:f>(SQRT(((-#REF!*SIN($F$18*PI()/180)*$F$21+#REF!*SIN($I$18*PI()/180)*$I$21)*$C$25*1000)^2+(0.001*$C$25*1000*$F$21)^2)/$C$30+(-#REF!*COS($F$18*PI()/180)*$F$21-#REF!*COS($I$18*PI()/180)*$I$21)*$C$25*1000)/9.81*$O$99/$W$47*$F$193*#REF!-$V$47/$W$47*$C$20*$F$21</x:f>
        <x:v>#REF!</x:v>
      </x:c>
      <x:c r="X70" s="199" t="e">
        <x:f>(-#REF!*COS($F$18*PI()/180)*$F$21-#REF!*COS($I$18*PI()/180)*$I$21)*$N$99*$C$25*1000/9.81/$Y$47*$D$193*#REF!-$X$47/$Y$47*$C$20*$F$21</x:f>
        <x:v>#REF!</x:v>
      </x:c>
      <x:c r="Y70" s="164" t="e">
        <x:f>(SQRT(((-#REF!*SIN($F$18*PI()/180)*$F$21+#REF!*SIN($I$18*PI()/180)*$I$21)*$C$25*1000)^2+(0.001*$C$25*1000*$F$21)^2)/$C$30+(-#REF!*COS($F$18*PI()/180)*$F$21-#REF!*COS($I$18*PI()/180)*$I$21)*$C$25*1000)/9.81*$O$99/$Y$47*$F$193*#REF!-$Y$47/$Y$47*$C$20*$F$21</x:f>
        <x:v>#REF!</x:v>
      </x:c>
      <x:c r="Z70" s="199">
        <x:f ca="1">(-'int. presets cp_10d+wd'!K27*COS($F$18*PI()/180)*$F$21-'int. presets cp_10d+wd'!K36*COS($I$18*PI()/180)*$I$21)*$N$99*$C$25*1000/9.81/$AA$47*$D$193*'int. presets cp_10d+wd'!$K$246-$Z$47/$AA$47*$C$20*$F$21</x:f>
        <x:v>12.695681594213031</x:v>
      </x:c>
      <x:c r="AA70" s="1028">
        <x:f ca="1">(SQRT(((-'int. presets cp_10d+wd'!F27*SIN($F$18*PI()/180)*$F$21+'int. presets cp_10d+wd'!F36*SIN($I$18*PI()/180)*$I$21)*$C$25*1000)^2+(0.001*$C$25*1000*$F$21)^2)/$C$30+(-'int. presets cp_10d+wd'!F27*COS($F$18*PI()/180)*$F$21-'int. presets cp_10d+wd'!F36*COS($I$18*PI()/180)*$I$21)*$C$25*1000)/9.81*$O$99/$AA$47*$F$193*'int. presets cp_10d+wd'!$F$246-$Z$47/$AA$47*$C$20*$F$21</x:f>
        <x:v>13.623796723857378</x:v>
      </x:c>
      <x:c r="AB70" s="18"/>
      <x:c r="AC70" s="1315"/>
      <x:c r="AD70" s="19"/>
      <x:c r="AE70" s="371"/>
      <x:c r="AF70" s="372"/>
      <x:c r="AG70" s="1322"/>
      <x:c r="AH70" s="1323"/>
      <x:c r="AI70" s="1323"/>
      <x:c r="AJ70" s="1323"/>
      <x:c r="AK70" s="1323"/>
      <x:c r="AL70" s="1323"/>
      <x:c r="AM70" s="1323"/>
      <x:c r="AN70" s="1323"/>
      <x:c r="AO70" s="1323"/>
      <x:c r="AP70" s="1323"/>
      <x:c r="AQ70" s="1323"/>
      <x:c r="AR70" s="1323"/>
      <x:c r="AS70" s="1323"/>
      <x:c r="AT70" s="1323"/>
      <x:c r="AU70" s="1323"/>
      <x:c r="AV70" s="1323"/>
      <x:c r="AW70" s="1323"/>
      <x:c r="AX70" s="1323"/>
      <x:c r="AY70" s="1323"/>
      <x:c r="AZ70" s="1323"/>
      <x:c r="BA70" s="1323"/>
      <x:c r="BB70" s="1323"/>
      <x:c r="BC70" s="1323"/>
      <x:c r="BD70" s="1323"/>
      <x:c r="BE70" s="1323"/>
      <x:c r="BF70" s="1323"/>
      <x:c r="BG70" s="1323"/>
      <x:c r="BH70" s="1323"/>
      <x:c r="BI70" s="1323"/>
      <x:c r="BJ70" s="1323"/>
      <x:c r="BK70" s="1323"/>
      <x:c r="BL70" s="1323"/>
      <x:c r="BM70" s="1323"/>
      <x:c r="BN70" s="1323"/>
      <x:c r="BO70" s="1323"/>
      <x:c r="BP70" s="1323"/>
      <x:c r="BQ70" s="1323"/>
      <x:c r="BR70" s="1323"/>
      <x:c r="BS70" s="1323"/>
      <x:c r="BT70" s="1323"/>
      <x:c r="BU70" s="1323"/>
      <x:c r="BV70" s="1323"/>
      <x:c r="BW70" s="1323"/>
      <x:c r="BX70" s="1323"/>
      <x:c r="BY70" s="1324"/>
      <x:c r="BZ70" s="373"/>
      <x:c r="CA70" s="374"/>
      <x:c r="CB70" s="362"/>
      <x:c r="CC70" s="487"/>
      <x:c r="CE70" s="1315"/>
      <x:c r="CF70" s="19"/>
      <x:c r="CG70" s="371"/>
      <x:c r="CH70" s="372"/>
      <x:c r="CI70" s="1322"/>
      <x:c r="CJ70" s="1323"/>
      <x:c r="CK70" s="1323"/>
      <x:c r="CL70" s="1323"/>
      <x:c r="CM70" s="1323"/>
      <x:c r="CN70" s="1323"/>
      <x:c r="CO70" s="1323"/>
      <x:c r="CP70" s="1323"/>
      <x:c r="CQ70" s="1323"/>
      <x:c r="CR70" s="1323"/>
      <x:c r="CS70" s="1323"/>
      <x:c r="CT70" s="1323"/>
      <x:c r="CU70" s="1323"/>
      <x:c r="CV70" s="1323"/>
      <x:c r="CW70" s="1323"/>
      <x:c r="CX70" s="1323"/>
      <x:c r="CY70" s="1323"/>
      <x:c r="CZ70" s="1323"/>
      <x:c r="DA70" s="1323"/>
      <x:c r="DB70" s="1323"/>
      <x:c r="DC70" s="1323"/>
      <x:c r="DD70" s="1323"/>
      <x:c r="DE70" s="1323"/>
      <x:c r="DF70" s="1323"/>
      <x:c r="DG70" s="1323"/>
      <x:c r="DH70" s="1323"/>
      <x:c r="DI70" s="1323"/>
      <x:c r="DJ70" s="1323"/>
      <x:c r="DK70" s="1323"/>
      <x:c r="DL70" s="1323"/>
      <x:c r="DM70" s="1323"/>
      <x:c r="DN70" s="1323"/>
      <x:c r="DO70" s="1323"/>
      <x:c r="DP70" s="1323"/>
      <x:c r="DQ70" s="1323"/>
      <x:c r="DR70" s="1323"/>
      <x:c r="DS70" s="1323"/>
      <x:c r="DT70" s="1323"/>
      <x:c r="DU70" s="1323"/>
      <x:c r="DV70" s="1323"/>
      <x:c r="DW70" s="1323"/>
      <x:c r="DX70" s="1323"/>
      <x:c r="DY70" s="1323"/>
      <x:c r="DZ70" s="1323"/>
      <x:c r="EA70" s="1324"/>
      <x:c r="EB70" s="373"/>
      <x:c r="EC70" s="374"/>
      <x:c r="ED70" s="362"/>
      <x:c r="EE70" s="487"/>
    </x:row>
    <x:row r="71" spans="2:136" s="75" customFormat="1" ht="13.5" customHeight="1" thickTop="1" x14ac:dyDescent="0.2">
      <x:c r="B71" s="1345" t="s">
        <x:v>463</x:v>
      </x:c>
      <x:c r="C71" s="1346">
        <x:v>0</x:v>
      </x:c>
      <x:c r="D71" s="1347" t="s">
        <x:v>463</x:v>
      </x:c>
      <x:c r="E71" s="348" t="s">
        <x:v>461</x:v>
      </x:c>
      <x:c r="F71" s="1057" t="e">
        <x:f t="shared" si="67"/>
        <x:v>#REF!</x:v>
      </x:c>
      <x:c r="G71" s="1057" t="e">
        <x:f t="shared" si="24"/>
        <x:v>#REF!</x:v>
      </x:c>
      <x:c r="H71" s="1057" t="e">
        <x:f t="shared" si="25"/>
        <x:v>#REF!</x:v>
      </x:c>
      <x:c r="I71" s="1054" t="e">
        <x:f t="shared" si="26"/>
        <x:v>#REF!</x:v>
      </x:c>
      <x:c r="J71" s="1057" t="e">
        <x:f t="shared" si="27"/>
        <x:v>#REF!</x:v>
      </x:c>
      <x:c r="K71" s="1064" t="e">
        <x:f t="shared" si="28"/>
        <x:v>#REF!</x:v>
      </x:c>
      <x:c r="L71" s="1011">
        <x:f t="shared" ca="1" si="29"/>
        <x:v>13.623796723857378</x:v>
      </x:c>
      <x:c r="M71" s="940">
        <x:f t="shared" ca="1" si="30"/>
        <x:v>30.035294733350451</x:v>
      </x:c>
      <x:c r="N71" s="1025" t="e">
        <x:f>(-#REF!*COS($F$18*PI()/180)*$F$21-#REF!*COS($I$18*PI()/180)*$I$21)*$N$99*$C$25*1000/9.81/$O$47*$D$193*#REF!-$N$47/$O$47*$C$20*$F$21</x:f>
        <x:v>#REF!</x:v>
      </x:c>
      <x:c r="O71" s="75" t="e">
        <x:f>(SQRT(((-#REF!*SIN($F$18*PI()/180)*$F$21+#REF!*SIN($I$18*PI()/180)*$I$21)*$C$25*1000)^2+(0.001*$C$25*1000*$F$21)^2)/$C$30+(-#REF!*COS($F$18*PI()/180)*$F$21-#REF!*COS($I$18*PI()/180)*$I$21)*$C$25*1000)/9.81*$O$99/$O$47*$F$193*#REF!-$N$47/$O$47*$C$20*$F$21</x:f>
        <x:v>#REF!</x:v>
      </x:c>
      <x:c r="P71" s="161" t="e">
        <x:f>(-#REF!*COS($F$18*PI()/180)*$F$21-#REF!*COS($I$18*PI()/180)*$I$21)*$N$99*$C$25*1000/9.81/$Q$47*$D$193*#REF!-$P$47/$Q$47*$C$20*$F$21</x:f>
        <x:v>#REF!</x:v>
      </x:c>
      <x:c r="Q71" s="162" t="e">
        <x:f>(SQRT(((-#REF!*SIN($F$18*PI()/180)*$F$21+#REF!*SIN($I$18*PI()/180)*$I$21)*$C$25*1000)^2+(0.001*$C$25*1000*$F$21)^2)/$C$30+(-#REF!*COS($F$18*PI()/180)*$F$21-#REF!*COS($I$18*PI()/180)*$I$21)*$C$25*1000)/9.81*$O$99/$Q$47*$F$193*#REF!-$P$47/$Q$47*$C$20*$F$21</x:f>
        <x:v>#REF!</x:v>
      </x:c>
      <x:c r="R71" s="161" t="e">
        <x:f>(-#REF!*COS($F$18*PI()/180)*$F$21-#REF!*COS($I$18*PI()/180)*$I$21)*$N$99*$C$25*1000/9.81/$S$47*$D$193*#REF!-$R$47/$S$47*$C$20*$F$21</x:f>
        <x:v>#REF!</x:v>
      </x:c>
      <x:c r="S71" s="162" t="e">
        <x:f>(SQRT(((-#REF!*SIN($F$18*PI()/180)*$F$21+#REF!*SIN($I$18*PI()/180)*$I$21)*$C$25*1000)^2+(0.001*$C$25*1000*$F$21)^2)/$C$30+(-#REF!*COS($F$18*PI()/180)*$F$21-#REF!*COS($I$18*PI()/180)*$I$21)*$C$25*1000)/9.81*$O$99/$S$47*$F$193*#REF!-$R$47/$S$47*$C$20*$F$21</x:f>
        <x:v>#REF!</x:v>
      </x:c>
      <x:c r="T71" s="161" t="e">
        <x:f>(-#REF!*COS($F$18*PI()/180)*$F$21-#REF!*COS($I$18*PI()/180)*$I$21)*$N$99*$C$25*1000/9.81/$U$47*$D$193*#REF!-$T$47/$U$47*$C$20*$F$21</x:f>
        <x:v>#REF!</x:v>
      </x:c>
      <x:c r="U71" s="162" t="e">
        <x:f>(SQRT(((-#REF!*SIN($F$18*PI()/180)*$F$21+#REF!*SIN($I$18*PI()/180)*$I$21)*$C$25*1000)^2+(0.001*$C$25*1000*$F$21)^2)/$C$30+(-#REF!*COS($F$18*PI()/180)*$F$21-#REF!*COS($I$18*PI()/180)*$I$21)*$C$25*1000)/9.81*$O$99/$U$47*$F$193*#REF!-$T$47/$U$47*$C$20*$F$21</x:f>
        <x:v>#REF!</x:v>
      </x:c>
      <x:c r="V71" s="161" t="e">
        <x:f>(-#REF!*COS($F$18*PI()/180)*$F$21-#REF!*COS($I$18*PI()/180)*$I$21)*$N$99*$C$25*1000/9.81/$W$47*$D$193*#REF!-$V$47/$W$47*$C$20*$F$21</x:f>
        <x:v>#REF!</x:v>
      </x:c>
      <x:c r="W71" s="162" t="e">
        <x:f>(SQRT(((-#REF!*SIN($F$18*PI()/180)*$F$21+#REF!*SIN($I$18*PI()/180)*$I$21)*$C$25*1000)^2+(0.001*$C$25*1000*$F$21)^2)/$C$30+(-#REF!*COS($F$18*PI()/180)*$F$21-#REF!*COS($I$18*PI()/180)*$I$21)*$C$25*1000)/9.81*$O$99/$W$47*$F$193*#REF!-$V$47/$W$47*$C$20*$F$21</x:f>
        <x:v>#REF!</x:v>
      </x:c>
      <x:c r="X71" s="161" t="e">
        <x:f>(-#REF!*COS($F$18*PI()/180)*$F$21-#REF!*COS($I$18*PI()/180)*$I$21)*$N$99*$C$25*1000/9.81/$Y$47*$D$193*#REF!-$X$47/$Y$47*$C$20*$F$21</x:f>
        <x:v>#REF!</x:v>
      </x:c>
      <x:c r="Y71" s="162" t="e">
        <x:f>(SQRT(((-#REF!*SIN($F$18*PI()/180)*$F$21+#REF!*SIN($I$18*PI()/180)*$I$21)*$C$25*1000)^2+(0.001*$C$25*1000*$F$21)^2)/$C$30+(-#REF!*COS($F$18*PI()/180)*$F$21-#REF!*COS($I$18*PI()/180)*$I$21)*$C$25*1000)/9.81*$O$99/$Y$47*$F$193*#REF!-$Y$47/$Y$47*$C$20*$F$21</x:f>
        <x:v>#REF!</x:v>
      </x:c>
      <x:c r="Z71" s="161">
        <x:f ca="1">(-'int. presets cp_10d+wd'!K28*COS($F$18*PI()/180)*$F$21-'int. presets cp_10d+wd'!K37*COS($I$18*PI()/180)*$I$21)*$N$99*$C$25*1000/9.81/$AA$47*$D$193*'int. presets cp_10d+wd'!$K$246-$Z$47/$AA$47*$C$20*$F$21</x:f>
        <x:v>5.8975280915546513</x:v>
      </x:c>
      <x:c r="AA71" s="1030">
        <x:f ca="1">(SQRT(((-'int. presets cp_10d+wd'!F28*SIN($F$18*PI()/180)*$F$21+'int. presets cp_10d+wd'!F37*SIN($I$18*PI()/180)*$I$21)*$C$25*1000)^2+(0.001*$C$25*1000*$F$21)^2)/$C$30+(-'int. presets cp_10d+wd'!F28*COS($F$18*PI()/180)*$F$21-'int. presets cp_10d+wd'!F37*COS($I$18*PI()/180)*$I$21)*$C$25*1000)/9.81*$O$99/$AA$47*$F$193*'int. presets cp_10d+wd'!$F$246-$Z$47/$AA$47*$C$20*$F$21</x:f>
        <x:v>13.623796723857378</x:v>
      </x:c>
      <x:c r="AB71" s="18"/>
      <x:c r="AC71" s="167"/>
      <x:c r="AD71" s="20"/>
      <x:c r="AE71" s="354"/>
      <x:c r="AF71" s="19"/>
      <x:c r="AG71" s="476"/>
      <x:c r="AH71" s="477"/>
      <x:c r="AI71" s="477"/>
      <x:c r="AJ71" s="477"/>
      <x:c r="AK71" s="477"/>
      <x:c r="AL71" s="489"/>
      <x:c r="AM71" s="477"/>
      <x:c r="AN71" s="477"/>
      <x:c r="AO71" s="477"/>
      <x:c r="AP71" s="477"/>
      <x:c r="AQ71" s="1336" t="s">
        <x:v>450</x:v>
      </x:c>
      <x:c r="AR71" s="1337"/>
      <x:c r="AS71" s="1337"/>
      <x:c r="AT71" s="1337"/>
      <x:c r="AU71" s="1338"/>
      <x:c r="AV71" s="489"/>
      <x:c r="AW71" s="477"/>
      <x:c r="AX71" s="477"/>
      <x:c r="AY71" s="477"/>
      <x:c r="AZ71" s="477"/>
      <x:c r="BA71" s="1336" t="s">
        <x:v>450</x:v>
      </x:c>
      <x:c r="BB71" s="1337"/>
      <x:c r="BC71" s="1337"/>
      <x:c r="BD71" s="1337"/>
      <x:c r="BE71" s="1338"/>
      <x:c r="BF71" s="489"/>
      <x:c r="BG71" s="489"/>
      <x:c r="BH71" s="489"/>
      <x:c r="BI71" s="489"/>
      <x:c r="BJ71" s="489"/>
      <x:c r="BK71" s="1336" t="s">
        <x:v>450</x:v>
      </x:c>
      <x:c r="BL71" s="1337"/>
      <x:c r="BM71" s="1337"/>
      <x:c r="BN71" s="1337"/>
      <x:c r="BO71" s="1338"/>
      <x:c r="BP71" s="515"/>
      <x:c r="BQ71" s="516"/>
      <x:c r="BR71" s="516"/>
      <x:c r="BS71" s="516"/>
      <x:c r="BT71" s="516"/>
      <x:c r="BU71" s="516"/>
      <x:c r="BV71" s="516"/>
      <x:c r="BW71" s="516"/>
      <x:c r="BX71" s="516"/>
      <x:c r="BY71" s="516"/>
      <x:c r="BZ71" s="516"/>
      <x:c r="CA71" s="523"/>
      <x:c r="CB71" s="38"/>
      <x:c r="CE71" s="167"/>
      <x:c r="CF71" s="20"/>
      <x:c r="CG71" s="515"/>
      <x:c r="CH71" s="516"/>
      <x:c r="CI71" s="516"/>
      <x:c r="CJ71" s="516"/>
      <x:c r="CK71" s="516"/>
      <x:c r="CL71" s="516"/>
      <x:c r="CM71" s="516"/>
      <x:c r="CN71" s="516"/>
      <x:c r="CO71" s="516"/>
      <x:c r="CP71" s="516"/>
      <x:c r="CQ71" s="516"/>
      <x:c r="CR71" s="523"/>
      <x:c r="CS71" s="1336" t="s">
        <x:v>450</x:v>
      </x:c>
      <x:c r="CT71" s="1337"/>
      <x:c r="CU71" s="1337"/>
      <x:c r="CV71" s="1337"/>
      <x:c r="CW71" s="1338"/>
      <x:c r="CX71" s="489"/>
      <x:c r="CY71" s="477"/>
      <x:c r="CZ71" s="477"/>
      <x:c r="DA71" s="477"/>
      <x:c r="DB71" s="477"/>
      <x:c r="DC71" s="1336" t="s">
        <x:v>450</x:v>
      </x:c>
      <x:c r="DD71" s="1337"/>
      <x:c r="DE71" s="1337"/>
      <x:c r="DF71" s="1337"/>
      <x:c r="DG71" s="1338"/>
      <x:c r="DH71" s="489"/>
      <x:c r="DI71" s="489"/>
      <x:c r="DJ71" s="489"/>
      <x:c r="DK71" s="489"/>
      <x:c r="DL71" s="489"/>
      <x:c r="DM71" s="1336" t="s">
        <x:v>450</x:v>
      </x:c>
      <x:c r="DN71" s="1337"/>
      <x:c r="DO71" s="1337"/>
      <x:c r="DP71" s="1337"/>
      <x:c r="DQ71" s="1338"/>
      <x:c r="DR71" s="489"/>
      <x:c r="DS71" s="489"/>
      <x:c r="DT71" s="489"/>
      <x:c r="EB71" s="494"/>
      <x:c r="EC71" s="495"/>
      <x:c r="ED71" s="38"/>
    </x:row>
    <x:row r="72" spans="2:136" s="75" customFormat="1" ht="13.5" customHeight="1" thickBot="1" x14ac:dyDescent="0.25">
      <x:c r="B72" s="1348" t="e">
        <x:v>#REF!</x:v>
      </x:c>
      <x:c r="C72" s="1349">
        <x:v>0</x:v>
      </x:c>
      <x:c r="D72" s="1350">
        <x:v>0</x:v>
      </x:c>
      <x:c r="E72" s="344" t="s">
        <x:v>462</x:v>
      </x:c>
      <x:c r="F72" s="1055" t="e">
        <x:f t="shared" si="67"/>
        <x:v>#REF!</x:v>
      </x:c>
      <x:c r="G72" s="1055" t="e">
        <x:f t="shared" si="24"/>
        <x:v>#REF!</x:v>
      </x:c>
      <x:c r="H72" s="1055" t="e">
        <x:f t="shared" si="25"/>
        <x:v>#REF!</x:v>
      </x:c>
      <x:c r="I72" s="1056" t="e">
        <x:f t="shared" si="26"/>
        <x:v>#REF!</x:v>
      </x:c>
      <x:c r="J72" s="1055" t="e">
        <x:f t="shared" si="27"/>
        <x:v>#REF!</x:v>
      </x:c>
      <x:c r="K72" s="1063" t="e">
        <x:f t="shared" si="28"/>
        <x:v>#REF!</x:v>
      </x:c>
      <x:c r="L72" s="1012">
        <x:f t="shared" ca="1" si="29"/>
        <x:v>13.623796723857378</x:v>
      </x:c>
      <x:c r="M72" s="941">
        <x:f t="shared" ca="1" si="30"/>
        <x:v>30.035294733350451</x:v>
      </x:c>
      <x:c r="N72" s="1027" t="e">
        <x:f>(-#REF!*COS($F$18*PI()/180)*$F$21-#REF!*COS($I$18*PI()/180)*$I$21)*$N$99*$C$25*1000/9.81/$O$47*$D$193*#REF!-$N$47/$O$47*$C$20*$F$21</x:f>
        <x:v>#REF!</x:v>
      </x:c>
      <x:c r="O72" s="936" t="e">
        <x:f>(SQRT(((-#REF!*SIN($F$18*PI()/180)*$F$21+#REF!*SIN($I$18*PI()/180)*$I$21)*$C$25*1000)^2+(0.001*$C$25*1000*$F$21)^2)/$C$30+(-#REF!*COS($F$18*PI()/180)*$F$21-#REF!*COS($I$18*PI()/180)*$I$21)*$C$25*1000)/9.81*$O$99/$O$47*$F$193*#REF!-$N$47/$O$47*$C$20*$F$21</x:f>
        <x:v>#REF!</x:v>
      </x:c>
      <x:c r="P72" s="199" t="e">
        <x:f>(-#REF!*COS($F$18*PI()/180)*$F$21-#REF!*COS($I$18*PI()/180)*$I$21)*$N$99*$C$25*1000/9.81/$Q$47*$D$193*#REF!-$P$47/$Q$47*$C$20*$F$21</x:f>
        <x:v>#REF!</x:v>
      </x:c>
      <x:c r="Q72" s="164" t="e">
        <x:f>(SQRT(((-#REF!*SIN($F$18*PI()/180)*$F$21+#REF!*SIN($I$18*PI()/180)*$I$21)*$C$25*1000)^2+(0.001*$C$25*1000*$F$21)^2)/$C$30+(-#REF!*COS($F$18*PI()/180)*$F$21-#REF!*COS($I$18*PI()/180)*$I$21)*$C$25*1000)/9.81*$O$99/$Q$47*$F$193*#REF!-$P$47/$Q$47*$C$20*$F$21</x:f>
        <x:v>#REF!</x:v>
      </x:c>
      <x:c r="R72" s="199" t="e">
        <x:f>(-#REF!*COS($F$18*PI()/180)*$F$21-#REF!*COS($I$18*PI()/180)*$I$21)*$N$99*$C$25*1000/9.81/$S$47*$D$193*#REF!-$R$47/$S$47*$C$20*$F$21</x:f>
        <x:v>#REF!</x:v>
      </x:c>
      <x:c r="S72" s="164" t="e">
        <x:f>(SQRT(((-#REF!*SIN($F$18*PI()/180)*$F$21+#REF!*SIN($I$18*PI()/180)*$I$21)*$C$25*1000)^2+(0.001*$C$25*1000*$F$21)^2)/$C$30+(-#REF!*COS($F$18*PI()/180)*$F$21-#REF!*COS($I$18*PI()/180)*$I$21)*$C$25*1000)/9.81*$O$99/$S$47*$F$193*#REF!-$R$47/$S$47*$C$20*$F$21</x:f>
        <x:v>#REF!</x:v>
      </x:c>
      <x:c r="T72" s="199" t="e">
        <x:f>(-#REF!*COS($F$18*PI()/180)*$F$21-#REF!*COS($I$18*PI()/180)*$I$21)*$N$99*$C$25*1000/9.81/$U$47*$D$193*#REF!-$T$47/$U$47*$C$20*$F$21</x:f>
        <x:v>#REF!</x:v>
      </x:c>
      <x:c r="U72" s="164" t="e">
        <x:f>(SQRT(((-#REF!*SIN($F$18*PI()/180)*$F$21+#REF!*SIN($I$18*PI()/180)*$I$21)*$C$25*1000)^2+(0.001*$C$25*1000*$F$21)^2)/$C$30+(-#REF!*COS($F$18*PI()/180)*$F$21-#REF!*COS($I$18*PI()/180)*$I$21)*$C$25*1000)/9.81*$O$99/$U$47*$F$193*#REF!-$T$47/$U$47*$C$20*$F$21</x:f>
        <x:v>#REF!</x:v>
      </x:c>
      <x:c r="V72" s="199" t="e">
        <x:f>(-#REF!*COS($F$18*PI()/180)*$F$21-#REF!*COS($I$18*PI()/180)*$I$21)*$N$99*$C$25*1000/9.81/$W$47*$D$193*#REF!-$V$47/$W$47*$C$20*$F$21</x:f>
        <x:v>#REF!</x:v>
      </x:c>
      <x:c r="W72" s="164" t="e">
        <x:f>(SQRT(((-#REF!*SIN($F$18*PI()/180)*$F$21+#REF!*SIN($I$18*PI()/180)*$I$21)*$C$25*1000)^2+(0.001*$C$25*1000*$F$21)^2)/$C$30+(-#REF!*COS($F$18*PI()/180)*$F$21-#REF!*COS($I$18*PI()/180)*$I$21)*$C$25*1000)/9.81*$O$99/$W$47*$F$193*#REF!-$V$47/$W$47*$C$20*$F$21</x:f>
        <x:v>#REF!</x:v>
      </x:c>
      <x:c r="X72" s="199" t="e">
        <x:f>(-#REF!*COS($F$18*PI()/180)*$F$21-#REF!*COS($I$18*PI()/180)*$I$21)*$N$99*$C$25*1000/9.81/$Y$47*$D$193*#REF!-$X$47/$Y$47*$C$20*$F$21</x:f>
        <x:v>#REF!</x:v>
      </x:c>
      <x:c r="Y72" s="164" t="e">
        <x:f>(SQRT(((-#REF!*SIN($F$18*PI()/180)*$F$21+#REF!*SIN($I$18*PI()/180)*$I$21)*$C$25*1000)^2+(0.001*$C$25*1000*$F$21)^2)/$C$30+(-#REF!*COS($F$18*PI()/180)*$F$21-#REF!*COS($I$18*PI()/180)*$I$21)*$C$25*1000)/9.81*$O$99/$Y$47*$F$193*#REF!-$Y$47/$Y$47*$C$20*$F$21</x:f>
        <x:v>#REF!</x:v>
      </x:c>
      <x:c r="Z72" s="199">
        <x:f ca="1">(-'int. presets cp_10d+wd'!K29*COS($F$18*PI()/180)*$F$21-'int. presets cp_10d+wd'!K38*COS($I$18*PI()/180)*$I$21)*$N$99*$C$25*1000/9.81/$AA$47*$D$193*'int. presets cp_10d+wd'!$K$246-$Z$47/$AA$47*$C$20*$F$21</x:f>
        <x:v>3.331263392741576</x:v>
      </x:c>
      <x:c r="AA72" s="1028">
        <x:f ca="1">(SQRT(((-'int. presets cp_10d+wd'!F29*SIN($F$18*PI()/180)*$F$21+'int. presets cp_10d+wd'!F38*SIN($I$18*PI()/180)*$I$21)*$C$25*1000)^2+(0.001*$C$25*1000*$F$21)^2)/$C$30+(-'int. presets cp_10d+wd'!F29*COS($F$18*PI()/180)*$F$21-'int. presets cp_10d+wd'!F38*COS($I$18*PI()/180)*$I$21)*$C$25*1000)/9.81*$O$99/$AA$47*$F$193*'int. presets cp_10d+wd'!$F$246-$Z$47/$AA$47*$C$20*$F$21</x:f>
        <x:v>13.623796723857378</x:v>
      </x:c>
      <x:c r="AB72" s="18"/>
      <x:c r="AC72" s="20"/>
      <x:c r="AD72" s="20"/>
      <x:c r="AE72" s="354"/>
      <x:c r="AF72" s="19"/>
      <x:c r="AG72" s="474"/>
      <x:c r="AH72" s="475"/>
      <x:c r="AI72" s="475"/>
      <x:c r="AJ72" s="475"/>
      <x:c r="AK72" s="475"/>
      <x:c r="AL72" s="475"/>
      <x:c r="AM72" s="475"/>
      <x:c r="AN72" s="475"/>
      <x:c r="AO72" s="475"/>
      <x:c r="AP72" s="475"/>
      <x:c r="AQ72" s="1339"/>
      <x:c r="AR72" s="1340"/>
      <x:c r="AS72" s="1340"/>
      <x:c r="AT72" s="1340"/>
      <x:c r="AU72" s="1341"/>
      <x:c r="AV72" s="475"/>
      <x:c r="AW72" s="475"/>
      <x:c r="AX72" s="475"/>
      <x:c r="AY72" s="475"/>
      <x:c r="AZ72" s="475"/>
      <x:c r="BA72" s="1339"/>
      <x:c r="BB72" s="1340"/>
      <x:c r="BC72" s="1340"/>
      <x:c r="BD72" s="1340"/>
      <x:c r="BE72" s="1341"/>
      <x:c r="BF72" s="475"/>
      <x:c r="BG72" s="475"/>
      <x:c r="BH72" s="475"/>
      <x:c r="BI72" s="475"/>
      <x:c r="BJ72" s="475"/>
      <x:c r="BK72" s="1339"/>
      <x:c r="BL72" s="1340"/>
      <x:c r="BM72" s="1340"/>
      <x:c r="BN72" s="1340"/>
      <x:c r="BO72" s="1341"/>
      <x:c r="BP72" s="517"/>
      <x:c r="BQ72" s="518"/>
      <x:c r="BR72" s="518"/>
      <x:c r="BS72" s="518"/>
      <x:c r="BT72" s="518"/>
      <x:c r="BU72" s="518"/>
      <x:c r="BV72" s="518"/>
      <x:c r="BW72" s="518"/>
      <x:c r="BX72" s="518"/>
      <x:c r="BY72" s="518"/>
      <x:c r="BZ72" s="518"/>
      <x:c r="CA72" s="522"/>
      <x:c r="CB72" s="23"/>
      <x:c r="CE72" s="20"/>
      <x:c r="CF72" s="20"/>
      <x:c r="CG72" s="517"/>
      <x:c r="CH72" s="518"/>
      <x:c r="CI72" s="518"/>
      <x:c r="CJ72" s="518"/>
      <x:c r="CK72" s="518"/>
      <x:c r="CL72" s="518"/>
      <x:c r="CM72" s="518"/>
      <x:c r="CN72" s="518"/>
      <x:c r="CO72" s="518"/>
      <x:c r="CP72" s="518"/>
      <x:c r="CQ72" s="518"/>
      <x:c r="CR72" s="522"/>
      <x:c r="CS72" s="1339"/>
      <x:c r="CT72" s="1340"/>
      <x:c r="CU72" s="1340"/>
      <x:c r="CV72" s="1340"/>
      <x:c r="CW72" s="1341"/>
      <x:c r="CX72" s="475"/>
      <x:c r="CY72" s="475"/>
      <x:c r="CZ72" s="475"/>
      <x:c r="DA72" s="475"/>
      <x:c r="DB72" s="475"/>
      <x:c r="DC72" s="1339"/>
      <x:c r="DD72" s="1340"/>
      <x:c r="DE72" s="1340"/>
      <x:c r="DF72" s="1340"/>
      <x:c r="DG72" s="1341"/>
      <x:c r="DH72" s="475"/>
      <x:c r="DI72" s="475"/>
      <x:c r="DJ72" s="475"/>
      <x:c r="DK72" s="475"/>
      <x:c r="DL72" s="475"/>
      <x:c r="DM72" s="1339"/>
      <x:c r="DN72" s="1340"/>
      <x:c r="DO72" s="1340"/>
      <x:c r="DP72" s="1340"/>
      <x:c r="DQ72" s="1341"/>
      <x:c r="DR72" s="475"/>
      <x:c r="DS72" s="475"/>
      <x:c r="DT72" s="475"/>
      <x:c r="EB72" s="496"/>
      <x:c r="EC72" s="497"/>
      <x:c r="ED72" s="23"/>
    </x:row>
    <x:row r="73" spans="2:136" s="75" customFormat="1" ht="13.5" customHeight="1" x14ac:dyDescent="0.25">
      <x:c r="B73" s="1345" t="s">
        <x:v>464</x:v>
      </x:c>
      <x:c r="C73" s="1346">
        <x:v>0</x:v>
      </x:c>
      <x:c r="D73" s="1347" t="s">
        <x:v>464</x:v>
      </x:c>
      <x:c r="E73" s="348" t="s">
        <x:v>461</x:v>
      </x:c>
      <x:c r="F73" s="1057" t="e">
        <x:f t="shared" si="67"/>
        <x:v>#REF!</x:v>
      </x:c>
      <x:c r="G73" s="1057" t="e">
        <x:f t="shared" si="24"/>
        <x:v>#REF!</x:v>
      </x:c>
      <x:c r="H73" s="1057" t="e">
        <x:f t="shared" si="25"/>
        <x:v>#REF!</x:v>
      </x:c>
      <x:c r="I73" s="1054" t="e">
        <x:f t="shared" si="26"/>
        <x:v>#REF!</x:v>
      </x:c>
      <x:c r="J73" s="1057" t="e">
        <x:f t="shared" si="27"/>
        <x:v>#REF!</x:v>
      </x:c>
      <x:c r="K73" s="1064" t="e">
        <x:f t="shared" si="28"/>
        <x:v>#REF!</x:v>
      </x:c>
      <x:c r="L73" s="1011">
        <x:f t="shared" ca="1" si="29"/>
        <x:v>13.623796723857378</x:v>
      </x:c>
      <x:c r="M73" s="940">
        <x:f t="shared" ca="1" si="30"/>
        <x:v>30.035294733350451</x:v>
      </x:c>
      <x:c r="N73" s="1025" t="e">
        <x:f>(-#REF!*COS($F$18*PI()/180)*$F$21-#REF!*COS($I$18*PI()/180)*$I$21)*$N$99*$C$25*1000/9.81/$O$47*$D$193*#REF!-$N$47/$O$47*$C$20*$F$21</x:f>
        <x:v>#REF!</x:v>
      </x:c>
      <x:c r="O73" s="75" t="e">
        <x:f>(SQRT(((-#REF!*SIN($F$18*PI()/180)*$F$21+#REF!*SIN($I$18*PI()/180)*$I$21)*$C$25*1000)^2+(0.001*$C$25*1000*$F$21)^2)/$C$30+(-#REF!*COS($F$18*PI()/180)*$F$21-#REF!*COS($I$18*PI()/180)*$I$21)*$C$25*1000)/9.81*$O$99/$O$47*$F$193*#REF!-$N$47/$O$47*$C$20*$F$21</x:f>
        <x:v>#REF!</x:v>
      </x:c>
      <x:c r="P73" s="161" t="e">
        <x:f>(-#REF!*COS($F$18*PI()/180)*$F$21-#REF!*COS($I$18*PI()/180)*$I$21)*$N$99*$C$25*1000/9.81/$Q$47*$D$193*#REF!-$P$47/$Q$47*$C$20*$F$21</x:f>
        <x:v>#REF!</x:v>
      </x:c>
      <x:c r="Q73" s="162" t="e">
        <x:f>(SQRT(((-#REF!*SIN($F$18*PI()/180)*$F$21+#REF!*SIN($I$18*PI()/180)*$I$21)*$C$25*1000)^2+(0.001*$C$25*1000*$F$21)^2)/$C$30+(-#REF!*COS($F$18*PI()/180)*$F$21-#REF!*COS($I$18*PI()/180)*$I$21)*$C$25*1000)/9.81*$O$99/$Q$47*$F$193*#REF!-$P$47/$Q$47*$C$20*$F$21</x:f>
        <x:v>#REF!</x:v>
      </x:c>
      <x:c r="R73" s="161" t="e">
        <x:f>(-#REF!*COS($F$18*PI()/180)*$F$21-#REF!*COS($I$18*PI()/180)*$I$21)*$N$99*$C$25*1000/9.81/$S$47*$D$193*#REF!-$R$47/$S$47*$C$20*$F$21</x:f>
        <x:v>#REF!</x:v>
      </x:c>
      <x:c r="S73" s="162" t="e">
        <x:f>(SQRT(((-#REF!*SIN($F$18*PI()/180)*$F$21+#REF!*SIN($I$18*PI()/180)*$I$21)*$C$25*1000)^2+(0.001*$C$25*1000*$F$21)^2)/$C$30+(-#REF!*COS($F$18*PI()/180)*$F$21-#REF!*COS($I$18*PI()/180)*$I$21)*$C$25*1000)/9.81*$O$99/$S$47*$F$193*#REF!-$R$47/$S$47*$C$20*$F$21</x:f>
        <x:v>#REF!</x:v>
      </x:c>
      <x:c r="T73" s="161" t="e">
        <x:f>(-#REF!*COS($F$18*PI()/180)*$F$21-#REF!*COS($I$18*PI()/180)*$I$21)*$N$99*$C$25*1000/9.81/$U$47*$D$193*#REF!-$T$47/$U$47*$C$20*$F$21</x:f>
        <x:v>#REF!</x:v>
      </x:c>
      <x:c r="U73" s="162" t="e">
        <x:f>(SQRT(((-#REF!*SIN($F$18*PI()/180)*$F$21+#REF!*SIN($I$18*PI()/180)*$I$21)*$C$25*1000)^2+(0.001*$C$25*1000*$F$21)^2)/$C$30+(-#REF!*COS($F$18*PI()/180)*$F$21-#REF!*COS($I$18*PI()/180)*$I$21)*$C$25*1000)/9.81*$O$99/$U$47*$F$193*#REF!-$T$47/$U$47*$C$20*$F$21</x:f>
        <x:v>#REF!</x:v>
      </x:c>
      <x:c r="V73" s="161" t="e">
        <x:f>(-#REF!*COS($F$18*PI()/180)*$F$21-#REF!*COS($I$18*PI()/180)*$I$21)*$N$99*$C$25*1000/9.81/$W$47*$D$193*#REF!-$V$47/$W$47*$C$20*$F$21</x:f>
        <x:v>#REF!</x:v>
      </x:c>
      <x:c r="W73" s="162" t="e">
        <x:f>(SQRT(((-#REF!*SIN($F$18*PI()/180)*$F$21+#REF!*SIN($I$18*PI()/180)*$I$21)*$C$25*1000)^2+(0.001*$C$25*1000*$F$21)^2)/$C$30+(-#REF!*COS($F$18*PI()/180)*$F$21-#REF!*COS($I$18*PI()/180)*$I$21)*$C$25*1000)/9.81*$O$99/$W$47*$F$193*#REF!-$V$47/$W$47*$C$20*$F$21</x:f>
        <x:v>#REF!</x:v>
      </x:c>
      <x:c r="X73" s="161" t="e">
        <x:f>(-#REF!*COS($F$18*PI()/180)*$F$21-#REF!*COS($I$18*PI()/180)*$I$21)*$N$99*$C$25*1000/9.81/$Y$47*$D$193*#REF!-$X$47/$Y$47*$C$20*$F$21</x:f>
        <x:v>#REF!</x:v>
      </x:c>
      <x:c r="Y73" s="162" t="e">
        <x:f>(SQRT(((-#REF!*SIN($F$18*PI()/180)*$F$21+#REF!*SIN($I$18*PI()/180)*$I$21)*$C$25*1000)^2+(0.001*$C$25*1000*$F$21)^2)/$C$30+(-#REF!*COS($F$18*PI()/180)*$F$21-#REF!*COS($I$18*PI()/180)*$I$21)*$C$25*1000)/9.81*$O$99/$Y$47*$F$193*#REF!-$Y$47/$Y$47*$C$20*$F$21</x:f>
        <x:v>#REF!</x:v>
      </x:c>
      <x:c r="Z73" s="161">
        <x:f ca="1">(-'int. presets cp_10d+wd'!K30*COS($F$18*PI()/180)*$F$21-'int. presets cp_10d+wd'!K39*COS($I$18*PI()/180)*$I$21)*$N$99*$C$25*1000/9.81/$AA$47*$D$193*'int. presets cp_10d+wd'!$K$246-$Z$47/$AA$47*$C$20*$F$21</x:f>
        <x:v>10.13238444569566</x:v>
      </x:c>
      <x:c r="AA73" s="1030">
        <x:f ca="1">(SQRT(((-'int. presets cp_10d+wd'!F30*SIN($F$18*PI()/180)*$F$21+'int. presets cp_10d+wd'!F39*SIN($I$18*PI()/180)*$I$21)*$C$25*1000)^2+(0.001*$C$25*1000*$F$21)^2)/$C$30+(-'int. presets cp_10d+wd'!F30*COS($F$18*PI()/180)*$F$21-'int. presets cp_10d+wd'!F39*COS($I$18*PI()/180)*$I$21)*$C$25*1000)/9.81*$O$99/$AA$47*$F$193*'int. presets cp_10d+wd'!$F$246-$Z$47/$AA$47*$C$20*$F$21</x:f>
        <x:v>13.623796723857378</x:v>
      </x:c>
      <x:c r="AB73" s="18"/>
      <x:c r="AC73" s="20"/>
      <x:c r="AD73" s="20"/>
      <x:c r="AE73" s="355"/>
      <x:c r="AF73" s="48"/>
      <x:c r="AG73" s="472"/>
      <x:c r="AH73" s="473"/>
      <x:c r="AI73" s="473"/>
      <x:c r="AJ73" s="473"/>
      <x:c r="AK73" s="473"/>
      <x:c r="AL73" s="473"/>
      <x:c r="AM73" s="473"/>
      <x:c r="AN73" s="473"/>
      <x:c r="AO73" s="473"/>
      <x:c r="AP73" s="473"/>
      <x:c r="AQ73" s="1342"/>
      <x:c r="AR73" s="1343"/>
      <x:c r="AS73" s="1343"/>
      <x:c r="AT73" s="1343"/>
      <x:c r="AU73" s="1344"/>
      <x:c r="AV73" s="473"/>
      <x:c r="AW73" s="473"/>
      <x:c r="AX73" s="473"/>
      <x:c r="AY73" s="473"/>
      <x:c r="AZ73" s="473"/>
      <x:c r="BA73" s="1342"/>
      <x:c r="BB73" s="1343"/>
      <x:c r="BC73" s="1343"/>
      <x:c r="BD73" s="1343"/>
      <x:c r="BE73" s="1344"/>
      <x:c r="BF73" s="473"/>
      <x:c r="BG73" s="473"/>
      <x:c r="BH73" s="473"/>
      <x:c r="BI73" s="473"/>
      <x:c r="BJ73" s="473"/>
      <x:c r="BK73" s="1342"/>
      <x:c r="BL73" s="1343"/>
      <x:c r="BM73" s="1343"/>
      <x:c r="BN73" s="1343"/>
      <x:c r="BO73" s="1344"/>
      <x:c r="BP73" s="519"/>
      <x:c r="BQ73" s="520"/>
      <x:c r="BR73" s="520"/>
      <x:c r="BS73" s="520"/>
      <x:c r="BT73" s="520"/>
      <x:c r="BU73" s="520"/>
      <x:c r="BV73" s="520"/>
      <x:c r="BW73" s="520"/>
      <x:c r="BX73" s="520"/>
      <x:c r="BY73" s="520"/>
      <x:c r="BZ73" s="520"/>
      <x:c r="CA73" s="521"/>
      <x:c r="CB73" s="18"/>
      <x:c r="CE73" s="20"/>
      <x:c r="CF73" s="20"/>
      <x:c r="CG73" s="519"/>
      <x:c r="CH73" s="520"/>
      <x:c r="CI73" s="520"/>
      <x:c r="CJ73" s="520"/>
      <x:c r="CK73" s="520"/>
      <x:c r="CL73" s="520"/>
      <x:c r="CM73" s="520"/>
      <x:c r="CN73" s="520"/>
      <x:c r="CO73" s="520"/>
      <x:c r="CP73" s="520"/>
      <x:c r="CQ73" s="520"/>
      <x:c r="CR73" s="521"/>
      <x:c r="CS73" s="1342"/>
      <x:c r="CT73" s="1343"/>
      <x:c r="CU73" s="1343"/>
      <x:c r="CV73" s="1343"/>
      <x:c r="CW73" s="1344"/>
      <x:c r="CX73" s="473"/>
      <x:c r="CY73" s="473"/>
      <x:c r="CZ73" s="473"/>
      <x:c r="DA73" s="473"/>
      <x:c r="DB73" s="473"/>
      <x:c r="DC73" s="1342"/>
      <x:c r="DD73" s="1343"/>
      <x:c r="DE73" s="1343"/>
      <x:c r="DF73" s="1343"/>
      <x:c r="DG73" s="1344"/>
      <x:c r="DH73" s="473"/>
      <x:c r="DI73" s="473"/>
      <x:c r="DJ73" s="473"/>
      <x:c r="DK73" s="473"/>
      <x:c r="DL73" s="473"/>
      <x:c r="DM73" s="1342"/>
      <x:c r="DN73" s="1343"/>
      <x:c r="DO73" s="1343"/>
      <x:c r="DP73" s="1343"/>
      <x:c r="DQ73" s="1344"/>
      <x:c r="DR73" s="473"/>
      <x:c r="DS73" s="473"/>
      <x:c r="DT73" s="473"/>
      <x:c r="EB73" s="498"/>
      <x:c r="EC73" s="499"/>
      <x:c r="ED73" s="18"/>
    </x:row>
    <x:row r="74" spans="2:136" s="75" customFormat="1" ht="13.5" customHeight="1" thickBot="1" x14ac:dyDescent="0.25">
      <x:c r="B74" s="1348" t="e">
        <x:v>#REF!</x:v>
      </x:c>
      <x:c r="C74" s="1349">
        <x:v>0</x:v>
      </x:c>
      <x:c r="D74" s="1350">
        <x:v>0</x:v>
      </x:c>
      <x:c r="E74" s="344" t="s">
        <x:v>462</x:v>
      </x:c>
      <x:c r="F74" s="1055" t="e">
        <x:f t="shared" si="67"/>
        <x:v>#REF!</x:v>
      </x:c>
      <x:c r="G74" s="1055" t="e">
        <x:f t="shared" si="24"/>
        <x:v>#REF!</x:v>
      </x:c>
      <x:c r="H74" s="1055" t="e">
        <x:f t="shared" si="25"/>
        <x:v>#REF!</x:v>
      </x:c>
      <x:c r="I74" s="1056" t="e">
        <x:f t="shared" si="26"/>
        <x:v>#REF!</x:v>
      </x:c>
      <x:c r="J74" s="1055" t="e">
        <x:f t="shared" si="27"/>
        <x:v>#REF!</x:v>
      </x:c>
      <x:c r="K74" s="1063" t="e">
        <x:f t="shared" si="28"/>
        <x:v>#REF!</x:v>
      </x:c>
      <x:c r="L74" s="1012">
        <x:f t="shared" ca="1" si="29"/>
        <x:v>13.623796723857378</x:v>
      </x:c>
      <x:c r="M74" s="941">
        <x:f t="shared" ca="1" si="30"/>
        <x:v>30.035294733350451</x:v>
      </x:c>
      <x:c r="N74" s="1027" t="e">
        <x:f>(-#REF!*COS($F$18*PI()/180)*$F$21-#REF!*COS($I$18*PI()/180)*$I$21)*$N$99*$C$25*1000/9.81/$O$47*$D$193*#REF!-$N$47/$O$47*$C$20*$F$21</x:f>
        <x:v>#REF!</x:v>
      </x:c>
      <x:c r="O74" s="936" t="e">
        <x:f>(SQRT(((-#REF!*SIN($F$18*PI()/180)*$F$21+#REF!*SIN($I$18*PI()/180)*$I$21)*$C$25*1000)^2+(0.001*$C$25*1000*$F$21)^2)/$C$30+(-#REF!*COS($F$18*PI()/180)*$F$21-#REF!*COS($I$18*PI()/180)*$I$21)*$C$25*1000)/9.81*$O$99/$O$47*$F$193*#REF!-$N$47/$O$47*$C$20*$F$21</x:f>
        <x:v>#REF!</x:v>
      </x:c>
      <x:c r="P74" s="199" t="e">
        <x:f>(-#REF!*COS($F$18*PI()/180)*$F$21-#REF!*COS($I$18*PI()/180)*$I$21)*$N$99*$C$25*1000/9.81/$Q$47*$D$193*#REF!-$P$47/$Q$47*$C$20*$F$21</x:f>
        <x:v>#REF!</x:v>
      </x:c>
      <x:c r="Q74" s="164" t="e">
        <x:f>(SQRT(((-#REF!*SIN($F$18*PI()/180)*$F$21+#REF!*SIN($I$18*PI()/180)*$I$21)*$C$25*1000)^2+(0.001*$C$25*1000*$F$21)^2)/$C$30+(-#REF!*COS($F$18*PI()/180)*$F$21-#REF!*COS($I$18*PI()/180)*$I$21)*$C$25*1000)/9.81*$O$99/$Q$47*$F$193*#REF!-$P$47/$Q$47*$C$20*$F$21</x:f>
        <x:v>#REF!</x:v>
      </x:c>
      <x:c r="R74" s="199" t="e">
        <x:f>(-#REF!*COS($F$18*PI()/180)*$F$21-#REF!*COS($I$18*PI()/180)*$I$21)*$N$99*$C$25*1000/9.81/$S$47*$D$193*#REF!-$R$47/$S$47*$C$20*$F$21</x:f>
        <x:v>#REF!</x:v>
      </x:c>
      <x:c r="S74" s="164" t="e">
        <x:f>(SQRT(((-#REF!*SIN($F$18*PI()/180)*$F$21+#REF!*SIN($I$18*PI()/180)*$I$21)*$C$25*1000)^2+(0.001*$C$25*1000*$F$21)^2)/$C$30+(-#REF!*COS($F$18*PI()/180)*$F$21-#REF!*COS($I$18*PI()/180)*$I$21)*$C$25*1000)/9.81*$O$99/$S$47*$F$193*#REF!-$R$47/$S$47*$C$20*$F$21</x:f>
        <x:v>#REF!</x:v>
      </x:c>
      <x:c r="T74" s="199" t="e">
        <x:f>(-#REF!*COS($F$18*PI()/180)*$F$21-#REF!*COS($I$18*PI()/180)*$I$21)*$N$99*$C$25*1000/9.81/$U$47*$D$193*#REF!-$T$47/$U$47*$C$20*$F$21</x:f>
        <x:v>#REF!</x:v>
      </x:c>
      <x:c r="U74" s="164" t="e">
        <x:f>(SQRT(((-#REF!*SIN($F$18*PI()/180)*$F$21+#REF!*SIN($I$18*PI()/180)*$I$21)*$C$25*1000)^2+(0.001*$C$25*1000*$F$21)^2)/$C$30+(-#REF!*COS($F$18*PI()/180)*$F$21-#REF!*COS($I$18*PI()/180)*$I$21)*$C$25*1000)/9.81*$O$99/$U$47*$F$193*#REF!-$T$47/$U$47*$C$20*$F$21</x:f>
        <x:v>#REF!</x:v>
      </x:c>
      <x:c r="V74" s="199" t="e">
        <x:f>(-#REF!*COS($F$18*PI()/180)*$F$21-#REF!*COS($I$18*PI()/180)*$I$21)*$N$99*$C$25*1000/9.81/$W$47*$D$193*#REF!-$V$47/$W$47*$C$20*$F$21</x:f>
        <x:v>#REF!</x:v>
      </x:c>
      <x:c r="W74" s="164" t="e">
        <x:f>(SQRT(((-#REF!*SIN($F$18*PI()/180)*$F$21+#REF!*SIN($I$18*PI()/180)*$I$21)*$C$25*1000)^2+(0.001*$C$25*1000*$F$21)^2)/$C$30+(-#REF!*COS($F$18*PI()/180)*$F$21-#REF!*COS($I$18*PI()/180)*$I$21)*$C$25*1000)/9.81*$O$99/$W$47*$F$193*#REF!-$V$47/$W$47*$C$20*$F$21</x:f>
        <x:v>#REF!</x:v>
      </x:c>
      <x:c r="X74" s="199" t="e">
        <x:f>(-#REF!*COS($F$18*PI()/180)*$F$21-#REF!*COS($I$18*PI()/180)*$I$21)*$N$99*$C$25*1000/9.81/$Y$47*$D$193*#REF!-$X$47/$Y$47*$C$20*$F$21</x:f>
        <x:v>#REF!</x:v>
      </x:c>
      <x:c r="Y74" s="164" t="e">
        <x:f>(SQRT(((-#REF!*SIN($F$18*PI()/180)*$F$21+#REF!*SIN($I$18*PI()/180)*$I$21)*$C$25*1000)^2+(0.001*$C$25*1000*$F$21)^2)/$C$30+(-#REF!*COS($F$18*PI()/180)*$F$21-#REF!*COS($I$18*PI()/180)*$I$21)*$C$25*1000)/9.81*$O$99/$Y$47*$F$193*#REF!-$Y$47/$Y$47*$C$20*$F$21</x:f>
        <x:v>#REF!</x:v>
      </x:c>
      <x:c r="Z74" s="199">
        <x:f ca="1">(-'int. presets cp_10d+wd'!K31*COS($F$18*PI()/180)*$F$21-'int. presets cp_10d+wd'!K40*COS($I$18*PI()/180)*$I$21)*$N$99*$C$25*1000/9.81/$AA$47*$D$193*'int. presets cp_10d+wd'!$K$246-$Z$47/$AA$47*$C$20*$F$21</x:f>
        <x:v>4.3114161902204984</x:v>
      </x:c>
      <x:c r="AA74" s="1028">
        <x:f ca="1">(SQRT(((-'int. presets cp_10d+wd'!F31*SIN($F$18*PI()/180)*$F$21+'int. presets cp_10d+wd'!F40*SIN($I$18*PI()/180)*$I$21)*$C$25*1000)^2+(0.001*$C$25*1000*$F$21)^2)/$C$30+(-'int. presets cp_10d+wd'!F31*COS($F$18*PI()/180)*$F$21-'int. presets cp_10d+wd'!F40*COS($I$18*PI()/180)*$I$21)*$C$25*1000)/9.81*$O$99/$AA$47*$F$193*'int. presets cp_10d+wd'!$F$246-$Z$47/$AA$47*$C$20*$F$21</x:f>
        <x:v>13.623796723857378</x:v>
      </x:c>
      <x:c r="AB74" s="18"/>
      <x:c r="AE74" s="1699">
        <x:f>IF(60&lt;('building data'!$C$20),MAX(0,'building data'!$C$20-60),0)</x:f>
        <x:v>31.439999999999998</x:v>
      </x:c>
      <x:c r="AF74" s="1700"/>
      <x:c r="AG74" s="1700"/>
      <x:c r="AH74" s="1700"/>
      <x:c r="AI74" s="1700"/>
      <x:c r="AJ74" s="1700"/>
      <x:c r="AK74" s="1700"/>
      <x:c r="AL74" s="1700"/>
      <x:c r="AM74" s="1700"/>
      <x:c r="AN74" s="1700"/>
      <x:c r="AO74" s="1700"/>
      <x:c r="AP74" s="1700"/>
      <x:c r="AQ74" s="1700"/>
      <x:c r="AR74" s="1700"/>
      <x:c r="AS74" s="1700"/>
      <x:c r="AT74" s="1700"/>
      <x:c r="AU74" s="1701"/>
      <x:c r="AV74" s="1699">
        <x:f>IF(60&lt;('building data'!$C$20),20,MAX('building data'!$C$20-40,0))</x:f>
        <x:v>20</x:v>
      </x:c>
      <x:c r="AW74" s="1700"/>
      <x:c r="AX74" s="1700"/>
      <x:c r="AY74" s="1700"/>
      <x:c r="AZ74" s="1700"/>
      <x:c r="BA74" s="1700"/>
      <x:c r="BB74" s="1700"/>
      <x:c r="BC74" s="1700"/>
      <x:c r="BD74" s="1700"/>
      <x:c r="BE74" s="1701"/>
      <x:c r="BF74" s="1699">
        <x:f>IF(40&lt;('building data'!$C$20),20,MAX('building data'!$C$20-20,0))</x:f>
        <x:v>20</x:v>
      </x:c>
      <x:c r="BG74" s="1700"/>
      <x:c r="BH74" s="1700"/>
      <x:c r="BI74" s="1700"/>
      <x:c r="BJ74" s="1700"/>
      <x:c r="BK74" s="1700"/>
      <x:c r="BL74" s="1700"/>
      <x:c r="BM74" s="1700"/>
      <x:c r="BN74" s="1700"/>
      <x:c r="BO74" s="1701"/>
      <x:c r="BP74" s="1614">
        <x:f>IF(20&lt;('building data'!$C$20),20,('building data'!$C$20))</x:f>
        <x:v>20</x:v>
      </x:c>
      <x:c r="BQ74" s="1615"/>
      <x:c r="BR74" s="1615"/>
      <x:c r="BS74" s="1615"/>
      <x:c r="BT74" s="1615"/>
      <x:c r="BU74" s="1615"/>
      <x:c r="BV74" s="1615"/>
      <x:c r="BW74" s="1615"/>
      <x:c r="BX74" s="1615"/>
      <x:c r="BY74" s="1615"/>
      <x:c r="BZ74" s="1615"/>
      <x:c r="CA74" s="1616"/>
      <x:c r="CG74" s="1614">
        <x:f>IF(20&lt;('building data'!$C$20),20,('building data'!$C$20))</x:f>
        <x:v>20</x:v>
      </x:c>
      <x:c r="CH74" s="1615"/>
      <x:c r="CI74" s="1615"/>
      <x:c r="CJ74" s="1615"/>
      <x:c r="CK74" s="1615"/>
      <x:c r="CL74" s="1615"/>
      <x:c r="CM74" s="1615"/>
      <x:c r="CN74" s="1615"/>
      <x:c r="CO74" s="1615"/>
      <x:c r="CP74" s="1615"/>
      <x:c r="CQ74" s="1615"/>
      <x:c r="CR74" s="1616"/>
      <x:c r="CS74" s="1702">
        <x:f>IF(40&lt;('building data'!$C$20),20,MAX('building data'!$C$20-20,0))</x:f>
        <x:v>20</x:v>
      </x:c>
      <x:c r="CT74" s="1703"/>
      <x:c r="CU74" s="1703"/>
      <x:c r="CV74" s="1703"/>
      <x:c r="CW74" s="1703"/>
      <x:c r="CX74" s="1703"/>
      <x:c r="CY74" s="1703"/>
      <x:c r="CZ74" s="1703"/>
      <x:c r="DA74" s="1703"/>
      <x:c r="DB74" s="1704"/>
      <x:c r="DC74" s="1702">
        <x:f>IF(60&lt;('building data'!$C$20),20,MAX('building data'!$C$20-40,0))</x:f>
        <x:v>20</x:v>
      </x:c>
      <x:c r="DD74" s="1703"/>
      <x:c r="DE74" s="1703"/>
      <x:c r="DF74" s="1703"/>
      <x:c r="DG74" s="1703"/>
      <x:c r="DH74" s="1703"/>
      <x:c r="DI74" s="1703"/>
      <x:c r="DJ74" s="1703"/>
      <x:c r="DK74" s="1703"/>
      <x:c r="DL74" s="1704"/>
      <x:c r="DM74" s="1702">
        <x:f>IF(60&lt;('building data'!$C$20),MAX(0,'building data'!$C$20-60),0)</x:f>
        <x:v>31.439999999999998</x:v>
      </x:c>
      <x:c r="DN74" s="1703"/>
      <x:c r="DO74" s="1703"/>
      <x:c r="DP74" s="1703"/>
      <x:c r="DQ74" s="1703"/>
      <x:c r="DR74" s="1703"/>
      <x:c r="DS74" s="1703"/>
      <x:c r="DT74" s="1703"/>
      <x:c r="DU74" s="1703"/>
      <x:c r="DV74" s="1703"/>
      <x:c r="DW74" s="1703"/>
      <x:c r="DX74" s="1703"/>
      <x:c r="DY74" s="1703"/>
      <x:c r="DZ74" s="1703"/>
      <x:c r="EA74" s="1703"/>
      <x:c r="EB74" s="1703"/>
      <x:c r="EC74" s="1704"/>
    </x:row>
    <x:row r="75" spans="2:136" s="75" customFormat="1" ht="13.5" customHeight="1" x14ac:dyDescent="0.2">
      <x:c r="B75" s="1345" t="s">
        <x:v>465</x:v>
      </x:c>
      <x:c r="C75" s="1346">
        <x:v>0</x:v>
      </x:c>
      <x:c r="D75" s="1347" t="s">
        <x:v>465</x:v>
      </x:c>
      <x:c r="E75" s="348" t="s">
        <x:v>461</x:v>
      </x:c>
      <x:c r="F75" s="1057" t="e">
        <x:f t="shared" si="67"/>
        <x:v>#REF!</x:v>
      </x:c>
      <x:c r="G75" s="1057" t="e">
        <x:f t="shared" si="24"/>
        <x:v>#REF!</x:v>
      </x:c>
      <x:c r="H75" s="1057" t="e">
        <x:f t="shared" si="25"/>
        <x:v>#REF!</x:v>
      </x:c>
      <x:c r="I75" s="1054" t="e">
        <x:f t="shared" si="26"/>
        <x:v>#REF!</x:v>
      </x:c>
      <x:c r="J75" s="1057" t="e">
        <x:f t="shared" si="27"/>
        <x:v>#REF!</x:v>
      </x:c>
      <x:c r="K75" s="1064" t="e">
        <x:f t="shared" si="28"/>
        <x:v>#REF!</x:v>
      </x:c>
      <x:c r="L75" s="1011">
        <x:f t="shared" ca="1" si="29"/>
        <x:v>13.623796723857378</x:v>
      </x:c>
      <x:c r="M75" s="940">
        <x:f t="shared" ca="1" si="30"/>
        <x:v>30.035294733350451</x:v>
      </x:c>
      <x:c r="N75" s="1025" t="e">
        <x:f>(-#REF!*COS($F$18*PI()/180)*$F$21-#REF!*COS($I$18*PI()/180)*$I$21)*$N$99*$C$25*1000/9.81/$O$47*$D$193*#REF!-$N$47/$O$47*$C$20*$F$21</x:f>
        <x:v>#REF!</x:v>
      </x:c>
      <x:c r="O75" s="75" t="e">
        <x:f>(SQRT(((-#REF!*SIN($F$18*PI()/180)*$F$21+#REF!*SIN($I$18*PI()/180)*$I$21)*$C$25*1000)^2+(0.001*$C$25*1000*$F$21)^2)/$C$30+(-#REF!*COS($F$18*PI()/180)*$F$21-#REF!*COS($I$18*PI()/180)*$I$21)*$C$25*1000)/9.81*$O$99/$O$47*$F$193*#REF!-$N$47/$O$47*$C$20*$F$21</x:f>
        <x:v>#REF!</x:v>
      </x:c>
      <x:c r="P75" s="161" t="e">
        <x:f>(-#REF!*COS($F$18*PI()/180)*$F$21-#REF!*COS($I$18*PI()/180)*$I$21)*$N$99*$C$25*1000/9.81/$Q$47*$D$193*#REF!-$P$47/$Q$47*$C$20*$F$21</x:f>
        <x:v>#REF!</x:v>
      </x:c>
      <x:c r="Q75" s="198" t="e">
        <x:f>(SQRT(((-#REF!*SIN($F$18*PI()/180)*$F$21+#REF!*SIN($I$18*PI()/180)*$I$21)*$C$25*1000)^2+(0.001*$C$25*1000*$F$21)^2)/$C$30+(-#REF!*COS($F$18*PI()/180)*$F$21-#REF!*COS($I$18*PI()/180)*$I$21)*$C$25*1000)/9.81*$O$99/$Q$47*$F$193*#REF!-$P$47/$Q$47*$C$20*$F$21</x:f>
        <x:v>#REF!</x:v>
      </x:c>
      <x:c r="R75" s="161" t="e">
        <x:f>(-#REF!*COS($F$18*PI()/180)*$F$21-#REF!*COS($I$18*PI()/180)*$I$21)*$N$99*$C$25*1000/9.81/$S$47*$D$193*#REF!-$R$47/$S$47*$C$20*$F$21</x:f>
        <x:v>#REF!</x:v>
      </x:c>
      <x:c r="S75" s="198" t="e">
        <x:f>(SQRT(((-#REF!*SIN($F$18*PI()/180)*$F$21+#REF!*SIN($I$18*PI()/180)*$I$21)*$C$25*1000)^2+(0.001*$C$25*1000*$F$21)^2)/$C$30+(-#REF!*COS($F$18*PI()/180)*$F$21-#REF!*COS($I$18*PI()/180)*$I$21)*$C$25*1000)/9.81*$O$99/$S$47*$F$193*#REF!-$R$47/$S$47*$C$20*$F$21</x:f>
        <x:v>#REF!</x:v>
      </x:c>
      <x:c r="T75" s="161" t="e">
        <x:f>(-#REF!*COS($F$18*PI()/180)*$F$21-#REF!*COS($I$18*PI()/180)*$I$21)*$N$99*$C$25*1000/9.81/$U$47*$D$193*#REF!-$T$47/$U$47*$C$20*$F$21</x:f>
        <x:v>#REF!</x:v>
      </x:c>
      <x:c r="U75" s="198" t="e">
        <x:f>(SQRT(((-#REF!*SIN($F$18*PI()/180)*$F$21+#REF!*SIN($I$18*PI()/180)*$I$21)*$C$25*1000)^2+(0.001*$C$25*1000*$F$21)^2)/$C$30+(-#REF!*COS($F$18*PI()/180)*$F$21-#REF!*COS($I$18*PI()/180)*$I$21)*$C$25*1000)/9.81*$O$99/$U$47*$F$193*#REF!-$T$47/$U$47*$C$20*$F$21</x:f>
        <x:v>#REF!</x:v>
      </x:c>
      <x:c r="V75" s="161" t="e">
        <x:f>(-#REF!*COS($F$18*PI()/180)*$F$21-#REF!*COS($I$18*PI()/180)*$I$21)*$N$99*$C$25*1000/9.81/$W$47*$D$193*#REF!-$V$47/$W$47*$C$20*$F$21</x:f>
        <x:v>#REF!</x:v>
      </x:c>
      <x:c r="W75" s="198" t="e">
        <x:f>(SQRT(((-#REF!*SIN($F$18*PI()/180)*$F$21+#REF!*SIN($I$18*PI()/180)*$I$21)*$C$25*1000)^2+(0.001*$C$25*1000*$F$21)^2)/$C$30+(-#REF!*COS($F$18*PI()/180)*$F$21-#REF!*COS($I$18*PI()/180)*$I$21)*$C$25*1000)/9.81*$O$99/$W$47*$F$193*#REF!-$V$47/$W$47*$C$20*$F$21</x:f>
        <x:v>#REF!</x:v>
      </x:c>
      <x:c r="X75" s="161" t="e">
        <x:f>(-#REF!*COS($F$18*PI()/180)*$F$21-#REF!*COS($I$18*PI()/180)*$I$21)*$N$99*$C$25*1000/9.81/$Y$47*$D$193*#REF!-$X$47/$Y$47*$C$20*$F$21</x:f>
        <x:v>#REF!</x:v>
      </x:c>
      <x:c r="Y75" s="198" t="e">
        <x:f>(SQRT(((-#REF!*SIN($F$18*PI()/180)*$F$21+#REF!*SIN($I$18*PI()/180)*$I$21)*$C$25*1000)^2+(0.001*$C$25*1000*$F$21)^2)/$C$30+(-#REF!*COS($F$18*PI()/180)*$F$21-#REF!*COS($I$18*PI()/180)*$I$21)*$C$25*1000)/9.81*$O$99/$Y$47*$F$193*#REF!-$Y$47/$Y$47*$C$20*$F$21</x:f>
        <x:v>#REF!</x:v>
      </x:c>
      <x:c r="Z75" s="161">
        <x:f ca="1">(-'int. presets cp_10d+wd'!K32*COS($F$18*PI()/180)*$F$21-'int. presets cp_10d+wd'!K41*COS($I$18*PI()/180)*$I$21)*$N$99*$C$25*1000/9.81/$AA$47*$D$193*'int. presets cp_10d+wd'!$K$246-$Z$47/$AA$47*$C$20*$F$21</x:f>
        <x:v>11.420234285194713</x:v>
      </x:c>
      <x:c r="AA75" s="1026">
        <x:f ca="1">(SQRT(((-'int. presets cp_10d+wd'!F32*SIN($F$18*PI()/180)*$F$21+'int. presets cp_10d+wd'!F41*SIN($I$18*PI()/180)*$I$21)*$C$25*1000)^2+(0.001*$C$25*1000*$F$21)^2)/$C$30+(-'int. presets cp_10d+wd'!F32*COS($F$18*PI()/180)*$F$21-'int. presets cp_10d+wd'!F41*COS($I$18*PI()/180)*$I$21)*$C$25*1000)/9.81*$O$99/$AA$47*$F$193*'int. presets cp_10d+wd'!$F$246-$Z$47/$AA$47*$C$20*$F$21</x:f>
        <x:v>13.623796723857378</x:v>
      </x:c>
      <x:c r="AB75" s="18"/>
      <x:c r="AE75" s="1696" t="s">
        <x:v>0</x:v>
      </x:c>
      <x:c r="AF75" s="1697"/>
      <x:c r="AG75" s="1697"/>
      <x:c r="AH75" s="1697"/>
      <x:c r="AI75" s="1697"/>
      <x:c r="AJ75" s="1697"/>
      <x:c r="AK75" s="1697"/>
      <x:c r="AL75" s="1697"/>
      <x:c r="AM75" s="1697"/>
      <x:c r="AN75" s="1697"/>
      <x:c r="AO75" s="1697"/>
      <x:c r="AP75" s="1697"/>
      <x:c r="AQ75" s="1697"/>
      <x:c r="AR75" s="1697"/>
      <x:c r="AS75" s="1697"/>
      <x:c r="AT75" s="1697"/>
      <x:c r="AU75" s="1698"/>
      <x:c r="AV75" s="1696" t="s">
        <x:v>0</x:v>
      </x:c>
      <x:c r="AW75" s="1697"/>
      <x:c r="AX75" s="1697"/>
      <x:c r="AY75" s="1697"/>
      <x:c r="AZ75" s="1697"/>
      <x:c r="BA75" s="1697"/>
      <x:c r="BB75" s="1697"/>
      <x:c r="BC75" s="1697"/>
      <x:c r="BD75" s="1697"/>
      <x:c r="BE75" s="1698"/>
      <x:c r="BF75" s="1705" t="s">
        <x:v>0</x:v>
      </x:c>
      <x:c r="BG75" s="1706"/>
      <x:c r="BH75" s="1706"/>
      <x:c r="BI75" s="1706"/>
      <x:c r="BJ75" s="1706"/>
      <x:c r="BK75" s="1706"/>
      <x:c r="BL75" s="1706"/>
      <x:c r="BM75" s="1706"/>
      <x:c r="BN75" s="1706"/>
      <x:c r="BO75" s="1707"/>
      <x:c r="BP75" s="1708" t="s">
        <x:v>0</x:v>
      </x:c>
      <x:c r="BQ75" s="1709"/>
      <x:c r="BR75" s="1709"/>
      <x:c r="BS75" s="1709"/>
      <x:c r="BT75" s="1709"/>
      <x:c r="BU75" s="1709"/>
      <x:c r="BV75" s="1709"/>
      <x:c r="BW75" s="1709"/>
      <x:c r="BX75" s="1709"/>
      <x:c r="BY75" s="1709"/>
      <x:c r="BZ75" s="1709"/>
      <x:c r="CA75" s="1710"/>
      <x:c r="CG75" s="1708" t="s">
        <x:v>0</x:v>
      </x:c>
      <x:c r="CH75" s="1709"/>
      <x:c r="CI75" s="1709"/>
      <x:c r="CJ75" s="1709"/>
      <x:c r="CK75" s="1709"/>
      <x:c r="CL75" s="1709"/>
      <x:c r="CM75" s="1709"/>
      <x:c r="CN75" s="1709"/>
      <x:c r="CO75" s="1709"/>
      <x:c r="CP75" s="1709"/>
      <x:c r="CQ75" s="1709"/>
      <x:c r="CR75" s="1710"/>
      <x:c r="CS75" s="1705" t="s">
        <x:v>0</x:v>
      </x:c>
      <x:c r="CT75" s="1706"/>
      <x:c r="CU75" s="1706"/>
      <x:c r="CV75" s="1706"/>
      <x:c r="CW75" s="1706"/>
      <x:c r="CX75" s="1706"/>
      <x:c r="CY75" s="1706"/>
      <x:c r="CZ75" s="1706"/>
      <x:c r="DA75" s="1706"/>
      <x:c r="DB75" s="1707"/>
      <x:c r="DC75" s="1696" t="s">
        <x:v>0</x:v>
      </x:c>
      <x:c r="DD75" s="1697"/>
      <x:c r="DE75" s="1697"/>
      <x:c r="DF75" s="1697"/>
      <x:c r="DG75" s="1697"/>
      <x:c r="DH75" s="1697"/>
      <x:c r="DI75" s="1697"/>
      <x:c r="DJ75" s="1697"/>
      <x:c r="DK75" s="1697"/>
      <x:c r="DL75" s="1698"/>
      <x:c r="DM75" s="1696" t="s">
        <x:v>0</x:v>
      </x:c>
      <x:c r="DN75" s="1697"/>
      <x:c r="DO75" s="1697"/>
      <x:c r="DP75" s="1697"/>
      <x:c r="DQ75" s="1697"/>
      <x:c r="DR75" s="1697"/>
      <x:c r="DS75" s="1697"/>
      <x:c r="DT75" s="1697"/>
      <x:c r="DU75" s="1697"/>
      <x:c r="DV75" s="1697"/>
      <x:c r="DW75" s="1697"/>
      <x:c r="DX75" s="1697"/>
      <x:c r="DY75" s="1697"/>
      <x:c r="DZ75" s="1697"/>
      <x:c r="EA75" s="1697"/>
      <x:c r="EB75" s="1697"/>
      <x:c r="EC75" s="1698"/>
    </x:row>
    <x:row r="76" spans="2:136" s="75" customFormat="1" ht="13.5" customHeight="1" thickBot="1" x14ac:dyDescent="0.25">
      <x:c r="B76" s="1351" t="e">
        <x:v>#REF!</x:v>
      </x:c>
      <x:c r="C76" s="1352">
        <x:v>0</x:v>
      </x:c>
      <x:c r="D76" s="1353">
        <x:v>0</x:v>
      </x:c>
      <x:c r="E76" s="992" t="s">
        <x:v>462</x:v>
      </x:c>
      <x:c r="F76" s="1055" t="e">
        <x:f t="shared" si="67"/>
        <x:v>#REF!</x:v>
      </x:c>
      <x:c r="G76" s="1055" t="e">
        <x:f t="shared" si="24"/>
        <x:v>#REF!</x:v>
      </x:c>
      <x:c r="H76" s="1055" t="e">
        <x:f t="shared" si="25"/>
        <x:v>#REF!</x:v>
      </x:c>
      <x:c r="I76" s="1056" t="e">
        <x:f t="shared" si="26"/>
        <x:v>#REF!</x:v>
      </x:c>
      <x:c r="J76" s="1055" t="e">
        <x:f t="shared" si="27"/>
        <x:v>#REF!</x:v>
      </x:c>
      <x:c r="K76" s="1063" t="e">
        <x:f t="shared" si="28"/>
        <x:v>#REF!</x:v>
      </x:c>
      <x:c r="L76" s="1013">
        <x:f t="shared" ca="1" si="29"/>
        <x:v>13.623796723857378</x:v>
      </x:c>
      <x:c r="M76" s="990">
        <x:f t="shared" ca="1" si="30"/>
        <x:v>30.035294733350451</x:v>
      </x:c>
      <x:c r="N76" s="1029" t="e">
        <x:f>(-#REF!*COS($F$18*PI()/180)*$F$21-#REF!*COS($I$18*PI()/180)*$I$21)*$N$99*$C$25*1000/9.81/$O$47*$D$193*#REF!-$N$47/$O$47*$C$20*$F$21</x:f>
        <x:v>#REF!</x:v>
      </x:c>
      <x:c r="O76" s="991" t="e">
        <x:f>(SQRT(((-#REF!*SIN($F$18*PI()/180)*$F$21+#REF!*SIN($I$18*PI()/180)*$I$21)*$C$25*1000)^2+(0.001*$C$25*1000*$F$21)^2)/$C$30+(-#REF!*COS($F$18*PI()/180)*$F$21-#REF!*COS($I$18*PI()/180)*$I$21)*$C$25*1000)/9.81*$O$99/$O$47*$F$193*#REF!-$N$47/$O$47*$C$20*$F$21</x:f>
        <x:v>#REF!</x:v>
      </x:c>
      <x:c r="P76" s="161" t="e">
        <x:f>(-#REF!*COS($F$18*PI()/180)*$F$21-#REF!*COS($I$18*PI()/180)*$I$21)*$N$99*$C$25*1000/9.81/$Q$47*$D$193*#REF!-$P$47/$Q$47*$C$20*$F$21</x:f>
        <x:v>#REF!</x:v>
      </x:c>
      <x:c r="Q76" s="162" t="e">
        <x:f>(SQRT(((-#REF!*SIN($F$18*PI()/180)*$F$21+#REF!*SIN($I$18*PI()/180)*$I$21)*$C$25*1000)^2+(0.001*$C$25*1000*$F$21)^2)/$C$30+(-#REF!*COS($F$18*PI()/180)*$F$21-#REF!*COS($I$18*PI()/180)*$I$21)*$C$25*1000)/9.81*$O$99/$Q$47*$F$193*#REF!-$P$47/$Q$47*$C$20*$F$21</x:f>
        <x:v>#REF!</x:v>
      </x:c>
      <x:c r="R76" s="161" t="e">
        <x:f>(-#REF!*COS($F$18*PI()/180)*$F$21-#REF!*COS($I$18*PI()/180)*$I$21)*$N$99*$C$25*1000/9.81/$S$47*$D$193*#REF!-$R$47/$S$47*$C$20*$F$21</x:f>
        <x:v>#REF!</x:v>
      </x:c>
      <x:c r="S76" s="162" t="e">
        <x:f>(SQRT(((-#REF!*SIN($F$18*PI()/180)*$F$21+#REF!*SIN($I$18*PI()/180)*$I$21)*$C$25*1000)^2+(0.001*$C$25*1000*$F$21)^2)/$C$30+(-#REF!*COS($F$18*PI()/180)*$F$21-#REF!*COS($I$18*PI()/180)*$I$21)*$C$25*1000)/9.81*$O$99/$S$47*$F$193*#REF!-$R$47/$S$47*$C$20*$F$21</x:f>
        <x:v>#REF!</x:v>
      </x:c>
      <x:c r="T76" s="161" t="e">
        <x:f>(-#REF!*COS($F$18*PI()/180)*$F$21-#REF!*COS($I$18*PI()/180)*$I$21)*$N$99*$C$25*1000/9.81/$U$47*$D$193*#REF!-$T$47/$U$47*$C$20*$F$21</x:f>
        <x:v>#REF!</x:v>
      </x:c>
      <x:c r="U76" s="162" t="e">
        <x:f>(SQRT(((-#REF!*SIN($F$18*PI()/180)*$F$21+#REF!*SIN($I$18*PI()/180)*$I$21)*$C$25*1000)^2+(0.001*$C$25*1000*$F$21)^2)/$C$30+(-#REF!*COS($F$18*PI()/180)*$F$21-#REF!*COS($I$18*PI()/180)*$I$21)*$C$25*1000)/9.81*$O$99/$U$47*$F$193*#REF!-$T$47/$U$47*$C$20*$F$21</x:f>
        <x:v>#REF!</x:v>
      </x:c>
      <x:c r="V76" s="161" t="e">
        <x:f>(-#REF!*COS($F$18*PI()/180)*$F$21-#REF!*COS($I$18*PI()/180)*$I$21)*$N$99*$C$25*1000/9.81/$W$47*$D$193*#REF!-$V$47/$W$47*$C$20*$F$21</x:f>
        <x:v>#REF!</x:v>
      </x:c>
      <x:c r="W76" s="162" t="e">
        <x:f>(SQRT(((-#REF!*SIN($F$18*PI()/180)*$F$21+#REF!*SIN($I$18*PI()/180)*$I$21)*$C$25*1000)^2+(0.001*$C$25*1000*$F$21)^2)/$C$30+(-#REF!*COS($F$18*PI()/180)*$F$21-#REF!*COS($I$18*PI()/180)*$I$21)*$C$25*1000)/9.81*$O$99/$W$47*$F$193*#REF!-$V$47/$W$47*$C$20*$F$21</x:f>
        <x:v>#REF!</x:v>
      </x:c>
      <x:c r="X76" s="161" t="e">
        <x:f>(-#REF!*COS($F$18*PI()/180)*$F$21-#REF!*COS($I$18*PI()/180)*$I$21)*$N$99*$C$25*1000/9.81/$Y$47*$D$193*#REF!-$X$47/$Y$47*$C$20*$F$21</x:f>
        <x:v>#REF!</x:v>
      </x:c>
      <x:c r="Y76" s="162" t="e">
        <x:f>(SQRT(((-#REF!*SIN($F$18*PI()/180)*$F$21+#REF!*SIN($I$18*PI()/180)*$I$21)*$C$25*1000)^2+(0.001*$C$25*1000*$F$21)^2)/$C$30+(-#REF!*COS($F$18*PI()/180)*$F$21-#REF!*COS($I$18*PI()/180)*$I$21)*$C$25*1000)/9.81*$O$99/$Y$47*$F$193*#REF!-$Y$47/$Y$47*$C$20*$F$21</x:f>
        <x:v>#REF!</x:v>
      </x:c>
      <x:c r="Z76" s="161">
        <x:f ca="1">(-'int. presets cp_10d+wd'!K33*COS($F$18*PI()/180)*$F$21-'int. presets cp_10d+wd'!K42*COS($I$18*PI()/180)*$I$21)*$N$99*$C$25*1000/9.81/$AA$47*$D$193*'int. presets cp_10d+wd'!$K$246-$Z$47/$AA$47*$C$20*$F$21</x:f>
        <x:v>3.9253498706787724</x:v>
      </x:c>
      <x:c r="AA76" s="1030">
        <x:f ca="1">(SQRT(((-'int. presets cp_10d+wd'!F33*SIN($F$18*PI()/180)*$F$21+'int. presets cp_10d+wd'!F42*SIN($I$18*PI()/180)*$I$21)*$C$25*1000)^2+(0.001*$C$25*1000*$F$21)^2)/$C$30+(-'int. presets cp_10d+wd'!F33*COS($F$18*PI()/180)*$F$21-'int. presets cp_10d+wd'!F42*COS($I$18*PI()/180)*$I$21)*$C$25*1000)/9.81*$O$99/$AA$47*$F$193*'int. presets cp_10d+wd'!$F$246-$Z$47/$AA$47*$C$20*$F$21</x:f>
        <x:v>13.623796723857378</x:v>
      </x:c>
      <x:c r="AB76" s="18"/>
      <x:c r="AC76" s="163"/>
      <x:c r="AE76" s="1693" t="s">
        <x:v>47</x:v>
      </x:c>
      <x:c r="AF76" s="1694"/>
      <x:c r="AG76" s="1694"/>
      <x:c r="AH76" s="1694"/>
      <x:c r="AI76" s="1694"/>
      <x:c r="AJ76" s="1694"/>
      <x:c r="AK76" s="1694"/>
      <x:c r="AL76" s="1694"/>
      <x:c r="AM76" s="1694"/>
      <x:c r="AN76" s="1694"/>
      <x:c r="AO76" s="1694"/>
      <x:c r="AP76" s="1694"/>
      <x:c r="AQ76" s="1694"/>
      <x:c r="AR76" s="1694"/>
      <x:c r="AS76" s="1694"/>
      <x:c r="AT76" s="1694"/>
      <x:c r="AU76" s="1695"/>
      <x:c r="AV76" s="1693" t="s">
        <x:v>75</x:v>
      </x:c>
      <x:c r="AW76" s="1694"/>
      <x:c r="AX76" s="1694"/>
      <x:c r="AY76" s="1694"/>
      <x:c r="AZ76" s="1694"/>
      <x:c r="BA76" s="1694"/>
      <x:c r="BB76" s="1694"/>
      <x:c r="BC76" s="1694"/>
      <x:c r="BD76" s="1694"/>
      <x:c r="BE76" s="1695"/>
      <x:c r="BF76" s="1333" t="s">
        <x:v>77</x:v>
      </x:c>
      <x:c r="BG76" s="1334"/>
      <x:c r="BH76" s="1334"/>
      <x:c r="BI76" s="1334"/>
      <x:c r="BJ76" s="1334"/>
      <x:c r="BK76" s="1334"/>
      <x:c r="BL76" s="1334"/>
      <x:c r="BM76" s="1334"/>
      <x:c r="BN76" s="1334"/>
      <x:c r="BO76" s="1335"/>
      <x:c r="BP76" s="1330" t="s">
        <x:v>79</x:v>
      </x:c>
      <x:c r="BQ76" s="1331"/>
      <x:c r="BR76" s="1331"/>
      <x:c r="BS76" s="1331"/>
      <x:c r="BT76" s="1331"/>
      <x:c r="BU76" s="1331"/>
      <x:c r="BV76" s="1331"/>
      <x:c r="BW76" s="1331"/>
      <x:c r="BX76" s="1331"/>
      <x:c r="BY76" s="1331"/>
      <x:c r="BZ76" s="1331"/>
      <x:c r="CA76" s="1332"/>
      <x:c r="CG76" s="1330" t="s">
        <x:v>79</x:v>
      </x:c>
      <x:c r="CH76" s="1331"/>
      <x:c r="CI76" s="1331"/>
      <x:c r="CJ76" s="1331"/>
      <x:c r="CK76" s="1331"/>
      <x:c r="CL76" s="1331"/>
      <x:c r="CM76" s="1331"/>
      <x:c r="CN76" s="1331"/>
      <x:c r="CO76" s="1331"/>
      <x:c r="CP76" s="1331"/>
      <x:c r="CQ76" s="1331"/>
      <x:c r="CR76" s="1332"/>
      <x:c r="CS76" s="1333" t="s">
        <x:v>77</x:v>
      </x:c>
      <x:c r="CT76" s="1334"/>
      <x:c r="CU76" s="1334"/>
      <x:c r="CV76" s="1334"/>
      <x:c r="CW76" s="1334"/>
      <x:c r="CX76" s="1334"/>
      <x:c r="CY76" s="1334"/>
      <x:c r="CZ76" s="1334"/>
      <x:c r="DA76" s="1334"/>
      <x:c r="DB76" s="1335"/>
      <x:c r="DC76" s="1693" t="s">
        <x:v>75</x:v>
      </x:c>
      <x:c r="DD76" s="1694"/>
      <x:c r="DE76" s="1694"/>
      <x:c r="DF76" s="1694"/>
      <x:c r="DG76" s="1694"/>
      <x:c r="DH76" s="1694"/>
      <x:c r="DI76" s="1694"/>
      <x:c r="DJ76" s="1694"/>
      <x:c r="DK76" s="1694"/>
      <x:c r="DL76" s="1695"/>
      <x:c r="DM76" s="1693" t="s">
        <x:v>47</x:v>
      </x:c>
      <x:c r="DN76" s="1694"/>
      <x:c r="DO76" s="1694"/>
      <x:c r="DP76" s="1694"/>
      <x:c r="DQ76" s="1694"/>
      <x:c r="DR76" s="1694"/>
      <x:c r="DS76" s="1694"/>
      <x:c r="DT76" s="1694"/>
      <x:c r="DU76" s="1694"/>
      <x:c r="DV76" s="1694"/>
      <x:c r="DW76" s="1694"/>
      <x:c r="DX76" s="1694"/>
      <x:c r="DY76" s="1694"/>
      <x:c r="DZ76" s="1694"/>
      <x:c r="EA76" s="1694"/>
      <x:c r="EB76" s="1694"/>
      <x:c r="EC76" s="1695"/>
    </x:row>
    <x:row r="77" spans="2:136" s="75" customFormat="1" ht="13.5" customHeight="1" thickTop="1" thickBot="1" x14ac:dyDescent="0.25">
      <x:c r="B77" s="1380" t="s">
        <x:v>342</x:v>
      </x:c>
      <x:c r="C77" s="1381"/>
      <x:c r="D77" s="1381"/>
      <x:c r="E77" s="1381"/>
      <x:c r="F77" s="1381"/>
      <x:c r="G77" s="1381"/>
      <x:c r="H77" s="1381"/>
      <x:c r="I77" s="1381"/>
      <x:c r="J77" s="1381"/>
      <x:c r="K77" s="1381"/>
      <x:c r="L77" s="1382"/>
      <x:c r="M77" s="1048"/>
      <x:c r="N77" s="1006"/>
      <x:c r="O77" s="1007"/>
      <x:c r="P77" s="1007"/>
      <x:c r="Q77" s="1007"/>
      <x:c r="R77" s="1007"/>
      <x:c r="S77" s="1007"/>
      <x:c r="T77" s="1007"/>
      <x:c r="U77" s="1007"/>
      <x:c r="V77" s="1007"/>
      <x:c r="W77" s="1007"/>
      <x:c r="X77" s="1007"/>
      <x:c r="Y77" s="1007"/>
      <x:c r="Z77" s="1007"/>
      <x:c r="AA77" s="1010"/>
      <x:c r="AB77" s="18"/>
      <x:c r="AC77" s="163"/>
    </x:row>
    <x:row r="78" spans="2:136" s="75" customFormat="1" ht="13.5" customHeight="1" x14ac:dyDescent="0.2">
      <x:c r="B78" s="1345" t="s">
        <x:v>460</x:v>
      </x:c>
      <x:c r="C78" s="1346">
        <x:v>0</x:v>
      </x:c>
      <x:c r="D78" s="1347">
        <x:v>0</x:v>
      </x:c>
      <x:c r="E78" s="545" t="s">
        <x:v>461</x:v>
      </x:c>
      <x:c r="F78" s="1053" t="e">
        <x:f t="shared" ref="F78:F85" si="68">MAX(N78,O78)</x:f>
        <x:v>#REF!</x:v>
      </x:c>
      <x:c r="G78" s="1053" t="e">
        <x:f t="shared" si="24"/>
        <x:v>#REF!</x:v>
      </x:c>
      <x:c r="H78" s="1053" t="e">
        <x:f t="shared" si="25"/>
        <x:v>#REF!</x:v>
      </x:c>
      <x:c r="I78" s="1061" t="e">
        <x:f t="shared" si="26"/>
        <x:v>#REF!</x:v>
      </x:c>
      <x:c r="J78" s="1053" t="e">
        <x:f t="shared" si="27"/>
        <x:v>#REF!</x:v>
      </x:c>
      <x:c r="K78" s="1062" t="e">
        <x:f t="shared" si="28"/>
        <x:v>#REF!</x:v>
      </x:c>
      <x:c r="L78" s="1011">
        <x:f t="shared" ca="1" si="29"/>
        <x:v>16.439902420316582</x:v>
      </x:c>
      <x:c r="M78" s="940">
        <x:f t="shared" ca="1" si="30"/>
        <x:v>36.243737673878336</x:v>
      </x:c>
      <x:c r="N78" s="1035" t="e">
        <x:f>(-#REF!*COS($F$18*PI()/180)*$F$21-#REF!*COS($I$18*PI()/180)*$I$21)*$N$99*$C$25*1000/9.81/$O$47*$D$193*#REF!-$N$47/$O$47*$C$20*$F$21</x:f>
        <x:v>#REF!</x:v>
      </x:c>
      <x:c r="O78" s="75" t="e">
        <x:f>(SQRT(((-#REF!*SIN($F$18*PI()/180)*$F$21+#REF!*SIN($I$18*PI()/180)*$I$21)*$C$25*1000)^2+(0.001*$C$25*1000*$F$21)^2)/$C$30+(-#REF!*COS($F$18*PI()/180)*$F$21-#REF!*COS($I$18*PI()/180)*$I$21)*$C$25*1000)/9.81*$O$99/$O$47*$F$193*#REF!-$N$47/$O$47*$C$20*$F$21</x:f>
        <x:v>#REF!</x:v>
      </x:c>
      <x:c r="P78" s="181" t="e">
        <x:f>(-#REF!*COS($F$18*PI()/180)*$F$21-#REF!*COS($I$18*PI()/180)*$I$21)*$N$99*$C$25*1000/9.81/$Q$47*$D$193*#REF!-$P$47/$Q$47*$C$20*$F$21</x:f>
        <x:v>#REF!</x:v>
      </x:c>
      <x:c r="Q78" s="198" t="e">
        <x:f>(SQRT(((-#REF!*SIN($F$18*PI()/180)*$F$21+#REF!*SIN($I$18*PI()/180)*$I$21)*$C$25*1000)^2+(0.001*$C$25*1000*$F$21)^2)/$C$30+(-#REF!*COS($F$18*PI()/180)*$F$21-#REF!*COS($I$18*PI()/180)*$I$21)*$C$25*1000)/9.81*$O$99/$Q$47*$F$193*#REF!-$P$47/$Q$47*$C$20*$F$21</x:f>
        <x:v>#REF!</x:v>
      </x:c>
      <x:c r="R78" s="181" t="e">
        <x:f>(-#REF!*COS($F$18*PI()/180)*$F$21-#REF!*COS($I$18*PI()/180)*$I$21)*$N$99*$C$25*1000/9.81/$S$47*$D$193*#REF!-$R$47/$S$47*$C$20*$F$21</x:f>
        <x:v>#REF!</x:v>
      </x:c>
      <x:c r="S78" s="198" t="e">
        <x:f>(SQRT(((-#REF!*SIN($F$18*PI()/180)*$F$21+#REF!*SIN($I$18*PI()/180)*$I$21)*$C$25*1000)^2+(0.001*$C$25*1000*$F$21)^2)/$C$30+(-#REF!*COS($F$18*PI()/180)*$F$21-#REF!*COS($I$18*PI()/180)*$I$21)*$C$25*1000)/9.81*$O$99/$S$47*$F$193*#REF!-$R$47/$S$47*$C$20*$F$21</x:f>
        <x:v>#REF!</x:v>
      </x:c>
      <x:c r="T78" s="181" t="e">
        <x:f>(-#REF!*COS($F$18*PI()/180)*$F$21-#REF!*COS($I$18*PI()/180)*$I$21)*$N$99*$C$25*1000/9.81/$U$47*$D$193*#REF!-$T$47/$U$47*$C$20*$F$21</x:f>
        <x:v>#REF!</x:v>
      </x:c>
      <x:c r="U78" s="198" t="e">
        <x:f>(SQRT(((-#REF!*SIN($F$18*PI()/180)*$F$21+#REF!*SIN($I$18*PI()/180)*$I$21)*$C$25*1000)^2+(0.001*$C$25*1000*$F$21)^2)/$C$30+(-#REF!*COS($F$18*PI()/180)*$F$21-#REF!*COS($I$18*PI()/180)*$I$21)*$C$25*1000)/9.81*$O$99/$U$47*$F$193*#REF!-$T$47/$U$47*$C$20*$F$21</x:f>
        <x:v>#REF!</x:v>
      </x:c>
      <x:c r="V78" s="181" t="e">
        <x:f>(-#REF!*COS($F$18*PI()/180)*$F$21-#REF!*COS($I$18*PI()/180)*$I$21)*$N$99*$C$25*1000/9.81/$W$47*$D$193*#REF!-$V$47/$W$47*$C$20*$F$21</x:f>
        <x:v>#REF!</x:v>
      </x:c>
      <x:c r="W78" s="198" t="e">
        <x:f>(SQRT(((-#REF!*SIN($F$18*PI()/180)*$F$21+#REF!*SIN($I$18*PI()/180)*$I$21)*$C$25*1000)^2+(0.001*$C$25*1000*$F$21)^2)/$C$30+(-#REF!*COS($F$18*PI()/180)*$F$21-#REF!*COS($I$18*PI()/180)*$I$21)*$C$25*1000)/9.81*$O$99/$W$47*$F$193*#REF!-$V$47/$W$47*$C$20*$F$21</x:f>
        <x:v>#REF!</x:v>
      </x:c>
      <x:c r="X78" s="181" t="e">
        <x:f>(-#REF!*COS($F$18*PI()/180)*$F$21-#REF!*COS($I$18*PI()/180)*$I$21)*$N$99*$C$25*1000/9.81/$Y$47*$D$193*#REF!-$X$47/$Y$47*$C$20*$F$21</x:f>
        <x:v>#REF!</x:v>
      </x:c>
      <x:c r="Y78" s="198" t="e">
        <x:f>(SQRT(((-#REF!*SIN($F$18*PI()/180)*$F$21+#REF!*SIN($I$18*PI()/180)*$I$21)*$C$25*1000)^2+(0.001*$C$25*1000*$F$21)^2)/$C$30+(-#REF!*COS($F$18*PI()/180)*$F$21-#REF!*COS($I$18*PI()/180)*$I$21)*$C$25*1000)/9.81*$O$99/$Y$47*$F$193*#REF!-$X$47/$Y$47*$C$20*$F$21</x:f>
        <x:v>#REF!</x:v>
      </x:c>
      <x:c r="Z78" s="181">
        <x:f ca="1">(-'int. presets cp_10d+wd'!L26*COS($F$18*PI()/180)*$F$21-'int. presets cp_10d+wd'!L35*COS($I$18*PI()/180)*$I$21)*$N$99*$C$25*1000/9.81/$AA$47*$D$193*'int. presets cp_10d+wd'!$L$246-$Z$47/$AA$47*$C$20*$F$21</x:f>
        <x:v>16.439902420316582</x:v>
      </x:c>
      <x:c r="AA78" s="1026">
        <x:f ca="1">(SQRT(((-'int. presets cp_10d+wd'!G26*SIN($F$18*PI()/180)*$F$21+'int. presets cp_10d+wd'!G35*SIN($I$18*PI()/180)*$I$21)*$C$25*1000)^2+(0.001*$C$25*1000*$F$21)^2)/$C$30+(-'int. presets cp_10d+wd'!G26*COS($F$18*PI()/180)*$F$21-'int. presets cp_10d+wd'!G35*COS($I$18*PI()/180)*$I$21)*$C$25*1000)/9.81*$O$99/$AA$47*$F$193*'int. presets cp_10d+wd'!$G$246-$Z$47/$AA$47*$C$20*$F$21</x:f>
        <x:v>10.647475541175726</x:v>
      </x:c>
      <x:c r="AB78" s="18"/>
    </x:row>
    <x:row r="79" spans="2:136" s="75" customFormat="1" ht="13.5" customHeight="1" thickBot="1" x14ac:dyDescent="0.25">
      <x:c r="B79" s="1348">
        <x:v>0</x:v>
      </x:c>
      <x:c r="C79" s="1349">
        <x:v>0</x:v>
      </x:c>
      <x:c r="D79" s="1350">
        <x:v>0</x:v>
      </x:c>
      <x:c r="E79" s="547" t="s">
        <x:v>462</x:v>
      </x:c>
      <x:c r="F79" s="1055" t="e">
        <x:f t="shared" si="68"/>
        <x:v>#REF!</x:v>
      </x:c>
      <x:c r="G79" s="1055" t="e">
        <x:f t="shared" si="24"/>
        <x:v>#REF!</x:v>
      </x:c>
      <x:c r="H79" s="1055" t="e">
        <x:f t="shared" si="25"/>
        <x:v>#REF!</x:v>
      </x:c>
      <x:c r="I79" s="1056" t="e">
        <x:f t="shared" si="26"/>
        <x:v>#REF!</x:v>
      </x:c>
      <x:c r="J79" s="1055" t="e">
        <x:f t="shared" si="27"/>
        <x:v>#REF!</x:v>
      </x:c>
      <x:c r="K79" s="1063" t="e">
        <x:f t="shared" si="28"/>
        <x:v>#REF!</x:v>
      </x:c>
      <x:c r="L79" s="1012">
        <x:f t="shared" ca="1" si="29"/>
        <x:v>18.395524363835452</x:v>
      </x:c>
      <x:c r="M79" s="941">
        <x:f t="shared" ca="1" si="30"/>
        <x:v>40.555140922998909</x:v>
      </x:c>
      <x:c r="N79" s="1027" t="e">
        <x:f>(-#REF!*COS($F$18*PI()/180)*$F$21-#REF!*COS($I$18*PI()/180)*$I$21)*$N$99*$C$25*1000/9.81/$O$47*$D$193*#REF!-$N$47/$O$47*$C$20*$F$21</x:f>
        <x:v>#REF!</x:v>
      </x:c>
      <x:c r="O79" s="936" t="e">
        <x:f>(SQRT(((-#REF!*SIN($F$18*PI()/180)*$F$21+#REF!*SIN($I$18*PI()/180)*$I$21)*$C$25*1000)^2+(0.001*$C$25*1000*$F$21)^2)/$C$30+(-#REF!*COS($F$18*PI()/180)*$F$21-#REF!*COS($I$18*PI()/180)*$I$21)*$C$25*1000)/9.81*$O$99/$O$47*$F$193*#REF!-$N$47/$O$47*$C$20*$F$21</x:f>
        <x:v>#REF!</x:v>
      </x:c>
      <x:c r="P79" s="199" t="e">
        <x:f>(-#REF!*COS($F$18*PI()/180)*$F$21-#REF!*COS($I$18*PI()/180)*$I$21)*$N$99*$C$25*1000/9.81/$Q$47*$D$193*#REF!-$P$47/$Q$47*$C$20*$F$21</x:f>
        <x:v>#REF!</x:v>
      </x:c>
      <x:c r="Q79" s="164" t="e">
        <x:f>(SQRT(((-#REF!*SIN($F$18*PI()/180)*$F$21+#REF!*SIN($I$18*PI()/180)*$I$21)*$C$25*1000)^2+(0.001*$C$25*1000*$F$21)^2)/$C$30+(-#REF!*COS($F$18*PI()/180)*$F$21-#REF!*COS($I$18*PI()/180)*$I$21)*$C$25*1000)/9.81*$O$99/$Q$47*$F$193*#REF!-$P$47/$Q$47*$C$20*$F$21</x:f>
        <x:v>#REF!</x:v>
      </x:c>
      <x:c r="R79" s="199" t="e">
        <x:f>(-#REF!*COS($F$18*PI()/180)*$F$21-#REF!*COS($I$18*PI()/180)*$I$21)*$N$99*$C$25*1000/9.81/$S$47*$D$193*#REF!-$R$47/$S$47*$C$20*$F$21</x:f>
        <x:v>#REF!</x:v>
      </x:c>
      <x:c r="S79" s="164" t="e">
        <x:f>(SQRT(((-#REF!*SIN($F$18*PI()/180)*$F$21+#REF!*SIN($I$18*PI()/180)*$I$21)*$C$25*1000)^2+(0.001*$C$25*1000*$F$21)^2)/$C$30+(-#REF!*COS($F$18*PI()/180)*$F$21-#REF!*COS($I$18*PI()/180)*$I$21)*$C$25*1000)/9.81*$O$99/$S$47*$F$193*#REF!-$R$47/$S$47*$C$20*$F$21</x:f>
        <x:v>#REF!</x:v>
      </x:c>
      <x:c r="T79" s="199" t="e">
        <x:f>(-#REF!*COS($F$18*PI()/180)*$F$21-#REF!*COS($I$18*PI()/180)*$I$21)*$N$99*$C$25*1000/9.81/$U$47*$D$193*#REF!-$T$47/$U$47*$C$20*$F$21</x:f>
        <x:v>#REF!</x:v>
      </x:c>
      <x:c r="U79" s="164" t="e">
        <x:f>(SQRT(((-#REF!*SIN($F$18*PI()/180)*$F$21+#REF!*SIN($I$18*PI()/180)*$I$21)*$C$25*1000)^2+(0.001*$C$25*1000*$F$21)^2)/$C$30+(-#REF!*COS($F$18*PI()/180)*$F$21-#REF!*COS($I$18*PI()/180)*$I$21)*$C$25*1000)/9.81*$O$99/$U$47*$F$193*#REF!-$T$47/$U$47*$C$20*$F$21</x:f>
        <x:v>#REF!</x:v>
      </x:c>
      <x:c r="V79" s="199" t="e">
        <x:f>(-#REF!*COS($F$18*PI()/180)*$F$21-#REF!*COS($I$18*PI()/180)*$I$21)*$N$99*$C$25*1000/9.81/$W$47*$D$193*#REF!-$V$47/$W$47*$C$20*$F$21</x:f>
        <x:v>#REF!</x:v>
      </x:c>
      <x:c r="W79" s="164" t="e">
        <x:f>(SQRT(((-#REF!*SIN($F$18*PI()/180)*$F$21+#REF!*SIN($I$18*PI()/180)*$I$21)*$C$25*1000)^2+(0.001*$C$25*1000*$F$21)^2)/$C$30+(-#REF!*COS($F$18*PI()/180)*$F$21-#REF!*COS($I$18*PI()/180)*$I$21)*$C$25*1000)/9.81*$O$99/$W$47*$F$193*#REF!-$V$47/$W$47*$C$20*$F$21</x:f>
        <x:v>#REF!</x:v>
      </x:c>
      <x:c r="X79" s="199" t="e">
        <x:f>(-#REF!*COS($F$18*PI()/180)*$F$21-#REF!*COS($I$18*PI()/180)*$I$21)*$N$99*$C$25*1000/9.81/$Y$47*$D$193*#REF!-$X$47/$Y$47*$C$20*$F$21</x:f>
        <x:v>#REF!</x:v>
      </x:c>
      <x:c r="Y79" s="164" t="e">
        <x:f>(SQRT(((-#REF!*SIN($F$18*PI()/180)*$F$21+#REF!*SIN($I$18*PI()/180)*$I$21)*$C$25*1000)^2+(0.001*$C$25*1000*$F$21)^2)/$C$30+(-#REF!*COS($F$18*PI()/180)*$F$21-#REF!*COS($I$18*PI()/180)*$I$21)*$C$25*1000)/9.81*$O$99/$Y$47*$F$193*#REF!-$X$47/$Y$47*$C$20*$F$21</x:f>
        <x:v>#REF!</x:v>
      </x:c>
      <x:c r="Z79" s="199">
        <x:f ca="1">(-'int. presets cp_10d+wd'!L27*COS($F$18*PI()/180)*$F$21-'int. presets cp_10d+wd'!L36*COS($I$18*PI()/180)*$I$21)*$N$99*$C$25*1000/9.81/$AA$47*$D$193*'int. presets cp_10d+wd'!$L$246-$Z$47/$AA$47*$C$20*$F$21</x:f>
        <x:v>18.395524363835452</x:v>
      </x:c>
      <x:c r="AA79" s="1028">
        <x:f ca="1">(SQRT(((-'int. presets cp_10d+wd'!G27*SIN($F$18*PI()/180)*$F$21+'int. presets cp_10d+wd'!G36*SIN($I$18*PI()/180)*$I$21)*$C$25*1000)^2+(0.001*$C$25*1000*$F$21)^2)/$C$30+(-'int. presets cp_10d+wd'!G27*COS($F$18*PI()/180)*$F$21-'int. presets cp_10d+wd'!G36*COS($I$18*PI()/180)*$I$21)*$C$25*1000)/9.81*$O$99/$AA$47*$F$193*'int. presets cp_10d+wd'!$G$246-$Z$47/$AA$47*$C$20*$F$21</x:f>
        <x:v>10.647475541175726</x:v>
      </x:c>
      <x:c r="AB79" s="18"/>
      <x:c r="AC79" s="163"/>
    </x:row>
    <x:row r="80" spans="2:136" s="75" customFormat="1" ht="13.5" customHeight="1" x14ac:dyDescent="0.2">
      <x:c r="B80" s="1345" t="s">
        <x:v>463</x:v>
      </x:c>
      <x:c r="C80" s="1346">
        <x:v>0</x:v>
      </x:c>
      <x:c r="D80" s="1347" t="s">
        <x:v>463</x:v>
      </x:c>
      <x:c r="E80" s="546" t="s">
        <x:v>461</x:v>
      </x:c>
      <x:c r="F80" s="1057" t="e">
        <x:f t="shared" si="68"/>
        <x:v>#REF!</x:v>
      </x:c>
      <x:c r="G80" s="1057" t="e">
        <x:f t="shared" si="24"/>
        <x:v>#REF!</x:v>
      </x:c>
      <x:c r="H80" s="1057" t="e">
        <x:f t="shared" si="25"/>
        <x:v>#REF!</x:v>
      </x:c>
      <x:c r="I80" s="1054" t="e">
        <x:f t="shared" si="26"/>
        <x:v>#REF!</x:v>
      </x:c>
      <x:c r="J80" s="1057" t="e">
        <x:f t="shared" si="27"/>
        <x:v>#REF!</x:v>
      </x:c>
      <x:c r="K80" s="1064" t="e">
        <x:f t="shared" si="28"/>
        <x:v>#REF!</x:v>
      </x:c>
      <x:c r="L80" s="1011">
        <x:f t="shared" ca="1" si="29"/>
        <x:v>10.647475541175726</x:v>
      </x:c>
      <x:c r="M80" s="940">
        <x:f t="shared" ca="1" si="30"/>
        <x:v>23.473637527586828</x:v>
      </x:c>
      <x:c r="N80" s="1025" t="e">
        <x:f>(-#REF!*COS($F$18*PI()/180)*$F$21-#REF!*COS($I$18*PI()/180)*$I$21)*$N$99*$C$25*1000/9.81/$O$47*$D$193*#REF!-$N$47/$O$47*$C$20*$F$21</x:f>
        <x:v>#REF!</x:v>
      </x:c>
      <x:c r="O80" s="75" t="e">
        <x:f>(SQRT(((-#REF!*SIN($F$18*PI()/180)*$F$21+#REF!*SIN($I$18*PI()/180)*$I$21)*$C$25*1000)^2+(0.001*$C$25*1000*$F$21)^2)/$C$30+(-#REF!*COS($F$18*PI()/180)*$F$21-#REF!*COS($I$18*PI()/180)*$I$21)*$C$25*1000)/9.81*$O$99/$O$47*$F$193*#REF!-$N$47/$O$47*$C$20*$F$21</x:f>
        <x:v>#REF!</x:v>
      </x:c>
      <x:c r="P80" s="161" t="e">
        <x:f>(-#REF!*COS($F$18*PI()/180)*$F$21-#REF!*COS($I$18*PI()/180)*$I$21)*$N$99*$C$25*1000/9.81/$Q$47*$D$193*#REF!-$P$47/$Q$47*$C$20*$F$21</x:f>
        <x:v>#REF!</x:v>
      </x:c>
      <x:c r="Q80" s="162" t="e">
        <x:f>(SQRT(((-#REF!*SIN($F$18*PI()/180)*$F$21+#REF!*SIN($I$18*PI()/180)*$I$21)*$C$25*1000)^2+(0.001*$C$25*1000*$F$21)^2)/$C$30+(-#REF!*COS($F$18*PI()/180)*$F$21-#REF!*COS($I$18*PI()/180)*$I$21)*$C$25*1000)/9.81*$O$99/$Q$47*$F$193*#REF!-$P$47/$Q$47*$C$20*$F$21</x:f>
        <x:v>#REF!</x:v>
      </x:c>
      <x:c r="R80" s="161" t="e">
        <x:f>(-#REF!*COS($F$18*PI()/180)*$F$21-#REF!*COS($I$18*PI()/180)*$I$21)*$N$99*$C$25*1000/9.81/$S$47*$D$193*#REF!-$R$47/$S$47*$C$20*$F$21</x:f>
        <x:v>#REF!</x:v>
      </x:c>
      <x:c r="S80" s="162" t="e">
        <x:f>(SQRT(((-#REF!*SIN($F$18*PI()/180)*$F$21+#REF!*SIN($I$18*PI()/180)*$I$21)*$C$25*1000)^2+(0.001*$C$25*1000*$F$21)^2)/$C$30+(-#REF!*COS($F$18*PI()/180)*$F$21-#REF!*COS($I$18*PI()/180)*$I$21)*$C$25*1000)/9.81*$O$99/$S$47*$F$193*#REF!-$R$47/$S$47*$C$20*$F$21</x:f>
        <x:v>#REF!</x:v>
      </x:c>
      <x:c r="T80" s="161" t="e">
        <x:f>(-#REF!*COS($F$18*PI()/180)*$F$21-#REF!*COS($I$18*PI()/180)*$I$21)*$N$99*$C$25*1000/9.81/$U$47*$D$193*#REF!-$T$47/$U$47*$C$20*$F$21</x:f>
        <x:v>#REF!</x:v>
      </x:c>
      <x:c r="U80" s="162" t="e">
        <x:f>(SQRT(((-#REF!*SIN($F$18*PI()/180)*$F$21+#REF!*SIN($I$18*PI()/180)*$I$21)*$C$25*1000)^2+(0.001*$C$25*1000*$F$21)^2)/$C$30+(-#REF!*COS($F$18*PI()/180)*$F$21-#REF!*COS($I$18*PI()/180)*$I$21)*$C$25*1000)/9.81*$O$99/$U$47*$F$193*#REF!-$T$47/$U$47*$C$20*$F$21</x:f>
        <x:v>#REF!</x:v>
      </x:c>
      <x:c r="V80" s="161" t="e">
        <x:f>(-#REF!*COS($F$18*PI()/180)*$F$21-#REF!*COS($I$18*PI()/180)*$I$21)*$N$99*$C$25*1000/9.81/$W$47*$D$193*#REF!-$V$47/$W$47*$C$20*$F$21</x:f>
        <x:v>#REF!</x:v>
      </x:c>
      <x:c r="W80" s="162" t="e">
        <x:f>(SQRT(((-#REF!*SIN($F$18*PI()/180)*$F$21+#REF!*SIN($I$18*PI()/180)*$I$21)*$C$25*1000)^2+(0.001*$C$25*1000*$F$21)^2)/$C$30+(-#REF!*COS($F$18*PI()/180)*$F$21-#REF!*COS($I$18*PI()/180)*$I$21)*$C$25*1000)/9.81*$O$99/$W$47*$F$193*#REF!-$V$47/$W$47*$C$20*$F$21</x:f>
        <x:v>#REF!</x:v>
      </x:c>
      <x:c r="X80" s="161" t="e">
        <x:f>(-#REF!*COS($F$18*PI()/180)*$F$21-#REF!*COS($I$18*PI()/180)*$I$21)*$N$99*$C$25*1000/9.81/$Y$47*$D$193*#REF!-$X$47/$Y$47*$C$20*$F$21</x:f>
        <x:v>#REF!</x:v>
      </x:c>
      <x:c r="Y80" s="162" t="e">
        <x:f>(SQRT(((-#REF!*SIN($F$18*PI()/180)*$F$21+#REF!*SIN($I$18*PI()/180)*$I$21)*$C$25*1000)^2+(0.001*$C$25*1000*$F$21)^2)/$C$30+(-#REF!*COS($F$18*PI()/180)*$F$21-#REF!*COS($I$18*PI()/180)*$I$21)*$C$25*1000)/9.81*$O$99/$Y$47*$F$193*#REF!-$X$47/$Y$47*$C$20*$F$21</x:f>
        <x:v>#REF!</x:v>
      </x:c>
      <x:c r="Z80" s="161">
        <x:f ca="1">(-'int. presets cp_10d+wd'!L28*COS($F$18*PI()/180)*$F$21-'int. presets cp_10d+wd'!L37*COS($I$18*PI()/180)*$I$21)*$N$99*$C$25*1000/9.81/$AA$47*$D$193*'int. presets cp_10d+wd'!$L$246-$Z$47/$AA$47*$C$20*$F$21</x:f>
        <x:v>-4.968635769134405</x:v>
      </x:c>
      <x:c r="AA80" s="1030">
        <x:f ca="1">(SQRT(((-'int. presets cp_10d+wd'!G28*SIN($F$18*PI()/180)*$F$21+'int. presets cp_10d+wd'!G37*SIN($I$18*PI()/180)*$I$21)*$C$25*1000)^2+(0.001*$C$25*1000*$F$21)^2)/$C$30+(-'int. presets cp_10d+wd'!G28*COS($F$18*PI()/180)*$F$21-'int. presets cp_10d+wd'!G37*COS($I$18*PI()/180)*$I$21)*$C$25*1000)/9.81*$O$99/$AA$47*$F$193*'int. presets cp_10d+wd'!$G$246-$Z$47/$AA$47*$C$20*$F$21</x:f>
        <x:v>10.647475541175726</x:v>
      </x:c>
      <x:c r="AB80" s="18"/>
      <x:c r="AC80" s="163"/>
    </x:row>
    <x:row r="81" spans="2:136" s="75" customFormat="1" ht="13.5" customHeight="1" thickBot="1" x14ac:dyDescent="0.25">
      <x:c r="B81" s="1348" t="e">
        <x:v>#REF!</x:v>
      </x:c>
      <x:c r="C81" s="1349">
        <x:v>0</x:v>
      </x:c>
      <x:c r="D81" s="1350">
        <x:v>0</x:v>
      </x:c>
      <x:c r="E81" s="547" t="s">
        <x:v>462</x:v>
      </x:c>
      <x:c r="F81" s="1055" t="e">
        <x:f t="shared" si="68"/>
        <x:v>#REF!</x:v>
      </x:c>
      <x:c r="G81" s="1055" t="e">
        <x:f t="shared" si="24"/>
        <x:v>#REF!</x:v>
      </x:c>
      <x:c r="H81" s="1055" t="e">
        <x:f t="shared" si="25"/>
        <x:v>#REF!</x:v>
      </x:c>
      <x:c r="I81" s="1056" t="e">
        <x:f t="shared" si="26"/>
        <x:v>#REF!</x:v>
      </x:c>
      <x:c r="J81" s="1055" t="e">
        <x:f t="shared" si="27"/>
        <x:v>#REF!</x:v>
      </x:c>
      <x:c r="K81" s="1063" t="e">
        <x:f t="shared" si="28"/>
        <x:v>#REF!</x:v>
      </x:c>
      <x:c r="L81" s="1012">
        <x:f t="shared" ca="1" si="29"/>
        <x:v>10.647475541175726</x:v>
      </x:c>
      <x:c r="M81" s="941">
        <x:f t="shared" ca="1" si="30"/>
        <x:v>23.473637527586828</x:v>
      </x:c>
      <x:c r="N81" s="1027" t="e">
        <x:f>(-#REF!*COS($F$18*PI()/180)*$F$21-#REF!*COS($I$18*PI()/180)*$I$21)*$N$99*$C$25*1000/9.81/$O$47*$D$193*#REF!-$N$47/$O$47*$C$20*$F$21</x:f>
        <x:v>#REF!</x:v>
      </x:c>
      <x:c r="O81" s="936" t="e">
        <x:f>(SQRT(((-#REF!*SIN($F$18*PI()/180)*$F$21+#REF!*SIN($I$18*PI()/180)*$I$21)*$C$25*1000)^2+(0.001*$C$25*1000*$F$21)^2)/$C$30+(-#REF!*COS($F$18*PI()/180)*$F$21-#REF!*COS($I$18*PI()/180)*$I$21)*$C$25*1000)/9.81*$O$99/$O$47*$F$193*#REF!-$N$47/$O$47*$C$20*$F$21</x:f>
        <x:v>#REF!</x:v>
      </x:c>
      <x:c r="P81" s="199" t="e">
        <x:f>(-#REF!*COS($F$18*PI()/180)*$F$21-#REF!*COS($I$18*PI()/180)*$I$21)*$N$99*$C$25*1000/9.81/$Q$47*$D$193*#REF!-$P$47/$Q$47*$C$20*$F$21</x:f>
        <x:v>#REF!</x:v>
      </x:c>
      <x:c r="Q81" s="164" t="e">
        <x:f>(SQRT(((-#REF!*SIN($F$18*PI()/180)*$F$21+#REF!*SIN($I$18*PI()/180)*$I$21)*$C$25*1000)^2+(0.001*$C$25*1000*$F$21)^2)/$C$30+(-#REF!*COS($F$18*PI()/180)*$F$21-#REF!*COS($I$18*PI()/180)*$I$21)*$C$25*1000)/9.81*$O$99/$Q$47*$F$193*#REF!-$P$47/$Q$47*$C$20*$F$21</x:f>
        <x:v>#REF!</x:v>
      </x:c>
      <x:c r="R81" s="199" t="e">
        <x:f>(-#REF!*COS($F$18*PI()/180)*$F$21-#REF!*COS($I$18*PI()/180)*$I$21)*$N$99*$C$25*1000/9.81/$S$47*$D$193*#REF!-$R$47/$S$47*$C$20*$F$21</x:f>
        <x:v>#REF!</x:v>
      </x:c>
      <x:c r="S81" s="164" t="e">
        <x:f>(SQRT(((-#REF!*SIN($F$18*PI()/180)*$F$21+#REF!*SIN($I$18*PI()/180)*$I$21)*$C$25*1000)^2+(0.001*$C$25*1000*$F$21)^2)/$C$30+(-#REF!*COS($F$18*PI()/180)*$F$21-#REF!*COS($I$18*PI()/180)*$I$21)*$C$25*1000)/9.81*$O$99/$S$47*$F$193*#REF!-$R$47/$S$47*$C$20*$F$21</x:f>
        <x:v>#REF!</x:v>
      </x:c>
      <x:c r="T81" s="199" t="e">
        <x:f>(-#REF!*COS($F$18*PI()/180)*$F$21-#REF!*COS($I$18*PI()/180)*$I$21)*$N$99*$C$25*1000/9.81/$U$47*$D$193*#REF!-$T$47/$U$47*$C$20*$F$21</x:f>
        <x:v>#REF!</x:v>
      </x:c>
      <x:c r="U81" s="164" t="e">
        <x:f>(SQRT(((-#REF!*SIN($F$18*PI()/180)*$F$21+#REF!*SIN($I$18*PI()/180)*$I$21)*$C$25*1000)^2+(0.001*$C$25*1000*$F$21)^2)/$C$30+(-#REF!*COS($F$18*PI()/180)*$F$21-#REF!*COS($I$18*PI()/180)*$I$21)*$C$25*1000)/9.81*$O$99/$U$47*$F$193*#REF!-$T$47/$U$47*$C$20*$F$21</x:f>
        <x:v>#REF!</x:v>
      </x:c>
      <x:c r="V81" s="199" t="e">
        <x:f>(-#REF!*COS($F$18*PI()/180)*$F$21-#REF!*COS($I$18*PI()/180)*$I$21)*$N$99*$C$25*1000/9.81/$W$47*$D$193*#REF!-$V$47/$W$47*$C$20*$F$21</x:f>
        <x:v>#REF!</x:v>
      </x:c>
      <x:c r="W81" s="164" t="e">
        <x:f>(SQRT(((-#REF!*SIN($F$18*PI()/180)*$F$21+#REF!*SIN($I$18*PI()/180)*$I$21)*$C$25*1000)^2+(0.001*$C$25*1000*$F$21)^2)/$C$30+(-#REF!*COS($F$18*PI()/180)*$F$21-#REF!*COS($I$18*PI()/180)*$I$21)*$C$25*1000)/9.81*$O$99/$W$47*$F$193*#REF!-$V$47/$W$47*$C$20*$F$21</x:f>
        <x:v>#REF!</x:v>
      </x:c>
      <x:c r="X81" s="199" t="e">
        <x:f>(-#REF!*COS($F$18*PI()/180)*$F$21-#REF!*COS($I$18*PI()/180)*$I$21)*$N$99*$C$25*1000/9.81/$Y$47*$D$193*#REF!-$X$47/$Y$47*$C$20*$F$21</x:f>
        <x:v>#REF!</x:v>
      </x:c>
      <x:c r="Y81" s="164" t="e">
        <x:f>(SQRT(((-#REF!*SIN($F$18*PI()/180)*$F$21+#REF!*SIN($I$18*PI()/180)*$I$21)*$C$25*1000)^2+(0.001*$C$25*1000*$F$21)^2)/$C$30+(-#REF!*COS($F$18*PI()/180)*$F$21-#REF!*COS($I$18*PI()/180)*$I$21)*$C$25*1000)/9.81*$O$99/$Y$47*$F$193*#REF!-$X$47/$Y$47*$C$20*$F$21</x:f>
        <x:v>#REF!</x:v>
      </x:c>
      <x:c r="Z81" s="199">
        <x:f ca="1">(-'int. presets cp_10d+wd'!L29*COS($F$18*PI()/180)*$F$21-'int. presets cp_10d+wd'!L38*COS($I$18*PI()/180)*$I$21)*$N$99*$C$25*1000/9.81/$AA$47*$D$193*'int. presets cp_10d+wd'!$L$246-$Z$47/$AA$47*$C$20*$F$21</x:f>
        <x:v>-4.968635769134405</x:v>
      </x:c>
      <x:c r="AA81" s="1028">
        <x:f ca="1">(SQRT(((-'int. presets cp_10d+wd'!G29*SIN($F$18*PI()/180)*$F$21+'int. presets cp_10d+wd'!G38*SIN($I$18*PI()/180)*$I$21)*$C$25*1000)^2+(0.001*$C$25*1000*$F$21)^2)/$C$30+(-'int. presets cp_10d+wd'!G29*COS($F$18*PI()/180)*$F$21-'int. presets cp_10d+wd'!G38*COS($I$18*PI()/180)*$I$21)*$C$25*1000)/9.81*$O$99/$AA$47*$F$193*'int. presets cp_10d+wd'!$G$246-$Z$47/$AA$47*$C$20*$F$21</x:f>
        <x:v>10.647475541175726</x:v>
      </x:c>
      <x:c r="AB81" s="18"/>
      <x:c r="AC81" s="163"/>
    </x:row>
    <x:row r="82" spans="2:136" s="75" customFormat="1" ht="13.5" customHeight="1" x14ac:dyDescent="0.2">
      <x:c r="B82" s="1345" t="s">
        <x:v>464</x:v>
      </x:c>
      <x:c r="C82" s="1346">
        <x:v>0</x:v>
      </x:c>
      <x:c r="D82" s="1347" t="s">
        <x:v>464</x:v>
      </x:c>
      <x:c r="E82" s="546" t="s">
        <x:v>461</x:v>
      </x:c>
      <x:c r="F82" s="1057" t="e">
        <x:f t="shared" si="68"/>
        <x:v>#REF!</x:v>
      </x:c>
      <x:c r="G82" s="1057" t="e">
        <x:f t="shared" si="24"/>
        <x:v>#REF!</x:v>
      </x:c>
      <x:c r="H82" s="1057" t="e">
        <x:f t="shared" si="25"/>
        <x:v>#REF!</x:v>
      </x:c>
      <x:c r="I82" s="1054" t="e">
        <x:f t="shared" si="26"/>
        <x:v>#REF!</x:v>
      </x:c>
      <x:c r="J82" s="1057" t="e">
        <x:f t="shared" si="27"/>
        <x:v>#REF!</x:v>
      </x:c>
      <x:c r="K82" s="1064" t="e">
        <x:f t="shared" si="28"/>
        <x:v>#REF!</x:v>
      </x:c>
      <x:c r="L82" s="1011">
        <x:f t="shared" ca="1" si="29"/>
        <x:v>10.647475541175726</x:v>
      </x:c>
      <x:c r="M82" s="940">
        <x:f t="shared" ca="1" si="30"/>
        <x:v>23.473637527586828</x:v>
      </x:c>
      <x:c r="N82" s="1025" t="e">
        <x:f>(-#REF!*COS($F$18*PI()/180)*$F$21-#REF!*COS($I$18*PI()/180)*$I$21)*$N$99*$C$25*1000/9.81/$O$47*$D$193*#REF!-$N$47/$O$47*$C$20*$F$21</x:f>
        <x:v>#REF!</x:v>
      </x:c>
      <x:c r="O82" s="75" t="e">
        <x:f>(SQRT(((-#REF!*SIN($F$18*PI()/180)*$F$21+#REF!*SIN($I$18*PI()/180)*$I$21)*$C$25*1000)^2+(0.001*$C$25*1000*$F$21)^2)/$C$30+(-#REF!*COS($F$18*PI()/180)*$F$21-#REF!*COS($I$18*PI()/180)*$I$21)*$C$25*1000)/9.81*$O$99/$O$47*$F$193*#REF!-$N$47/$O$47*$C$20*$F$21</x:f>
        <x:v>#REF!</x:v>
      </x:c>
      <x:c r="P82" s="161" t="e">
        <x:f>(-#REF!*COS($F$18*PI()/180)*$F$21-#REF!*COS($I$18*PI()/180)*$I$21)*$N$99*$C$25*1000/9.81/$Q$47*$D$193*#REF!-$P$47/$Q$47*$C$20*$F$21</x:f>
        <x:v>#REF!</x:v>
      </x:c>
      <x:c r="Q82" s="162" t="e">
        <x:f>(SQRT(((-#REF!*SIN($F$18*PI()/180)*$F$21+#REF!*SIN($I$18*PI()/180)*$I$21)*$C$25*1000)^2+(0.001*$C$25*1000*$F$21)^2)/$C$30+(-#REF!*COS($F$18*PI()/180)*$F$21-#REF!*COS($I$18*PI()/180)*$I$21)*$C$25*1000)/9.81*$O$99/$Q$47*$F$193*#REF!-$P$47/$Q$47*$C$20*$F$21</x:f>
        <x:v>#REF!</x:v>
      </x:c>
      <x:c r="R82" s="161" t="e">
        <x:f>(-#REF!*COS($F$18*PI()/180)*$F$21-#REF!*COS($I$18*PI()/180)*$I$21)*$N$99*$C$25*1000/9.81/$S$47*$D$193*#REF!-$R$47/$S$47*$C$20*$F$21</x:f>
        <x:v>#REF!</x:v>
      </x:c>
      <x:c r="S82" s="162" t="e">
        <x:f>(SQRT(((-#REF!*SIN($F$18*PI()/180)*$F$21+#REF!*SIN($I$18*PI()/180)*$I$21)*$C$25*1000)^2+(0.001*$C$25*1000*$F$21)^2)/$C$30+(-#REF!*COS($F$18*PI()/180)*$F$21-#REF!*COS($I$18*PI()/180)*$I$21)*$C$25*1000)/9.81*$O$99/$S$47*$F$193*#REF!-$R$47/$S$47*$C$20*$F$21</x:f>
        <x:v>#REF!</x:v>
      </x:c>
      <x:c r="T82" s="161" t="e">
        <x:f>(-#REF!*COS($F$18*PI()/180)*$F$21-#REF!*COS($I$18*PI()/180)*$I$21)*$N$99*$C$25*1000/9.81/$U$47*$D$193*#REF!-$T$47/$U$47*$C$20*$F$21</x:f>
        <x:v>#REF!</x:v>
      </x:c>
      <x:c r="U82" s="162" t="e">
        <x:f>(SQRT(((-#REF!*SIN($F$18*PI()/180)*$F$21+#REF!*SIN($I$18*PI()/180)*$I$21)*$C$25*1000)^2+(0.001*$C$25*1000*$F$21)^2)/$C$30+(-#REF!*COS($F$18*PI()/180)*$F$21-#REF!*COS($I$18*PI()/180)*$I$21)*$C$25*1000)/9.81*$O$99/$U$47*$F$193*#REF!-$T$47/$U$47*$C$20*$F$21</x:f>
        <x:v>#REF!</x:v>
      </x:c>
      <x:c r="V82" s="161" t="e">
        <x:f>(-#REF!*COS($F$18*PI()/180)*$F$21-#REF!*COS($I$18*PI()/180)*$I$21)*$N$99*$C$25*1000/9.81/$W$47*$D$193*#REF!-$V$47/$W$47*$C$20*$F$21</x:f>
        <x:v>#REF!</x:v>
      </x:c>
      <x:c r="W82" s="162" t="e">
        <x:f>(SQRT(((-#REF!*SIN($F$18*PI()/180)*$F$21+#REF!*SIN($I$18*PI()/180)*$I$21)*$C$25*1000)^2+(0.001*$C$25*1000*$F$21)^2)/$C$30+(-#REF!*COS($F$18*PI()/180)*$F$21-#REF!*COS($I$18*PI()/180)*$I$21)*$C$25*1000)/9.81*$O$99/$W$47*$F$193*#REF!-$V$47/$W$47*$C$20*$F$21</x:f>
        <x:v>#REF!</x:v>
      </x:c>
      <x:c r="X82" s="161" t="e">
        <x:f>(-#REF!*COS($F$18*PI()/180)*$F$21-#REF!*COS($I$18*PI()/180)*$I$21)*$N$99*$C$25*1000/9.81/$Y$47*$D$193*#REF!-$X$47/$Y$47*$C$20*$F$21</x:f>
        <x:v>#REF!</x:v>
      </x:c>
      <x:c r="Y82" s="162" t="e">
        <x:f>(SQRT(((-#REF!*SIN($F$18*PI()/180)*$F$21+#REF!*SIN($I$18*PI()/180)*$I$21)*$C$25*1000)^2+(0.001*$C$25*1000*$F$21)^2)/$C$30+(-#REF!*COS($F$18*PI()/180)*$F$21-#REF!*COS($I$18*PI()/180)*$I$21)*$C$25*1000)/9.81*$O$99/$Y$47*$F$193*#REF!-$X$47/$Y$47*$C$20*$F$21</x:f>
        <x:v>#REF!</x:v>
      </x:c>
      <x:c r="Z82" s="161">
        <x:f ca="1">(-'int. presets cp_10d+wd'!L30*COS($F$18*PI()/180)*$F$21-'int. presets cp_10d+wd'!L39*COS($I$18*PI()/180)*$I$21)*$N$99*$C$25*1000/9.81/$AA$47*$D$193*'int. presets cp_10d+wd'!$L$246-$Z$47/$AA$47*$C$20*$F$21</x:f>
        <x:v>3.6530386735017579</x:v>
      </x:c>
      <x:c r="AA82" s="1030">
        <x:f ca="1">(SQRT(((-'int. presets cp_10d+wd'!G30*SIN($F$18*PI()/180)*$F$21+'int. presets cp_10d+wd'!G39*SIN($I$18*PI()/180)*$I$21)*$C$25*1000)^2+(0.001*$C$25*1000*$F$21)^2)/$C$30+(-'int. presets cp_10d+wd'!G30*COS($F$18*PI()/180)*$F$21-'int. presets cp_10d+wd'!G39*COS($I$18*PI()/180)*$I$21)*$C$25*1000)/9.81*$O$99/$AA$47*$F$193*'int. presets cp_10d+wd'!$G$246-$Z$47/$AA$47*$C$20*$F$21</x:f>
        <x:v>10.647475541175726</x:v>
      </x:c>
      <x:c r="AB82" s="18"/>
      <x:c r="AC82" s="163"/>
    </x:row>
    <x:row r="83" spans="2:136" s="75" customFormat="1" ht="13.5" customHeight="1" thickBot="1" x14ac:dyDescent="0.25">
      <x:c r="B83" s="1348" t="e">
        <x:v>#REF!</x:v>
      </x:c>
      <x:c r="C83" s="1349">
        <x:v>0</x:v>
      </x:c>
      <x:c r="D83" s="1350">
        <x:v>0</x:v>
      </x:c>
      <x:c r="E83" s="547" t="s">
        <x:v>462</x:v>
      </x:c>
      <x:c r="F83" s="1055" t="e">
        <x:f t="shared" si="68"/>
        <x:v>#REF!</x:v>
      </x:c>
      <x:c r="G83" s="1055" t="e">
        <x:f t="shared" si="24"/>
        <x:v>#REF!</x:v>
      </x:c>
      <x:c r="H83" s="1055" t="e">
        <x:f t="shared" si="25"/>
        <x:v>#REF!</x:v>
      </x:c>
      <x:c r="I83" s="1056" t="e">
        <x:f t="shared" si="26"/>
        <x:v>#REF!</x:v>
      </x:c>
      <x:c r="J83" s="1055" t="e">
        <x:f t="shared" si="27"/>
        <x:v>#REF!</x:v>
      </x:c>
      <x:c r="K83" s="1063" t="e">
        <x:f t="shared" si="28"/>
        <x:v>#REF!</x:v>
      </x:c>
      <x:c r="L83" s="1012">
        <x:f t="shared" ca="1" si="29"/>
        <x:v>10.647475541175726</x:v>
      </x:c>
      <x:c r="M83" s="941">
        <x:f t="shared" ca="1" si="30"/>
        <x:v>23.473637527586828</x:v>
      </x:c>
      <x:c r="N83" s="1027" t="e">
        <x:f>(-#REF!*COS($F$18*PI()/180)*$F$21-#REF!*COS($I$18*PI()/180)*$I$21)*$N$99*$C$25*1000/9.81/$O$47*$D$193*#REF!-$N$47/$O$47*$C$20*$F$21</x:f>
        <x:v>#REF!</x:v>
      </x:c>
      <x:c r="O83" s="936" t="e">
        <x:f>(SQRT(((-#REF!*SIN($F$18*PI()/180)*$F$21+#REF!*SIN($I$18*PI()/180)*$I$21)*$C$25*1000)^2+(0.001*$C$25*1000*$F$21)^2)/$C$30+(-#REF!*COS($F$18*PI()/180)*$F$21-#REF!*COS($I$18*PI()/180)*$I$21)*$C$25*1000)/9.81*$O$99/$O$47*$F$193*#REF!-$N$47/$O$47*$C$20*$F$21</x:f>
        <x:v>#REF!</x:v>
      </x:c>
      <x:c r="P83" s="199" t="e">
        <x:f>(-#REF!*COS($F$18*PI()/180)*$F$21-#REF!*COS($I$18*PI()/180)*$I$21)*$N$99*$C$25*1000/9.81/$Q$47*$D$193*#REF!-$P$47/$Q$47*$C$20*$F$21</x:f>
        <x:v>#REF!</x:v>
      </x:c>
      <x:c r="Q83" s="164" t="e">
        <x:f>(SQRT(((-#REF!*SIN($F$18*PI()/180)*$F$21+#REF!*SIN($I$18*PI()/180)*$I$21)*$C$25*1000)^2+(0.001*$C$25*1000*$F$21)^2)/$C$30+(-#REF!*COS($F$18*PI()/180)*$F$21-#REF!*COS($I$18*PI()/180)*$I$21)*$C$25*1000)/9.81*$O$99/$Q$47*$F$193*#REF!-$P$47/$Q$47*$C$20*$F$21</x:f>
        <x:v>#REF!</x:v>
      </x:c>
      <x:c r="R83" s="199" t="e">
        <x:f>(-#REF!*COS($F$18*PI()/180)*$F$21-#REF!*COS($I$18*PI()/180)*$I$21)*$N$99*$C$25*1000/9.81/$S$47*$D$193*#REF!-$R$47/$S$47*$C$20*$F$21</x:f>
        <x:v>#REF!</x:v>
      </x:c>
      <x:c r="S83" s="164" t="e">
        <x:f>(SQRT(((-#REF!*SIN($F$18*PI()/180)*$F$21+#REF!*SIN($I$18*PI()/180)*$I$21)*$C$25*1000)^2+(0.001*$C$25*1000*$F$21)^2)/$C$30+(-#REF!*COS($F$18*PI()/180)*$F$21-#REF!*COS($I$18*PI()/180)*$I$21)*$C$25*1000)/9.81*$O$99/$S$47*$F$193*#REF!-$R$47/$S$47*$C$20*$F$21</x:f>
        <x:v>#REF!</x:v>
      </x:c>
      <x:c r="T83" s="199" t="e">
        <x:f>(-#REF!*COS($F$18*PI()/180)*$F$21-#REF!*COS($I$18*PI()/180)*$I$21)*$N$99*$C$25*1000/9.81/$U$47*$D$193*#REF!-$T$47/$U$47*$C$20*$F$21</x:f>
        <x:v>#REF!</x:v>
      </x:c>
      <x:c r="U83" s="164" t="e">
        <x:f>(SQRT(((-#REF!*SIN($F$18*PI()/180)*$F$21+#REF!*SIN($I$18*PI()/180)*$I$21)*$C$25*1000)^2+(0.001*$C$25*1000*$F$21)^2)/$C$30+(-#REF!*COS($F$18*PI()/180)*$F$21-#REF!*COS($I$18*PI()/180)*$I$21)*$C$25*1000)/9.81*$O$99/$U$47*$F$193*#REF!-$T$47/$U$47*$C$20*$F$21</x:f>
        <x:v>#REF!</x:v>
      </x:c>
      <x:c r="V83" s="199" t="e">
        <x:f>(-#REF!*COS($F$18*PI()/180)*$F$21-#REF!*COS($I$18*PI()/180)*$I$21)*$N$99*$C$25*1000/9.81/$W$47*$D$193*#REF!-$V$47/$W$47*$C$20*$F$21</x:f>
        <x:v>#REF!</x:v>
      </x:c>
      <x:c r="W83" s="164" t="e">
        <x:f>(SQRT(((-#REF!*SIN($F$18*PI()/180)*$F$21+#REF!*SIN($I$18*PI()/180)*$I$21)*$C$25*1000)^2+(0.001*$C$25*1000*$F$21)^2)/$C$30+(-#REF!*COS($F$18*PI()/180)*$F$21-#REF!*COS($I$18*PI()/180)*$I$21)*$C$25*1000)/9.81*$O$99/$W$47*$F$193*#REF!-$V$47/$W$47*$C$20*$F$21</x:f>
        <x:v>#REF!</x:v>
      </x:c>
      <x:c r="X83" s="199" t="e">
        <x:f>(-#REF!*COS($F$18*PI()/180)*$F$21-#REF!*COS($I$18*PI()/180)*$I$21)*$N$99*$C$25*1000/9.81/$Y$47*$D$193*#REF!-$X$47/$Y$47*$C$20*$F$21</x:f>
        <x:v>#REF!</x:v>
      </x:c>
      <x:c r="Y83" s="164" t="e">
        <x:f>(SQRT(((-#REF!*SIN($F$18*PI()/180)*$F$21+#REF!*SIN($I$18*PI()/180)*$I$21)*$C$25*1000)^2+(0.001*$C$25*1000*$F$21)^2)/$C$30+(-#REF!*COS($F$18*PI()/180)*$F$21-#REF!*COS($I$18*PI()/180)*$I$21)*$C$25*1000)/9.81*$O$99/$Y$47*$F$193*#REF!-$X$47/$Y$47*$C$20*$F$21</x:f>
        <x:v>#REF!</x:v>
      </x:c>
      <x:c r="Z83" s="199">
        <x:f ca="1">(-'int. presets cp_10d+wd'!L31*COS($F$18*PI()/180)*$F$21-'int. presets cp_10d+wd'!L40*COS($I$18*PI()/180)*$I$21)*$N$99*$C$25*1000/9.81/$AA$47*$D$193*'int. presets cp_10d+wd'!$L$246-$Z$47/$AA$47*$C$20*$F$21</x:f>
        <x:v>2.216092933062388</x:v>
      </x:c>
      <x:c r="AA83" s="1028">
        <x:f ca="1">(SQRT(((-'int. presets cp_10d+wd'!G31*SIN($F$18*PI()/180)*$F$21+'int. presets cp_10d+wd'!G40*SIN($I$18*PI()/180)*$I$21)*$C$25*1000)^2+(0.001*$C$25*1000*$F$21)^2)/$C$30+(-'int. presets cp_10d+wd'!G31*COS($F$18*PI()/180)*$F$21-'int. presets cp_10d+wd'!G40*COS($I$18*PI()/180)*$I$21)*$C$25*1000)/9.81*$O$99/$AA$47*$F$193*'int. presets cp_10d+wd'!$G$246-$Z$47/$AA$47*$C$20*$F$21</x:f>
        <x:v>10.647475541175726</x:v>
      </x:c>
      <x:c r="AB83" s="18"/>
      <x:c r="AC83" s="163"/>
    </x:row>
    <x:row r="84" spans="2:136" s="75" customFormat="1" ht="13.5" customHeight="1" x14ac:dyDescent="0.2">
      <x:c r="B84" s="1345" t="s">
        <x:v>465</x:v>
      </x:c>
      <x:c r="C84" s="1346">
        <x:v>0</x:v>
      </x:c>
      <x:c r="D84" s="1347" t="s">
        <x:v>465</x:v>
      </x:c>
      <x:c r="E84" s="546" t="s">
        <x:v>461</x:v>
      </x:c>
      <x:c r="F84" s="1057" t="e">
        <x:f t="shared" si="68"/>
        <x:v>#REF!</x:v>
      </x:c>
      <x:c r="G84" s="1057" t="e">
        <x:f t="shared" si="24"/>
        <x:v>#REF!</x:v>
      </x:c>
      <x:c r="H84" s="1057" t="e">
        <x:f t="shared" si="25"/>
        <x:v>#REF!</x:v>
      </x:c>
      <x:c r="I84" s="1054" t="e">
        <x:f t="shared" si="26"/>
        <x:v>#REF!</x:v>
      </x:c>
      <x:c r="J84" s="1057" t="e">
        <x:f t="shared" si="27"/>
        <x:v>#REF!</x:v>
      </x:c>
      <x:c r="K84" s="1064" t="e">
        <x:f t="shared" si="28"/>
        <x:v>#REF!</x:v>
      </x:c>
      <x:c r="L84" s="1011">
        <x:f t="shared" ca="1" si="29"/>
        <x:v>10.647475541175726</x:v>
      </x:c>
      <x:c r="M84" s="940">
        <x:f t="shared" ca="1" si="30"/>
        <x:v>23.473637527586828</x:v>
      </x:c>
      <x:c r="N84" s="1025" t="e">
        <x:f>(-#REF!*COS($F$18*PI()/180)*$F$21-#REF!*COS($I$18*PI()/180)*$I$21)*$N$99*$C$25*1000/9.81/$O$47*$D$193*#REF!-$N$47/$O$47*$C$20*$F$21</x:f>
        <x:v>#REF!</x:v>
      </x:c>
      <x:c r="O84" s="75" t="e">
        <x:f>(SQRT(((-#REF!*SIN($F$18*PI()/180)*$F$21+#REF!*SIN($I$18*PI()/180)*$I$21)*$C$25*1000)^2+(0.001*$C$25*1000*$F$21)^2)/$C$30+(-#REF!*COS($F$18*PI()/180)*$F$21-#REF!*COS($I$18*PI()/180)*$I$21)*$C$25*1000)/9.81*$O$99/$O$47*$F$193*#REF!-$N$47/$O$47*$C$20*$F$21</x:f>
        <x:v>#REF!</x:v>
      </x:c>
      <x:c r="P84" s="161" t="e">
        <x:f>(-#REF!*COS($F$18*PI()/180)*$F$21-#REF!*COS($I$18*PI()/180)*$I$21)*$N$99*$C$25*1000/9.81/$Q$47*$D$193*#REF!-$P$47/$Q$47*$C$20*$F$21</x:f>
        <x:v>#REF!</x:v>
      </x:c>
      <x:c r="Q84" s="198" t="e">
        <x:f>(SQRT(((-#REF!*SIN($F$18*PI()/180)*$F$21+#REF!*SIN($I$18*PI()/180)*$I$21)*$C$25*1000)^2+(0.001*$C$25*1000*$F$21)^2)/$C$30+(-#REF!*COS($F$18*PI()/180)*$F$21-#REF!*COS($I$18*PI()/180)*$I$21)*$C$25*1000)/9.81*$O$99/$Q$47*$F$193*#REF!-$P$47/$Q$47*$C$20*$F$21</x:f>
        <x:v>#REF!</x:v>
      </x:c>
      <x:c r="R84" s="161" t="e">
        <x:f>(-#REF!*COS($F$18*PI()/180)*$F$21-#REF!*COS($I$18*PI()/180)*$I$21)*$N$99*$C$25*1000/9.81/$S$47*$D$193*#REF!-$R$47/$S$47*$C$20*$F$21</x:f>
        <x:v>#REF!</x:v>
      </x:c>
      <x:c r="S84" s="198" t="e">
        <x:f>(SQRT(((-#REF!*SIN($F$18*PI()/180)*$F$21+#REF!*SIN($I$18*PI()/180)*$I$21)*$C$25*1000)^2+(0.001*$C$25*1000*$F$21)^2)/$C$30+(-#REF!*COS($F$18*PI()/180)*$F$21-#REF!*COS($I$18*PI()/180)*$I$21)*$C$25*1000)/9.81*$O$99/$S$47*$F$193*#REF!-$R$47/$S$47*$C$20*$F$21</x:f>
        <x:v>#REF!</x:v>
      </x:c>
      <x:c r="T84" s="161" t="e">
        <x:f>(-#REF!*COS($F$18*PI()/180)*$F$21-#REF!*COS($I$18*PI()/180)*$I$21)*$N$99*$C$25*1000/9.81/$U$47*$D$193*#REF!-$T$47/$U$47*$C$20*$F$21</x:f>
        <x:v>#REF!</x:v>
      </x:c>
      <x:c r="U84" s="198" t="e">
        <x:f>(SQRT(((-#REF!*SIN($F$18*PI()/180)*$F$21+#REF!*SIN($I$18*PI()/180)*$I$21)*$C$25*1000)^2+(0.001*$C$25*1000*$F$21)^2)/$C$30+(-#REF!*COS($F$18*PI()/180)*$F$21-#REF!*COS($I$18*PI()/180)*$I$21)*$C$25*1000)/9.81*$O$99/$U$47*$F$193*#REF!-$T$47/$U$47*$C$20*$F$21</x:f>
        <x:v>#REF!</x:v>
      </x:c>
      <x:c r="V84" s="161" t="e">
        <x:f>(-#REF!*COS($F$18*PI()/180)*$F$21-#REF!*COS($I$18*PI()/180)*$I$21)*$N$99*$C$25*1000/9.81/$W$47*$D$193*#REF!-$V$47/$W$47*$C$20*$F$21</x:f>
        <x:v>#REF!</x:v>
      </x:c>
      <x:c r="W84" s="198" t="e">
        <x:f>(SQRT(((-#REF!*SIN($F$18*PI()/180)*$F$21+#REF!*SIN($I$18*PI()/180)*$I$21)*$C$25*1000)^2+(0.001*$C$25*1000*$F$21)^2)/$C$30+(-#REF!*COS($F$18*PI()/180)*$F$21-#REF!*COS($I$18*PI()/180)*$I$21)*$C$25*1000)/9.81*$O$99/$W$47*$F$193*#REF!-$V$47/$W$47*$C$20*$F$21</x:f>
        <x:v>#REF!</x:v>
      </x:c>
      <x:c r="X84" s="161" t="e">
        <x:f>(-#REF!*COS($F$18*PI()/180)*$F$21-#REF!*COS($I$18*PI()/180)*$I$21)*$N$99*$C$25*1000/9.81/$Y$47*$D$193*#REF!-$X$47/$Y$47*$C$20*$F$21</x:f>
        <x:v>#REF!</x:v>
      </x:c>
      <x:c r="Y84" s="198" t="e">
        <x:f>(SQRT(((-#REF!*SIN($F$18*PI()/180)*$F$21+#REF!*SIN($I$18*PI()/180)*$I$21)*$C$25*1000)^2+(0.001*$C$25*1000*$F$21)^2)/$C$30+(-#REF!*COS($F$18*PI()/180)*$F$21-#REF!*COS($I$18*PI()/180)*$I$21)*$C$25*1000)/9.81*$O$99/$Y$47*$F$193*#REF!-$X$47/$Y$47*$C$20*$F$21</x:f>
        <x:v>#REF!</x:v>
      </x:c>
      <x:c r="Z84" s="161">
        <x:f ca="1">(-'int. presets cp_10d+wd'!L32*COS($F$18*PI()/180)*$F$21-'int. presets cp_10d+wd'!L41*COS($I$18*PI()/180)*$I$21)*$N$99*$C$25*1000/9.81/$AA$47*$D$193*'int. presets cp_10d+wd'!$L$246-$Z$47/$AA$47*$C$20*$F$21</x:f>
        <x:v>0.57968554209496048</x:v>
      </x:c>
      <x:c r="AA84" s="1026">
        <x:f ca="1">(SQRT(((-'int. presets cp_10d+wd'!G32*SIN($F$18*PI()/180)*$F$21+'int. presets cp_10d+wd'!G41*SIN($I$18*PI()/180)*$I$21)*$C$25*1000)^2+(0.001*$C$25*1000*$F$21)^2)/$C$30+(-'int. presets cp_10d+wd'!G32*COS($F$18*PI()/180)*$F$21-'int. presets cp_10d+wd'!G41*COS($I$18*PI()/180)*$I$21)*$C$25*1000)/9.81*$O$99/$AA$47*$F$193*'int. presets cp_10d+wd'!$G$246-$Z$47/$AA$47*$C$20*$F$21</x:f>
        <x:v>10.647475541175726</x:v>
      </x:c>
      <x:c r="AB84" s="18"/>
      <x:c r="AC84" s="163"/>
    </x:row>
    <x:row r="85" spans="2:136" s="75" customFormat="1" ht="13.5" customHeight="1" thickBot="1" x14ac:dyDescent="0.25">
      <x:c r="B85" s="1351" t="e">
        <x:v>#REF!</x:v>
      </x:c>
      <x:c r="C85" s="1352">
        <x:v>0</x:v>
      </x:c>
      <x:c r="D85" s="1353">
        <x:v>0</x:v>
      </x:c>
      <x:c r="E85" s="993" t="s">
        <x:v>462</x:v>
      </x:c>
      <x:c r="F85" s="1055" t="e">
        <x:f t="shared" si="68"/>
        <x:v>#REF!</x:v>
      </x:c>
      <x:c r="G85" s="1055" t="e">
        <x:f t="shared" si="24"/>
        <x:v>#REF!</x:v>
      </x:c>
      <x:c r="H85" s="1055" t="e">
        <x:f t="shared" si="25"/>
        <x:v>#REF!</x:v>
      </x:c>
      <x:c r="I85" s="1056" t="e">
        <x:f t="shared" si="26"/>
        <x:v>#REF!</x:v>
      </x:c>
      <x:c r="J85" s="1055" t="e">
        <x:f t="shared" si="27"/>
        <x:v>#REF!</x:v>
      </x:c>
      <x:c r="K85" s="1063" t="e">
        <x:f t="shared" si="28"/>
        <x:v>#REF!</x:v>
      </x:c>
      <x:c r="L85" s="1013">
        <x:f t="shared" ca="1" si="29"/>
        <x:v>10.647475541175726</x:v>
      </x:c>
      <x:c r="M85" s="990">
        <x:f t="shared" ca="1" si="30"/>
        <x:v>23.473637527586828</x:v>
      </x:c>
      <x:c r="N85" s="1029" t="e">
        <x:f>(-#REF!*COS($F$18*PI()/180)*$F$21-#REF!*COS($I$18*PI()/180)*$I$21)*$N$99*$C$25*1000/9.81/$O$47*$D$193*#REF!-$N$47/$O$47*$C$20*$F$21</x:f>
        <x:v>#REF!</x:v>
      </x:c>
      <x:c r="O85" s="991" t="e">
        <x:f>(SQRT(((-#REF!*SIN($F$18*PI()/180)*$F$21+#REF!*SIN($I$18*PI()/180)*$I$21)*$C$25*1000)^2+(0.001*$C$25*1000*$F$21)^2)/$C$30+(-#REF!*COS($F$18*PI()/180)*$F$21-#REF!*COS($I$18*PI()/180)*$I$21)*$C$25*1000)/9.81*$O$99/$O$47*$F$193*#REF!-$N$47/$O$47*$C$20*$F$21</x:f>
        <x:v>#REF!</x:v>
      </x:c>
      <x:c r="P85" s="161" t="e">
        <x:f>(-#REF!*COS($F$18*PI()/180)*$F$21-#REF!*COS($I$18*PI()/180)*$I$21)*$N$99*$C$25*1000/9.81/$Q$47*$D$193*#REF!-$P$47/$Q$47*$C$20*$F$21</x:f>
        <x:v>#REF!</x:v>
      </x:c>
      <x:c r="Q85" s="162" t="e">
        <x:f>(SQRT(((-#REF!*SIN($F$18*PI()/180)*$F$21+#REF!*SIN($I$18*PI()/180)*$I$21)*$C$25*1000)^2+(0.001*$C$25*1000*$F$21)^2)/$C$30+(-#REF!*COS($F$18*PI()/180)*$F$21-#REF!*COS($I$18*PI()/180)*$I$21)*$C$25*1000)/9.81*$O$99/$Q$47*$F$193*#REF!-$P$47/$Q$47*$C$20*$F$21</x:f>
        <x:v>#REF!</x:v>
      </x:c>
      <x:c r="R85" s="161" t="e">
        <x:f>(-#REF!*COS($F$18*PI()/180)*$F$21-#REF!*COS($I$18*PI()/180)*$I$21)*$N$99*$C$25*1000/9.81/$S$47*$D$193*#REF!-$R$47/$S$47*$C$20*$F$21</x:f>
        <x:v>#REF!</x:v>
      </x:c>
      <x:c r="S85" s="162" t="e">
        <x:f>(SQRT(((-#REF!*SIN($F$18*PI()/180)*$F$21+#REF!*SIN($I$18*PI()/180)*$I$21)*$C$25*1000)^2+(0.001*$C$25*1000*$F$21)^2)/$C$30+(-#REF!*COS($F$18*PI()/180)*$F$21-#REF!*COS($I$18*PI()/180)*$I$21)*$C$25*1000)/9.81*$O$99/$S$47*$F$193*#REF!-$R$47/$S$47*$C$20*$F$21</x:f>
        <x:v>#REF!</x:v>
      </x:c>
      <x:c r="T85" s="161" t="e">
        <x:f>(-#REF!*COS($F$18*PI()/180)*$F$21-#REF!*COS($I$18*PI()/180)*$I$21)*$N$99*$C$25*1000/9.81/$U$47*$D$193*#REF!-$T$47/$U$47*$C$20*$F$21</x:f>
        <x:v>#REF!</x:v>
      </x:c>
      <x:c r="U85" s="162" t="e">
        <x:f>(SQRT(((-#REF!*SIN($F$18*PI()/180)*$F$21+#REF!*SIN($I$18*PI()/180)*$I$21)*$C$25*1000)^2+(0.001*$C$25*1000*$F$21)^2)/$C$30+(-#REF!*COS($F$18*PI()/180)*$F$21-#REF!*COS($I$18*PI()/180)*$I$21)*$C$25*1000)/9.81*$O$99/$U$47*$F$193*#REF!-$T$47/$U$47*$C$20*$F$21</x:f>
        <x:v>#REF!</x:v>
      </x:c>
      <x:c r="V85" s="161" t="e">
        <x:f>(-#REF!*COS($F$18*PI()/180)*$F$21-#REF!*COS($I$18*PI()/180)*$I$21)*$N$99*$C$25*1000/9.81/$W$47*$D$193*#REF!-$V$47/$W$47*$C$20*$F$21</x:f>
        <x:v>#REF!</x:v>
      </x:c>
      <x:c r="W85" s="162" t="e">
        <x:f>(SQRT(((-#REF!*SIN($F$18*PI()/180)*$F$21+#REF!*SIN($I$18*PI()/180)*$I$21)*$C$25*1000)^2+(0.001*$C$25*1000*$F$21)^2)/$C$30+(-#REF!*COS($F$18*PI()/180)*$F$21-#REF!*COS($I$18*PI()/180)*$I$21)*$C$25*1000)/9.81*$O$99/$W$47*$F$193*#REF!-$V$47/$W$47*$C$20*$F$21</x:f>
        <x:v>#REF!</x:v>
      </x:c>
      <x:c r="X85" s="161" t="e">
        <x:f>(-#REF!*COS($F$18*PI()/180)*$F$21-#REF!*COS($I$18*PI()/180)*$I$21)*$N$99*$C$25*1000/9.81/$Y$47*$D$193*#REF!-$X$47/$Y$47*$C$20*$F$21</x:f>
        <x:v>#REF!</x:v>
      </x:c>
      <x:c r="Y85" s="162" t="e">
        <x:f>(SQRT(((-#REF!*SIN($F$18*PI()/180)*$F$21+#REF!*SIN($I$18*PI()/180)*$I$21)*$C$25*1000)^2+(0.001*$C$25*1000*$F$21)^2)/$C$30+(-#REF!*COS($F$18*PI()/180)*$F$21-#REF!*COS($I$18*PI()/180)*$I$21)*$C$25*1000)/9.81*$O$99/$Y$47*$F$193*#REF!-$X$47/$Y$47*$C$20*$F$21</x:f>
        <x:v>#REF!</x:v>
      </x:c>
      <x:c r="Z85" s="161">
        <x:f ca="1">(-'int. presets cp_10d+wd'!L33*COS($F$18*PI()/180)*$F$21-'int. presets cp_10d+wd'!L42*COS($I$18*PI()/180)*$I$21)*$N$99*$C$25*1000/9.81/$AA$47*$D$193*'int. presets cp_10d+wd'!$L$246-$Z$47/$AA$47*$C$20*$F$21</x:f>
        <x:v>-3.2679821239688778</x:v>
      </x:c>
      <x:c r="AA85" s="1030">
        <x:f ca="1">(SQRT(((-'int. presets cp_10d+wd'!G33*SIN($F$18*PI()/180)*$F$21+'int. presets cp_10d+wd'!G42*SIN($I$18*PI()/180)*$I$21)*$C$25*1000)^2+(0.001*$C$25*1000*$F$21)^2)/$C$30+(-'int. presets cp_10d+wd'!G33*COS($F$18*PI()/180)*$F$21-'int. presets cp_10d+wd'!G42*COS($I$18*PI()/180)*$I$21)*$C$25*1000)/9.81*$O$99/$AA$47*$F$193*'int. presets cp_10d+wd'!$G$246-$Z$47/$AA$47*$C$20*$F$21</x:f>
        <x:v>10.647475541175726</x:v>
      </x:c>
      <x:c r="AB85" s="18"/>
      <x:c r="AC85" s="163"/>
    </x:row>
    <x:row r="86" spans="2:136" s="75" customFormat="1" ht="13.5" customHeight="1" thickTop="1" thickBot="1" x14ac:dyDescent="0.25">
      <x:c r="B86" s="1380" t="s">
        <x:v>343</x:v>
      </x:c>
      <x:c r="C86" s="1381"/>
      <x:c r="D86" s="1381"/>
      <x:c r="E86" s="1381"/>
      <x:c r="F86" s="1381"/>
      <x:c r="G86" s="1381"/>
      <x:c r="H86" s="1381"/>
      <x:c r="I86" s="1381"/>
      <x:c r="J86" s="1381"/>
      <x:c r="K86" s="1381"/>
      <x:c r="L86" s="1382"/>
      <x:c r="M86" s="1048"/>
      <x:c r="N86" s="1006"/>
      <x:c r="O86" s="1007"/>
      <x:c r="P86" s="1007"/>
      <x:c r="Q86" s="1007"/>
      <x:c r="R86" s="1007"/>
      <x:c r="S86" s="1007"/>
      <x:c r="T86" s="1007"/>
      <x:c r="U86" s="1007"/>
      <x:c r="V86" s="1007"/>
      <x:c r="W86" s="1007"/>
      <x:c r="X86" s="1007"/>
      <x:c r="Y86" s="1007"/>
      <x:c r="Z86" s="1007"/>
      <x:c r="AA86" s="1010"/>
      <x:c r="AB86" s="18"/>
      <x:c r="AC86" s="163"/>
    </x:row>
    <x:row r="87" spans="2:136" s="75" customFormat="1" ht="13.5" customHeight="1" x14ac:dyDescent="0.2">
      <x:c r="B87" s="1345" t="s">
        <x:v>460</x:v>
      </x:c>
      <x:c r="C87" s="1346"/>
      <x:c r="D87" s="1347"/>
      <x:c r="E87" s="351" t="s">
        <x:v>461</x:v>
      </x:c>
      <x:c r="F87" s="1053" t="e">
        <x:f t="shared" ref="F87:F94" si="69">MAX(N87,O87)</x:f>
        <x:v>#REF!</x:v>
      </x:c>
      <x:c r="G87" s="1053" t="e">
        <x:f t="shared" si="24"/>
        <x:v>#REF!</x:v>
      </x:c>
      <x:c r="H87" s="1053" t="e">
        <x:f t="shared" si="25"/>
        <x:v>#REF!</x:v>
      </x:c>
      <x:c r="I87" s="1061" t="e">
        <x:f t="shared" si="26"/>
        <x:v>#REF!</x:v>
      </x:c>
      <x:c r="J87" s="1053" t="e">
        <x:f t="shared" si="27"/>
        <x:v>#REF!</x:v>
      </x:c>
      <x:c r="K87" s="1062" t="e">
        <x:f t="shared" si="28"/>
        <x:v>#REF!</x:v>
      </x:c>
      <x:c r="L87" s="1011">
        <x:f t="shared" ca="1" si="29"/>
        <x:v>15.888702652979514</x:v>
      </x:c>
      <x:c r="M87" s="940">
        <x:f t="shared" ca="1" si="30"/>
        <x:v>35.028551642811692</x:v>
      </x:c>
      <x:c r="N87" s="1035" t="e">
        <x:f>(-#REF!*COS($F$18*PI()/180)*$F$21-#REF!*COS($I$18*PI()/180)*$I$21)*$N$99*$C$25*1000/9.81/$O$47*$D$193*#REF!-$N$47/$O$47*$C$20*$F$21</x:f>
        <x:v>#REF!</x:v>
      </x:c>
      <x:c r="O87" s="75" t="e">
        <x:f>(SQRT(((-#REF!*SIN($F$18*PI()/180)*$F$21+#REF!*SIN($I$18*PI()/180)*$I$21)*$C$25*1000)^2+(0.001*$C$25*1000*$F$21)^2)/$C$30+(-#REF!*COS($F$18*PI()/180)*$F$21-#REF!*COS($I$18*PI()/180)*$I$21)*$C$25*1000)/9.81*$O$99/$O$47*$F$193*#REF!-$N$47/$O$47*$C$20*$F$21</x:f>
        <x:v>#REF!</x:v>
      </x:c>
      <x:c r="P87" s="181" t="e">
        <x:f>(-#REF!*COS($F$18*PI()/180)*$F$21-#REF!*COS($I$18*PI()/180)*$I$21)*$N$99*$C$25*1000/9.81/$Q$47*$D$193*#REF!-$P$47/$Q$47*$C$20*$F$21</x:f>
        <x:v>#REF!</x:v>
      </x:c>
      <x:c r="Q87" s="198" t="e">
        <x:f>(SQRT(((-#REF!*SIN($F$18*PI()/180)*$F$21+#REF!*SIN($I$18*PI()/180)*$I$21)*$C$25*1000)^2+(0.001*$C$25*1000*$F$21)^2)/$C$30+(-#REF!*COS($F$18*PI()/180)*$F$21-#REF!*COS($I$18*PI()/180)*$I$21)*$C$25*1000)/9.81*$O$99/$Q$47*$F$193*#REF!-$P$47/$Q$47*$C$20*$F$21</x:f>
        <x:v>#REF!</x:v>
      </x:c>
      <x:c r="R87" s="181" t="e">
        <x:f>(-#REF!*COS($F$18*PI()/180)*$F$21-#REF!*COS($I$18*PI()/180)*$I$21)*$N$99*$C$25*1000/9.81/$S$47*$D$193*#REF!-$R$47/$S$47*$C$20*$F$21</x:f>
        <x:v>#REF!</x:v>
      </x:c>
      <x:c r="S87" s="198" t="e">
        <x:f>(SQRT(((-#REF!*SIN($F$18*PI()/180)*$F$21+#REF!*SIN($I$18*PI()/180)*$I$21)*$C$25*1000)^2+(0.001*$C$25*1000*$F$21)^2)/$C$30+(-#REF!*COS($F$18*PI()/180)*$F$21-#REF!*COS($I$18*PI()/180)*$I$21)*$C$25*1000)/9.81*$O$99/$S$47*$F$193*#REF!-$R$47/$S$47*$C$20*$F$21</x:f>
        <x:v>#REF!</x:v>
      </x:c>
      <x:c r="T87" s="181" t="e">
        <x:f>(-#REF!*COS($F$18*PI()/180)*$F$21-#REF!*COS($I$18*PI()/180)*$I$21)*$N$99*$C$25*1000/9.81/$U$47*$D$193*#REF!-$T$47/$U$47*$C$20*$F$21</x:f>
        <x:v>#REF!</x:v>
      </x:c>
      <x:c r="U87" s="198" t="e">
        <x:f>(SQRT(((-#REF!*SIN($F$18*PI()/180)*$F$21+#REF!*SIN($I$18*PI()/180)*$I$21)*$C$25*1000)^2+(0.001*$C$25*1000*$F$21)^2)/$C$30+(-#REF!*COS($F$18*PI()/180)*$F$21-#REF!*COS($I$18*PI()/180)*$I$21)*$C$25*1000)/9.81*$O$99/$U$47*$F$193*#REF!-$T$47/$U$47*$C$20*$F$21</x:f>
        <x:v>#REF!</x:v>
      </x:c>
      <x:c r="V87" s="181" t="e">
        <x:f>(-#REF!*COS($F$18*PI()/180)*$F$21-#REF!*COS($I$18*PI()/180)*$I$21)*$N$99*$C$25*1000/9.81/$W$47*$D$193*#REF!-$V$47/$W$47*$C$20*$F$21</x:f>
        <x:v>#REF!</x:v>
      </x:c>
      <x:c r="W87" s="198" t="e">
        <x:f>(SQRT(((-#REF!*SIN($F$18*PI()/180)*$F$21+#REF!*SIN($I$18*PI()/180)*$I$21)*$C$25*1000)^2+(0.001*$C$25*1000*$F$21)^2)/$C$30+(-#REF!*COS($F$18*PI()/180)*$F$21-#REF!*COS($I$18*PI()/180)*$I$21)*$C$25*1000)/9.81*$O$99/$W$47*$F$193*#REF!-$V$47/$W$47*$C$20*$F$21</x:f>
        <x:v>#REF!</x:v>
      </x:c>
      <x:c r="X87" s="181" t="e">
        <x:f>(-#REF!*COS($F$18*PI()/180)*$F$21-#REF!*COS($I$18*PI()/180)*$I$21)*$N$99*$C$25*1000/9.81/$Y$47*$D$193*#REF!-$X$47/$Y$47*$C$20*$F$21</x:f>
        <x:v>#REF!</x:v>
      </x:c>
      <x:c r="Y87" s="198" t="e">
        <x:f>(SQRT(((-#REF!*SIN($F$18*PI()/180)*$F$21+#REF!*SIN($I$18*PI()/180)*$I$21)*$C$25*1000)^2+(0.001*$C$25*1000*$F$21)^2)/$C$30+(-#REF!*COS($F$18*PI()/180)*$F$21-#REF!*COS($I$18*PI()/180)*$I$21)*$C$25*1000)/9.81*$O$99/$Y$47*$F$193*#REF!-$X$47/$Y$47*$C$20*$F$21</x:f>
        <x:v>#REF!</x:v>
      </x:c>
      <x:c r="Z87" s="181">
        <x:f ca="1">(-'int. presets cp_10d+wd'!M26*COS($F$18*PI()/180)*$F$21-'int. presets cp_10d+wd'!M35*COS($I$18*PI()/180)*$I$21)*$N$99*$C$25*1000/9.81/$AA$47*$D$193*'int. presets cp_10d+wd'!$M$246-$Z$47/$AA$47*$C$20*$F$21</x:f>
        <x:v>15.888702652979514</x:v>
      </x:c>
      <x:c r="AA87" s="1026">
        <x:f ca="1">(SQRT(((-'int. presets cp_10d+wd'!H26*SIN($F$18*PI()/180)*$F$21+'int. presets cp_10d+wd'!H35*SIN($I$18*PI()/180)*$I$21)*$C$25*1000)^2+(0.001*$C$25*1000*$F$21)^2)/$C$30+(-'int. presets cp_10d+wd'!H26*COS($F$18*PI()/180)*$F$21-'int. presets cp_10d+wd'!H35*COS($I$18*PI()/180)*$I$21)*$C$25*1000)/9.81*$O$99/$AA$47*$F$193*'int. presets cp_10d+wd'!$H$246-$Z$47/$AA$47*$C$20*$F$21</x:f>
        <x:v>8.5223939502089117</x:v>
      </x:c>
      <x:c r="AB87" s="18"/>
    </x:row>
    <x:row r="88" spans="2:136" s="75" customFormat="1" ht="13.5" customHeight="1" thickBot="1" x14ac:dyDescent="0.25">
      <x:c r="B88" s="1348"/>
      <x:c r="C88" s="1349"/>
      <x:c r="D88" s="1350"/>
      <x:c r="E88" s="345" t="s">
        <x:v>462</x:v>
      </x:c>
      <x:c r="F88" s="1055" t="e">
        <x:f t="shared" si="69"/>
        <x:v>#REF!</x:v>
      </x:c>
      <x:c r="G88" s="1055" t="e">
        <x:f t="shared" si="24"/>
        <x:v>#REF!</x:v>
      </x:c>
      <x:c r="H88" s="1055" t="e">
        <x:f t="shared" si="25"/>
        <x:v>#REF!</x:v>
      </x:c>
      <x:c r="I88" s="1056" t="e">
        <x:f t="shared" si="26"/>
        <x:v>#REF!</x:v>
      </x:c>
      <x:c r="J88" s="1055" t="e">
        <x:f t="shared" si="27"/>
        <x:v>#REF!</x:v>
      </x:c>
      <x:c r="K88" s="1063" t="e">
        <x:f t="shared" si="28"/>
        <x:v>#REF!</x:v>
      </x:c>
      <x:c r="L88" s="1012">
        <x:f t="shared" ca="1" si="29"/>
        <x:v>17.271764868034499</x:v>
      </x:c>
      <x:c r="M88" s="941">
        <x:f t="shared" ca="1" si="30"/>
        <x:v>38.077678263366209</x:v>
      </x:c>
      <x:c r="N88" s="1027" t="e">
        <x:f>(-#REF!*COS($F$18*PI()/180)*$F$21-#REF!*COS($I$18*PI()/180)*$I$21)*$N$99*$C$25*1000/9.81/$O$47*$D$193*#REF!-$N$47/$O$47*$C$20*$F$21</x:f>
        <x:v>#REF!</x:v>
      </x:c>
      <x:c r="O88" s="936" t="e">
        <x:f>(SQRT(((-#REF!*SIN($F$18*PI()/180)*$F$21+#REF!*SIN($I$18*PI()/180)*$I$21)*$C$25*1000)^2+(0.001*$C$25*1000*$F$21)^2)/$C$30+(-#REF!*COS($F$18*PI()/180)*$F$21-#REF!*COS($I$18*PI()/180)*$I$21)*$C$25*1000)/9.81*$O$99/$O$47*$F$193*#REF!-$N$47/$O$47*$C$20*$F$21</x:f>
        <x:v>#REF!</x:v>
      </x:c>
      <x:c r="P88" s="199" t="e">
        <x:f>(-#REF!*COS($F$18*PI()/180)*$F$21-#REF!*COS($I$18*PI()/180)*$I$21)*$N$99*$C$25*1000/9.81/$Q$47*$D$193*#REF!-$P$47/$Q$47*$C$20*$F$21</x:f>
        <x:v>#REF!</x:v>
      </x:c>
      <x:c r="Q88" s="164" t="e">
        <x:f>(SQRT(((-#REF!*SIN($F$18*PI()/180)*$F$21+#REF!*SIN($I$18*PI()/180)*$I$21)*$C$25*1000)^2+(0.001*$C$25*1000*$F$21)^2)/$C$30+(-#REF!*COS($F$18*PI()/180)*$F$21-#REF!*COS($I$18*PI()/180)*$I$21)*$C$25*1000)/9.81*$O$99/$Q$47*$F$193*#REF!-$P$47/$Q$47*$C$20*$F$21</x:f>
        <x:v>#REF!</x:v>
      </x:c>
      <x:c r="R88" s="199" t="e">
        <x:f>(-#REF!*COS($F$18*PI()/180)*$F$21-#REF!*COS($I$18*PI()/180)*$I$21)*$N$99*$C$25*1000/9.81/$S$47*$D$193*#REF!-$R$47/$S$47*$C$20*$F$21</x:f>
        <x:v>#REF!</x:v>
      </x:c>
      <x:c r="S88" s="164" t="e">
        <x:f>(SQRT(((-#REF!*SIN($F$18*PI()/180)*$F$21+#REF!*SIN($I$18*PI()/180)*$I$21)*$C$25*1000)^2+(0.001*$C$25*1000*$F$21)^2)/$C$30+(-#REF!*COS($F$18*PI()/180)*$F$21-#REF!*COS($I$18*PI()/180)*$I$21)*$C$25*1000)/9.81*$O$99/$S$47*$F$193*#REF!-$R$47/$S$47*$C$20*$F$21</x:f>
        <x:v>#REF!</x:v>
      </x:c>
      <x:c r="T88" s="199" t="e">
        <x:f>(-#REF!*COS($F$18*PI()/180)*$F$21-#REF!*COS($I$18*PI()/180)*$I$21)*$N$99*$C$25*1000/9.81/$U$47*$D$193*#REF!-$T$47/$U$47*$C$20*$F$21</x:f>
        <x:v>#REF!</x:v>
      </x:c>
      <x:c r="U88" s="164" t="e">
        <x:f>(SQRT(((-#REF!*SIN($F$18*PI()/180)*$F$21+#REF!*SIN($I$18*PI()/180)*$I$21)*$C$25*1000)^2+(0.001*$C$25*1000*$F$21)^2)/$C$30+(-#REF!*COS($F$18*PI()/180)*$F$21-#REF!*COS($I$18*PI()/180)*$I$21)*$C$25*1000)/9.81*$O$99/$U$47*$F$193*#REF!-$T$47/$U$47*$C$20*$F$21</x:f>
        <x:v>#REF!</x:v>
      </x:c>
      <x:c r="V88" s="199" t="e">
        <x:f>(-#REF!*COS($F$18*PI()/180)*$F$21-#REF!*COS($I$18*PI()/180)*$I$21)*$N$99*$C$25*1000/9.81/$W$47*$D$193*#REF!-$V$47/$W$47*$C$20*$F$21</x:f>
        <x:v>#REF!</x:v>
      </x:c>
      <x:c r="W88" s="164" t="e">
        <x:f>(SQRT(((-#REF!*SIN($F$18*PI()/180)*$F$21+#REF!*SIN($I$18*PI()/180)*$I$21)*$C$25*1000)^2+(0.001*$C$25*1000*$F$21)^2)/$C$30+(-#REF!*COS($F$18*PI()/180)*$F$21-#REF!*COS($I$18*PI()/180)*$I$21)*$C$25*1000)/9.81*$O$99/$W$47*$F$193*#REF!-$V$47/$W$47*$C$20*$F$21</x:f>
        <x:v>#REF!</x:v>
      </x:c>
      <x:c r="X88" s="199" t="e">
        <x:f>(-#REF!*COS($F$18*PI()/180)*$F$21-#REF!*COS($I$18*PI()/180)*$I$21)*$N$99*$C$25*1000/9.81/$Y$47*$D$193*#REF!-$X$47/$Y$47*$C$20*$F$21</x:f>
        <x:v>#REF!</x:v>
      </x:c>
      <x:c r="Y88" s="164" t="e">
        <x:f>(SQRT(((-#REF!*SIN($F$18*PI()/180)*$F$21+#REF!*SIN($I$18*PI()/180)*$I$21)*$C$25*1000)^2+(0.001*$C$25*1000*$F$21)^2)/$C$30+(-#REF!*COS($F$18*PI()/180)*$F$21-#REF!*COS($I$18*PI()/180)*$I$21)*$C$25*1000)/9.81*$O$99/$Y$47*$F$193*#REF!-$X$47/$Y$47*$C$20*$F$21</x:f>
        <x:v>#REF!</x:v>
      </x:c>
      <x:c r="Z88" s="199">
        <x:f ca="1">(-'int. presets cp_10d+wd'!M27*COS($F$18*PI()/180)*$F$21-'int. presets cp_10d+wd'!M36*COS($I$18*PI()/180)*$I$21)*$N$99*$C$25*1000/9.81/$AA$47*$D$193*'int. presets cp_10d+wd'!$M$246-$Z$47/$AA$47*$C$20*$F$21</x:f>
        <x:v>17.271764868034499</x:v>
      </x:c>
      <x:c r="AA88" s="1028">
        <x:f ca="1">(SQRT(((-'int. presets cp_10d+wd'!H27*SIN($F$18*PI()/180)*$F$21+'int. presets cp_10d+wd'!H36*SIN($I$18*PI()/180)*$I$21)*$C$25*1000)^2+(0.001*$C$25*1000*$F$21)^2)/$C$30+(-'int. presets cp_10d+wd'!H27*COS($F$18*PI()/180)*$F$21-'int. presets cp_10d+wd'!H36*COS($I$18*PI()/180)*$I$21)*$C$25*1000)/9.81*$O$99/$AA$47*$F$193*'int. presets cp_10d+wd'!$H$246-$Z$47/$AA$47*$C$20*$F$21</x:f>
        <x:v>8.5223939502089117</x:v>
      </x:c>
      <x:c r="AB88" s="18"/>
    </x:row>
    <x:row r="89" spans="2:136" s="75" customFormat="1" ht="13.5" customHeight="1" x14ac:dyDescent="0.2">
      <x:c r="B89" s="1345" t="s">
        <x:v>463</x:v>
      </x:c>
      <x:c r="C89" s="1346"/>
      <x:c r="D89" s="1347"/>
      <x:c r="E89" s="347" t="s">
        <x:v>461</x:v>
      </x:c>
      <x:c r="F89" s="1057" t="e">
        <x:f t="shared" si="69"/>
        <x:v>#REF!</x:v>
      </x:c>
      <x:c r="G89" s="1057" t="e">
        <x:f t="shared" si="24"/>
        <x:v>#REF!</x:v>
      </x:c>
      <x:c r="H89" s="1057" t="e">
        <x:f t="shared" si="25"/>
        <x:v>#REF!</x:v>
      </x:c>
      <x:c r="I89" s="1054" t="e">
        <x:f t="shared" si="26"/>
        <x:v>#REF!</x:v>
      </x:c>
      <x:c r="J89" s="1057" t="e">
        <x:f t="shared" si="27"/>
        <x:v>#REF!</x:v>
      </x:c>
      <x:c r="K89" s="1064" t="e">
        <x:f t="shared" si="28"/>
        <x:v>#REF!</x:v>
      </x:c>
      <x:c r="L89" s="1011">
        <x:f t="shared" ca="1" si="29"/>
        <x:v>8.5223939502089117</x:v>
      </x:c>
      <x:c r="M89" s="940">
        <x:f t="shared" ca="1" si="30"/>
        <x:v>18.788640150509568</x:v>
      </x:c>
      <x:c r="N89" s="1025" t="e">
        <x:f>(-#REF!*COS($F$18*PI()/180)*$F$21-#REF!*COS($I$18*PI()/180)*$I$21)*$N$99*$C$25*1000/9.81/$O$47*$D$193*#REF!-$N$47/$O$47*$C$20*$F$21</x:f>
        <x:v>#REF!</x:v>
      </x:c>
      <x:c r="O89" s="75" t="e">
        <x:f>(SQRT(((-#REF!*SIN($F$18*PI()/180)*$F$21+#REF!*SIN($I$18*PI()/180)*$I$21)*$C$25*1000)^2+(0.001*$C$25*1000*$F$21)^2)/$C$30+(-#REF!*COS($F$18*PI()/180)*$F$21-#REF!*COS($I$18*PI()/180)*$I$21)*$C$25*1000)/9.81*$O$99/$O$47*$F$193*#REF!-$N$47/$O$47*$C$20*$F$21</x:f>
        <x:v>#REF!</x:v>
      </x:c>
      <x:c r="P89" s="161" t="e">
        <x:f>(-#REF!*COS($F$18*PI()/180)*$F$21-#REF!*COS($I$18*PI()/180)*$I$21)*$N$99*$C$25*1000/9.81/$Q$47*$D$193*#REF!-$P$47/$Q$47*$C$20*$F$21</x:f>
        <x:v>#REF!</x:v>
      </x:c>
      <x:c r="Q89" s="162" t="e">
        <x:f>(SQRT(((-#REF!*SIN($F$18*PI()/180)*$F$21+#REF!*SIN($I$18*PI()/180)*$I$21)*$C$25*1000)^2+(0.001*$C$25*1000*$F$21)^2)/$C$30+(-#REF!*COS($F$18*PI()/180)*$F$21-#REF!*COS($I$18*PI()/180)*$I$21)*$C$25*1000)/9.81*$O$99/$Q$47*$F$193*#REF!-$P$47/$Q$47*$C$20*$F$21</x:f>
        <x:v>#REF!</x:v>
      </x:c>
      <x:c r="R89" s="161" t="e">
        <x:f>(-#REF!*COS($F$18*PI()/180)*$F$21-#REF!*COS($I$18*PI()/180)*$I$21)*$N$99*$C$25*1000/9.81/$S$47*$D$193*#REF!-$R$47/$S$47*$C$20*$F$21</x:f>
        <x:v>#REF!</x:v>
      </x:c>
      <x:c r="S89" s="162" t="e">
        <x:f>(SQRT(((-#REF!*SIN($F$18*PI()/180)*$F$21+#REF!*SIN($I$18*PI()/180)*$I$21)*$C$25*1000)^2+(0.001*$C$25*1000*$F$21)^2)/$C$30+(-#REF!*COS($F$18*PI()/180)*$F$21-#REF!*COS($I$18*PI()/180)*$I$21)*$C$25*1000)/9.81*$O$99/$S$47*$F$193*#REF!-$R$47/$S$47*$C$20*$F$21</x:f>
        <x:v>#REF!</x:v>
      </x:c>
      <x:c r="T89" s="161" t="e">
        <x:f>(-#REF!*COS($F$18*PI()/180)*$F$21-#REF!*COS($I$18*PI()/180)*$I$21)*$N$99*$C$25*1000/9.81/$U$47*$D$193*#REF!-$T$47/$U$47*$C$20*$F$21</x:f>
        <x:v>#REF!</x:v>
      </x:c>
      <x:c r="U89" s="162" t="e">
        <x:f>(SQRT(((-#REF!*SIN($F$18*PI()/180)*$F$21+#REF!*SIN($I$18*PI()/180)*$I$21)*$C$25*1000)^2+(0.001*$C$25*1000*$F$21)^2)/$C$30+(-#REF!*COS($F$18*PI()/180)*$F$21-#REF!*COS($I$18*PI()/180)*$I$21)*$C$25*1000)/9.81*$O$99/$U$47*$F$193*#REF!-$T$47/$U$47*$C$20*$F$21</x:f>
        <x:v>#REF!</x:v>
      </x:c>
      <x:c r="V89" s="161" t="e">
        <x:f>(-#REF!*COS($F$18*PI()/180)*$F$21-#REF!*COS($I$18*PI()/180)*$I$21)*$N$99*$C$25*1000/9.81/$W$47*$D$193*#REF!-$V$47/$W$47*$C$20*$F$21</x:f>
        <x:v>#REF!</x:v>
      </x:c>
      <x:c r="W89" s="162" t="e">
        <x:f>(SQRT(((-#REF!*SIN($F$18*PI()/180)*$F$21+#REF!*SIN($I$18*PI()/180)*$I$21)*$C$25*1000)^2+(0.001*$C$25*1000*$F$21)^2)/$C$30+(-#REF!*COS($F$18*PI()/180)*$F$21-#REF!*COS($I$18*PI()/180)*$I$21)*$C$25*1000)/9.81*$O$99/$W$47*$F$193*#REF!-$V$47/$W$47*$C$20*$F$21</x:f>
        <x:v>#REF!</x:v>
      </x:c>
      <x:c r="X89" s="161" t="e">
        <x:f>(-#REF!*COS($F$18*PI()/180)*$F$21-#REF!*COS($I$18*PI()/180)*$I$21)*$N$99*$C$25*1000/9.81/$Y$47*$D$193*#REF!-$X$47/$Y$47*$C$20*$F$21</x:f>
        <x:v>#REF!</x:v>
      </x:c>
      <x:c r="Y89" s="162" t="e">
        <x:f>(SQRT(((-#REF!*SIN($F$18*PI()/180)*$F$21+#REF!*SIN($I$18*PI()/180)*$I$21)*$C$25*1000)^2+(0.001*$C$25*1000*$F$21)^2)/$C$30+(-#REF!*COS($F$18*PI()/180)*$F$21-#REF!*COS($I$18*PI()/180)*$I$21)*$C$25*1000)/9.81*$O$99/$Y$47*$F$193*#REF!-$X$47/$Y$47*$C$20*$F$21</x:f>
        <x:v>#REF!</x:v>
      </x:c>
      <x:c r="Z89" s="161">
        <x:f ca="1">(-'int. presets cp_10d+wd'!M28*COS($F$18*PI()/180)*$F$21-'int. presets cp_10d+wd'!M37*COS($I$18*PI()/180)*$I$21)*$N$99*$C$25*1000/9.81/$AA$47*$D$193*'int. presets cp_10d+wd'!$M$246-$Z$47/$AA$47*$C$20*$F$21</x:f>
        <x:v>-2.7504739267924876</x:v>
      </x:c>
      <x:c r="AA89" s="1030">
        <x:f ca="1">(SQRT(((-'int. presets cp_10d+wd'!H28*SIN($F$18*PI()/180)*$F$21+'int. presets cp_10d+wd'!H37*SIN($I$18*PI()/180)*$I$21)*$C$25*1000)^2+(0.001*$C$25*1000*$F$21)^2)/$C$30+(-'int. presets cp_10d+wd'!H28*COS($F$18*PI()/180)*$F$21-'int. presets cp_10d+wd'!H37*COS($I$18*PI()/180)*$I$21)*$C$25*1000)/9.81*$O$99/$AA$47*$F$193*'int. presets cp_10d+wd'!$H$246-$Z$47/$AA$47*$C$20*$F$21</x:f>
        <x:v>8.5223939502089117</x:v>
      </x:c>
      <x:c r="AB89" s="18"/>
    </x:row>
    <x:row r="90" spans="2:136" s="75" customFormat="1" ht="13.5" customHeight="1" thickBot="1" x14ac:dyDescent="0.25">
      <x:c r="B90" s="1348"/>
      <x:c r="C90" s="1349"/>
      <x:c r="D90" s="1350"/>
      <x:c r="E90" s="345" t="s">
        <x:v>462</x:v>
      </x:c>
      <x:c r="F90" s="1055" t="e">
        <x:f t="shared" si="69"/>
        <x:v>#REF!</x:v>
      </x:c>
      <x:c r="G90" s="1055" t="e">
        <x:f t="shared" si="24"/>
        <x:v>#REF!</x:v>
      </x:c>
      <x:c r="H90" s="1055" t="e">
        <x:f t="shared" si="25"/>
        <x:v>#REF!</x:v>
      </x:c>
      <x:c r="I90" s="1056" t="e">
        <x:f t="shared" si="26"/>
        <x:v>#REF!</x:v>
      </x:c>
      <x:c r="J90" s="1055" t="e">
        <x:f t="shared" si="27"/>
        <x:v>#REF!</x:v>
      </x:c>
      <x:c r="K90" s="1063" t="e">
        <x:f t="shared" si="28"/>
        <x:v>#REF!</x:v>
      </x:c>
      <x:c r="L90" s="1012">
        <x:f t="shared" ca="1" si="29"/>
        <x:v>8.5223939502089117</x:v>
      </x:c>
      <x:c r="M90" s="941">
        <x:f t="shared" ca="1" si="30"/>
        <x:v>18.788640150509568</x:v>
      </x:c>
      <x:c r="N90" s="1027" t="e">
        <x:f>(-#REF!*COS($F$18*PI()/180)*$F$21-#REF!*COS($I$18*PI()/180)*$I$21)*$N$99*$C$25*1000/9.81/$O$47*$D$193*#REF!-$N$47/$O$47*$C$20*$F$21</x:f>
        <x:v>#REF!</x:v>
      </x:c>
      <x:c r="O90" s="936" t="e">
        <x:f>(SQRT(((-#REF!*SIN($F$18*PI()/180)*$F$21+#REF!*SIN($I$18*PI()/180)*$I$21)*$C$25*1000)^2+(0.001*$C$25*1000*$F$21)^2)/$C$30+(-#REF!*COS($F$18*PI()/180)*$F$21-#REF!*COS($I$18*PI()/180)*$I$21)*$C$25*1000)/9.81*$O$99/$O$47*$F$193*#REF!-$N$47/$O$47*$C$20*$F$21</x:f>
        <x:v>#REF!</x:v>
      </x:c>
      <x:c r="P90" s="199" t="e">
        <x:f>(-#REF!*COS($F$18*PI()/180)*$F$21-#REF!*COS($I$18*PI()/180)*$I$21)*$N$99*$C$25*1000/9.81/$Q$47*$D$193*#REF!-$P$47/$Q$47*$C$20*$F$21</x:f>
        <x:v>#REF!</x:v>
      </x:c>
      <x:c r="Q90" s="164" t="e">
        <x:f>(SQRT(((-#REF!*SIN($F$18*PI()/180)*$F$21+#REF!*SIN($I$18*PI()/180)*$I$21)*$C$25*1000)^2+(0.001*$C$25*1000*$F$21)^2)/$C$30+(-#REF!*COS($F$18*PI()/180)*$F$21-#REF!*COS($I$18*PI()/180)*$I$21)*$C$25*1000)/9.81*$O$99/$Q$47*$F$193*#REF!-$P$47/$Q$47*$C$20*$F$21</x:f>
        <x:v>#REF!</x:v>
      </x:c>
      <x:c r="R90" s="199" t="e">
        <x:f>(-#REF!*COS($F$18*PI()/180)*$F$21-#REF!*COS($I$18*PI()/180)*$I$21)*$N$99*$C$25*1000/9.81/$S$47*$D$193*#REF!-$R$47/$S$47*$C$20*$F$21</x:f>
        <x:v>#REF!</x:v>
      </x:c>
      <x:c r="S90" s="164" t="e">
        <x:f>(SQRT(((-#REF!*SIN($F$18*PI()/180)*$F$21+#REF!*SIN($I$18*PI()/180)*$I$21)*$C$25*1000)^2+(0.001*$C$25*1000*$F$21)^2)/$C$30+(-#REF!*COS($F$18*PI()/180)*$F$21-#REF!*COS($I$18*PI()/180)*$I$21)*$C$25*1000)/9.81*$O$99/$S$47*$F$193*#REF!-$R$47/$S$47*$C$20*$F$21</x:f>
        <x:v>#REF!</x:v>
      </x:c>
      <x:c r="T90" s="199" t="e">
        <x:f>(-#REF!*COS($F$18*PI()/180)*$F$21-#REF!*COS($I$18*PI()/180)*$I$21)*$N$99*$C$25*1000/9.81/$U$47*$D$193*#REF!-$T$47/$U$47*$C$20*$F$21</x:f>
        <x:v>#REF!</x:v>
      </x:c>
      <x:c r="U90" s="164" t="e">
        <x:f>(SQRT(((-#REF!*SIN($F$18*PI()/180)*$F$21+#REF!*SIN($I$18*PI()/180)*$I$21)*$C$25*1000)^2+(0.001*$C$25*1000*$F$21)^2)/$C$30+(-#REF!*COS($F$18*PI()/180)*$F$21-#REF!*COS($I$18*PI()/180)*$I$21)*$C$25*1000)/9.81*$O$99/$U$47*$F$193*#REF!-$T$47/$U$47*$C$20*$F$21</x:f>
        <x:v>#REF!</x:v>
      </x:c>
      <x:c r="V90" s="199" t="e">
        <x:f>(-#REF!*COS($F$18*PI()/180)*$F$21-#REF!*COS($I$18*PI()/180)*$I$21)*$N$99*$C$25*1000/9.81/$W$47*$D$193*#REF!-$V$47/$W$47*$C$20*$F$21</x:f>
        <x:v>#REF!</x:v>
      </x:c>
      <x:c r="W90" s="164" t="e">
        <x:f>(SQRT(((-#REF!*SIN($F$18*PI()/180)*$F$21+#REF!*SIN($I$18*PI()/180)*$I$21)*$C$25*1000)^2+(0.001*$C$25*1000*$F$21)^2)/$C$30+(-#REF!*COS($F$18*PI()/180)*$F$21-#REF!*COS($I$18*PI()/180)*$I$21)*$C$25*1000)/9.81*$O$99/$W$47*$F$193*#REF!-$V$47/$W$47*$C$20*$F$21</x:f>
        <x:v>#REF!</x:v>
      </x:c>
      <x:c r="X90" s="199" t="e">
        <x:f>(-#REF!*COS($F$18*PI()/180)*$F$21-#REF!*COS($I$18*PI()/180)*$I$21)*$N$99*$C$25*1000/9.81/$Y$47*$D$193*#REF!-$X$47/$Y$47*$C$20*$F$21</x:f>
        <x:v>#REF!</x:v>
      </x:c>
      <x:c r="Y90" s="164" t="e">
        <x:f>(SQRT(((-#REF!*SIN($F$18*PI()/180)*$F$21+#REF!*SIN($I$18*PI()/180)*$I$21)*$C$25*1000)^2+(0.001*$C$25*1000*$F$21)^2)/$C$30+(-#REF!*COS($F$18*PI()/180)*$F$21-#REF!*COS($I$18*PI()/180)*$I$21)*$C$25*1000)/9.81*$O$99/$Y$47*$F$193*#REF!-$X$47/$Y$47*$C$20*$F$21</x:f>
        <x:v>#REF!</x:v>
      </x:c>
      <x:c r="Z90" s="199">
        <x:f ca="1">(-'int. presets cp_10d+wd'!M29*COS($F$18*PI()/180)*$F$21-'int. presets cp_10d+wd'!M38*COS($I$18*PI()/180)*$I$21)*$N$99*$C$25*1000/9.81/$AA$47*$D$193*'int. presets cp_10d+wd'!$M$246-$Z$47/$AA$47*$C$20*$F$21</x:f>
        <x:v>-0.17865989784527159</x:v>
      </x:c>
      <x:c r="AA90" s="1028">
        <x:f ca="1">(SQRT(((-'int. presets cp_10d+wd'!H29*SIN($F$18*PI()/180)*$F$21+'int. presets cp_10d+wd'!H38*SIN($I$18*PI()/180)*$I$21)*$C$25*1000)^2+(0.001*$C$25*1000*$F$21)^2)/$C$30+(-'int. presets cp_10d+wd'!H29*COS($F$18*PI()/180)*$F$21-'int. presets cp_10d+wd'!H38*COS($I$18*PI()/180)*$I$21)*$C$25*1000)/9.81*$O$99/$AA$47*$F$193*'int. presets cp_10d+wd'!$H$246-$Z$47/$AA$47*$C$20*$F$21</x:f>
        <x:v>8.5223939502089117</x:v>
      </x:c>
      <x:c r="AB90" s="18"/>
    </x:row>
    <x:row r="91" spans="2:136" s="75" customFormat="1" ht="13.5" customHeight="1" x14ac:dyDescent="0.2">
      <x:c r="B91" s="1345" t="s">
        <x:v>464</x:v>
      </x:c>
      <x:c r="C91" s="1346"/>
      <x:c r="D91" s="1347"/>
      <x:c r="E91" s="347" t="s">
        <x:v>461</x:v>
      </x:c>
      <x:c r="F91" s="1057" t="e">
        <x:f t="shared" si="69"/>
        <x:v>#REF!</x:v>
      </x:c>
      <x:c r="G91" s="1057" t="e">
        <x:f t="shared" si="24"/>
        <x:v>#REF!</x:v>
      </x:c>
      <x:c r="H91" s="1057" t="e">
        <x:f t="shared" si="25"/>
        <x:v>#REF!</x:v>
      </x:c>
      <x:c r="I91" s="1054" t="e">
        <x:f t="shared" si="26"/>
        <x:v>#REF!</x:v>
      </x:c>
      <x:c r="J91" s="1057" t="e">
        <x:f t="shared" si="27"/>
        <x:v>#REF!</x:v>
      </x:c>
      <x:c r="K91" s="1064" t="e">
        <x:f t="shared" si="28"/>
        <x:v>#REF!</x:v>
      </x:c>
      <x:c r="L91" s="1011">
        <x:f t="shared" ca="1" si="29"/>
        <x:v>8.5223939502089117</x:v>
      </x:c>
      <x:c r="M91" s="940">
        <x:f t="shared" ca="1" si="30"/>
        <x:v>18.788640150509568</x:v>
      </x:c>
      <x:c r="N91" s="1025" t="e">
        <x:f>(-#REF!*COS($F$18*PI()/180)*$F$21-#REF!*COS($I$18*PI()/180)*$I$21)*$N$99*$C$25*1000/9.81/$O$47*$D$193*#REF!-$N$47/$O$47*$C$20*$F$21</x:f>
        <x:v>#REF!</x:v>
      </x:c>
      <x:c r="O91" s="75" t="e">
        <x:f>(SQRT(((-#REF!*SIN($F$18*PI()/180)*$F$21+#REF!*SIN($I$18*PI()/180)*$I$21)*$C$25*1000)^2+(0.001*$C$25*1000*$F$21)^2)/$C$30+(-#REF!*COS($F$18*PI()/180)*$F$21-#REF!*COS($I$18*PI()/180)*$I$21)*$C$25*1000)/9.81*$O$99/$O$47*$F$193*#REF!-$N$47/$O$47*$C$20*$F$21</x:f>
        <x:v>#REF!</x:v>
      </x:c>
      <x:c r="P91" s="161" t="e">
        <x:f>(-#REF!*COS($F$18*PI()/180)*$F$21-#REF!*COS($I$18*PI()/180)*$I$21)*$N$99*$C$25*1000/9.81/$Q$47*$D$193*#REF!-$P$47/$Q$47*$C$20*$F$21</x:f>
        <x:v>#REF!</x:v>
      </x:c>
      <x:c r="Q91" s="162" t="e">
        <x:f>(SQRT(((-#REF!*SIN($F$18*PI()/180)*$F$21+#REF!*SIN($I$18*PI()/180)*$I$21)*$C$25*1000)^2+(0.001*$C$25*1000*$F$21)^2)/$C$30+(-#REF!*COS($F$18*PI()/180)*$F$21-#REF!*COS($I$18*PI()/180)*$I$21)*$C$25*1000)/9.81*$O$99/$Q$47*$F$193*#REF!-$P$47/$Q$47*$C$20*$F$21</x:f>
        <x:v>#REF!</x:v>
      </x:c>
      <x:c r="R91" s="161" t="e">
        <x:f>(-#REF!*COS($F$18*PI()/180)*$F$21-#REF!*COS($I$18*PI()/180)*$I$21)*$N$99*$C$25*1000/9.81/$S$47*$D$193*#REF!-$R$47/$S$47*$C$20*$F$21</x:f>
        <x:v>#REF!</x:v>
      </x:c>
      <x:c r="S91" s="162" t="e">
        <x:f>(SQRT(((-#REF!*SIN($F$18*PI()/180)*$F$21+#REF!*SIN($I$18*PI()/180)*$I$21)*$C$25*1000)^2+(0.001*$C$25*1000*$F$21)^2)/$C$30+(-#REF!*COS($F$18*PI()/180)*$F$21-#REF!*COS($I$18*PI()/180)*$I$21)*$C$25*1000)/9.81*$O$99/$S$47*$F$193*#REF!-$R$47/$S$47*$C$20*$F$21</x:f>
        <x:v>#REF!</x:v>
      </x:c>
      <x:c r="T91" s="161" t="e">
        <x:f>(-#REF!*COS($F$18*PI()/180)*$F$21-#REF!*COS($I$18*PI()/180)*$I$21)*$N$99*$C$25*1000/9.81/$U$47*$D$193*#REF!-$T$47/$U$47*$C$20*$F$21</x:f>
        <x:v>#REF!</x:v>
      </x:c>
      <x:c r="U91" s="162" t="e">
        <x:f>(SQRT(((-#REF!*SIN($F$18*PI()/180)*$F$21+#REF!*SIN($I$18*PI()/180)*$I$21)*$C$25*1000)^2+(0.001*$C$25*1000*$F$21)^2)/$C$30+(-#REF!*COS($F$18*PI()/180)*$F$21-#REF!*COS($I$18*PI()/180)*$I$21)*$C$25*1000)/9.81*$O$99/$U$47*$F$193*#REF!-$T$47/$U$47*$C$20*$F$21</x:f>
        <x:v>#REF!</x:v>
      </x:c>
      <x:c r="V91" s="161" t="e">
        <x:f>(-#REF!*COS($F$18*PI()/180)*$F$21-#REF!*COS($I$18*PI()/180)*$I$21)*$N$99*$C$25*1000/9.81/$W$47*$D$193*#REF!-$V$47/$W$47*$C$20*$F$21</x:f>
        <x:v>#REF!</x:v>
      </x:c>
      <x:c r="W91" s="162" t="e">
        <x:f>(SQRT(((-#REF!*SIN($F$18*PI()/180)*$F$21+#REF!*SIN($I$18*PI()/180)*$I$21)*$C$25*1000)^2+(0.001*$C$25*1000*$F$21)^2)/$C$30+(-#REF!*COS($F$18*PI()/180)*$F$21-#REF!*COS($I$18*PI()/180)*$I$21)*$C$25*1000)/9.81*$O$99/$W$47*$F$193*#REF!-$V$47/$W$47*$C$20*$F$21</x:f>
        <x:v>#REF!</x:v>
      </x:c>
      <x:c r="X91" s="161" t="e">
        <x:f>(-#REF!*COS($F$18*PI()/180)*$F$21-#REF!*COS($I$18*PI()/180)*$I$21)*$N$99*$C$25*1000/9.81/$Y$47*$D$193*#REF!-$X$47/$Y$47*$C$20*$F$21</x:f>
        <x:v>#REF!</x:v>
      </x:c>
      <x:c r="Y91" s="162" t="e">
        <x:f>(SQRT(((-#REF!*SIN($F$18*PI()/180)*$F$21+#REF!*SIN($I$18*PI()/180)*$I$21)*$C$25*1000)^2+(0.001*$C$25*1000*$F$21)^2)/$C$30+(-#REF!*COS($F$18*PI()/180)*$F$21-#REF!*COS($I$18*PI()/180)*$I$21)*$C$25*1000)/9.81*$O$99/$Y$47*$F$193*#REF!-$X$47/$Y$47*$C$20*$F$21</x:f>
        <x:v>#REF!</x:v>
      </x:c>
      <x:c r="Z91" s="161">
        <x:f ca="1">(-'int. presets cp_10d+wd'!M30*COS($F$18*PI()/180)*$F$21-'int. presets cp_10d+wd'!M39*COS($I$18*PI()/180)*$I$21)*$N$99*$C$25*1000/9.81/$AA$47*$D$193*'int. presets cp_10d+wd'!$M$246-$Z$47/$AA$47*$C$20*$F$21</x:f>
        <x:v>1.1931308654202795</x:v>
      </x:c>
      <x:c r="AA91" s="1030">
        <x:f ca="1">(SQRT(((-'int. presets cp_10d+wd'!H30*SIN($F$18*PI()/180)*$F$21+'int. presets cp_10d+wd'!H39*SIN($I$18*PI()/180)*$I$21)*$C$25*1000)^2+(0.001*$C$25*1000*$F$21)^2)/$C$30+(-'int. presets cp_10d+wd'!H30*COS($F$18*PI()/180)*$F$21-'int. presets cp_10d+wd'!H39*COS($I$18*PI()/180)*$I$21)*$C$25*1000)/9.81*$O$99/$AA$47*$F$193*'int. presets cp_10d+wd'!$H$246-$Z$47/$AA$47*$C$20*$F$21</x:f>
        <x:v>8.5223939502089117</x:v>
      </x:c>
      <x:c r="AB91" s="18"/>
    </x:row>
    <x:row r="92" spans="2:136" s="75" customFormat="1" ht="13.5" customHeight="1" thickBot="1" x14ac:dyDescent="0.25">
      <x:c r="B92" s="1348"/>
      <x:c r="C92" s="1349"/>
      <x:c r="D92" s="1350"/>
      <x:c r="E92" s="345" t="s">
        <x:v>462</x:v>
      </x:c>
      <x:c r="F92" s="1055" t="e">
        <x:f t="shared" si="69"/>
        <x:v>#REF!</x:v>
      </x:c>
      <x:c r="G92" s="1055" t="e">
        <x:f t="shared" si="24"/>
        <x:v>#REF!</x:v>
      </x:c>
      <x:c r="H92" s="1055" t="e">
        <x:f t="shared" si="25"/>
        <x:v>#REF!</x:v>
      </x:c>
      <x:c r="I92" s="1056" t="e">
        <x:f t="shared" si="26"/>
        <x:v>#REF!</x:v>
      </x:c>
      <x:c r="J92" s="1055" t="e">
        <x:f t="shared" si="27"/>
        <x:v>#REF!</x:v>
      </x:c>
      <x:c r="K92" s="1063" t="e">
        <x:f t="shared" si="28"/>
        <x:v>#REF!</x:v>
      </x:c>
      <x:c r="L92" s="1012">
        <x:f t="shared" ca="1" si="29"/>
        <x:v>8.5223939502089117</x:v>
      </x:c>
      <x:c r="M92" s="941">
        <x:f t="shared" ca="1" si="30"/>
        <x:v>18.788640150509568</x:v>
      </x:c>
      <x:c r="N92" s="1027" t="e">
        <x:f>(-#REF!*COS($F$18*PI()/180)*$F$21-#REF!*COS($I$18*PI()/180)*$I$21)*$N$99*$C$25*1000/9.81/$O$47*$D$193*#REF!-$N$47/$O$47*$C$20*$F$21</x:f>
        <x:v>#REF!</x:v>
      </x:c>
      <x:c r="O92" s="936" t="e">
        <x:f>(SQRT(((-#REF!*SIN($F$18*PI()/180)*$F$21+#REF!*SIN($I$18*PI()/180)*$I$21)*$C$25*1000)^2+(0.001*$C$25*1000*$F$21)^2)/$C$30+(-#REF!*COS($F$18*PI()/180)*$F$21-#REF!*COS($I$18*PI()/180)*$I$21)*$C$25*1000)/9.81*$O$99/$O$47*$F$193*#REF!-$N$47/$O$47*$C$20*$F$21</x:f>
        <x:v>#REF!</x:v>
      </x:c>
      <x:c r="P92" s="199" t="e">
        <x:f>(-#REF!*COS($F$18*PI()/180)*$F$21-#REF!*COS($I$18*PI()/180)*$I$21)*$N$99*$C$25*1000/9.81/$Q$47*$D$193*#REF!-$P$47/$Q$47*$C$20*$F$21</x:f>
        <x:v>#REF!</x:v>
      </x:c>
      <x:c r="Q92" s="164" t="e">
        <x:f>(SQRT(((-#REF!*SIN($F$18*PI()/180)*$F$21+#REF!*SIN($I$18*PI()/180)*$I$21)*$C$25*1000)^2+(0.001*$C$25*1000*$F$21)^2)/$C$30+(-#REF!*COS($F$18*PI()/180)*$F$21-#REF!*COS($I$18*PI()/180)*$I$21)*$C$25*1000)/9.81*$O$99/$Q$47*$F$193*#REF!-$P$47/$Q$47*$C$20*$F$21</x:f>
        <x:v>#REF!</x:v>
      </x:c>
      <x:c r="R92" s="199" t="e">
        <x:f>(-#REF!*COS($F$18*PI()/180)*$F$21-#REF!*COS($I$18*PI()/180)*$I$21)*$N$99*$C$25*1000/9.81/$S$47*$D$193*#REF!-$R$47/$S$47*$C$20*$F$21</x:f>
        <x:v>#REF!</x:v>
      </x:c>
      <x:c r="S92" s="164" t="e">
        <x:f>(SQRT(((-#REF!*SIN($F$18*PI()/180)*$F$21+#REF!*SIN($I$18*PI()/180)*$I$21)*$C$25*1000)^2+(0.001*$C$25*1000*$F$21)^2)/$C$30+(-#REF!*COS($F$18*PI()/180)*$F$21-#REF!*COS($I$18*PI()/180)*$I$21)*$C$25*1000)/9.81*$O$99/$S$47*$F$193*#REF!-$R$47/$S$47*$C$20*$F$21</x:f>
        <x:v>#REF!</x:v>
      </x:c>
      <x:c r="T92" s="199" t="e">
        <x:f>(-#REF!*COS($F$18*PI()/180)*$F$21-#REF!*COS($I$18*PI()/180)*$I$21)*$N$99*$C$25*1000/9.81/$U$47*$D$193*#REF!-$T$47/$U$47*$C$20*$F$21</x:f>
        <x:v>#REF!</x:v>
      </x:c>
      <x:c r="U92" s="164" t="e">
        <x:f>(SQRT(((-#REF!*SIN($F$18*PI()/180)*$F$21+#REF!*SIN($I$18*PI()/180)*$I$21)*$C$25*1000)^2+(0.001*$C$25*1000*$F$21)^2)/$C$30+(-#REF!*COS($F$18*PI()/180)*$F$21-#REF!*COS($I$18*PI()/180)*$I$21)*$C$25*1000)/9.81*$O$99/$U$47*$F$193*#REF!-$T$47/$U$47*$C$20*$F$21</x:f>
        <x:v>#REF!</x:v>
      </x:c>
      <x:c r="V92" s="199" t="e">
        <x:f>(-#REF!*COS($F$18*PI()/180)*$F$21-#REF!*COS($I$18*PI()/180)*$I$21)*$N$99*$C$25*1000/9.81/$W$47*$D$193*#REF!-$V$47/$W$47*$C$20*$F$21</x:f>
        <x:v>#REF!</x:v>
      </x:c>
      <x:c r="W92" s="164" t="e">
        <x:f>(SQRT(((-#REF!*SIN($F$18*PI()/180)*$F$21+#REF!*SIN($I$18*PI()/180)*$I$21)*$C$25*1000)^2+(0.001*$C$25*1000*$F$21)^2)/$C$30+(-#REF!*COS($F$18*PI()/180)*$F$21-#REF!*COS($I$18*PI()/180)*$I$21)*$C$25*1000)/9.81*$O$99/$W$47*$F$193*#REF!-$V$47/$W$47*$C$20*$F$21</x:f>
        <x:v>#REF!</x:v>
      </x:c>
      <x:c r="X92" s="199" t="e">
        <x:f>(-#REF!*COS($F$18*PI()/180)*$F$21-#REF!*COS($I$18*PI()/180)*$I$21)*$N$99*$C$25*1000/9.81/$Y$47*$D$193*#REF!-$X$47/$Y$47*$C$20*$F$21</x:f>
        <x:v>#REF!</x:v>
      </x:c>
      <x:c r="Y92" s="164" t="e">
        <x:f>(SQRT(((-#REF!*SIN($F$18*PI()/180)*$F$21+#REF!*SIN($I$18*PI()/180)*$I$21)*$C$25*1000)^2+(0.001*$C$25*1000*$F$21)^2)/$C$30+(-#REF!*COS($F$18*PI()/180)*$F$21-#REF!*COS($I$18*PI()/180)*$I$21)*$C$25*1000)/9.81*$O$99/$Y$47*$F$193*#REF!-$X$47/$Y$47*$C$20*$F$21</x:f>
        <x:v>#REF!</x:v>
      </x:c>
      <x:c r="Z92" s="199">
        <x:f ca="1">(-'int. presets cp_10d+wd'!M31*COS($F$18*PI()/180)*$F$21-'int. presets cp_10d+wd'!M40*COS($I$18*PI()/180)*$I$21)*$N$99*$C$25*1000/9.81/$AA$47*$D$193*'int. presets cp_10d+wd'!$M$246-$Z$47/$AA$47*$C$20*$F$21</x:f>
        <x:v>2.1178461525664609</x:v>
      </x:c>
      <x:c r="AA92" s="1028">
        <x:f ca="1">(SQRT(((-'int. presets cp_10d+wd'!H31*SIN($F$18*PI()/180)*$F$21+'int. presets cp_10d+wd'!H40*SIN($I$18*PI()/180)*$I$21)*$C$25*1000)^2+(0.001*$C$25*1000*$F$21)^2)/$C$30+(-'int. presets cp_10d+wd'!H31*COS($F$18*PI()/180)*$F$21-'int. presets cp_10d+wd'!H40*COS($I$18*PI()/180)*$I$21)*$C$25*1000)/9.81*$O$99/$AA$47*$F$193*'int. presets cp_10d+wd'!$H$246-$Z$47/$AA$47*$C$20*$F$21</x:f>
        <x:v>8.5223939502089117</x:v>
      </x:c>
      <x:c r="AB92" s="18"/>
    </x:row>
    <x:row r="93" spans="2:136" s="75" customFormat="1" ht="13.5" customHeight="1" x14ac:dyDescent="0.2">
      <x:c r="B93" s="1345" t="s">
        <x:v>465</x:v>
      </x:c>
      <x:c r="C93" s="1346"/>
      <x:c r="D93" s="1347"/>
      <x:c r="E93" s="347" t="s">
        <x:v>461</x:v>
      </x:c>
      <x:c r="F93" s="1057" t="e">
        <x:f t="shared" si="69"/>
        <x:v>#REF!</x:v>
      </x:c>
      <x:c r="G93" s="1057" t="e">
        <x:f t="shared" si="24"/>
        <x:v>#REF!</x:v>
      </x:c>
      <x:c r="H93" s="1057" t="e">
        <x:f t="shared" si="25"/>
        <x:v>#REF!</x:v>
      </x:c>
      <x:c r="I93" s="1054" t="e">
        <x:f t="shared" si="26"/>
        <x:v>#REF!</x:v>
      </x:c>
      <x:c r="J93" s="1057" t="e">
        <x:f t="shared" si="27"/>
        <x:v>#REF!</x:v>
      </x:c>
      <x:c r="K93" s="1064" t="e">
        <x:f t="shared" si="28"/>
        <x:v>#REF!</x:v>
      </x:c>
      <x:c r="L93" s="1011">
        <x:f t="shared" ca="1" si="29"/>
        <x:v>8.5223939502089117</x:v>
      </x:c>
      <x:c r="M93" s="940">
        <x:f t="shared" ca="1" si="30"/>
        <x:v>18.788640150509568</x:v>
      </x:c>
      <x:c r="N93" s="1025" t="e">
        <x:f>(-#REF!*COS($F$18*PI()/180)*$F$21-#REF!*COS($I$18*PI()/180)*$I$21)*$N$99*$C$25*1000/9.81/$O$47*$D$193*#REF!-$N$47/$O$47*$C$20*$F$21</x:f>
        <x:v>#REF!</x:v>
      </x:c>
      <x:c r="O93" s="75" t="e">
        <x:f>(SQRT(((-#REF!*SIN($F$18*PI()/180)*$F$21+#REF!*SIN($I$18*PI()/180)*$I$21)*$C$25*1000)^2+(0.001*$C$25*1000*$F$21)^2)/$C$30+(-#REF!*COS($F$18*PI()/180)*$F$21-#REF!*COS($I$18*PI()/180)*$I$21)*$C$25*1000)/9.81*$O$99/$O$47*$F$193*#REF!-$N$47/$O$47*$C$20*$F$21</x:f>
        <x:v>#REF!</x:v>
      </x:c>
      <x:c r="P93" s="161" t="e">
        <x:f>(-#REF!*COS($F$18*PI()/180)*$F$21-#REF!*COS($I$18*PI()/180)*$I$21)*$N$99*$C$25*1000/9.81/$Q$47*$D$193*#REF!-$P$47/$Q$47*$C$20*$F$21</x:f>
        <x:v>#REF!</x:v>
      </x:c>
      <x:c r="Q93" s="198" t="e">
        <x:f>(SQRT(((-#REF!*SIN($F$18*PI()/180)*$F$21+#REF!*SIN($I$18*PI()/180)*$I$21)*$C$25*1000)^2+(0.001*$C$25*1000*$F$21)^2)/$C$30+(-#REF!*COS($F$18*PI()/180)*$F$21-#REF!*COS($I$18*PI()/180)*$I$21)*$C$25*1000)/9.81*$O$99/$Q$47*$F$193*#REF!-$P$47/$Q$47*$C$20*$F$21</x:f>
        <x:v>#REF!</x:v>
      </x:c>
      <x:c r="R93" s="161" t="e">
        <x:f>(-#REF!*COS($F$18*PI()/180)*$F$21-#REF!*COS($I$18*PI()/180)*$I$21)*$N$99*$C$25*1000/9.81/$S$47*$D$193*#REF!-$R$47/$S$47*$C$20*$F$21</x:f>
        <x:v>#REF!</x:v>
      </x:c>
      <x:c r="S93" s="198" t="e">
        <x:f>(SQRT(((-#REF!*SIN($F$18*PI()/180)*$F$21+#REF!*SIN($I$18*PI()/180)*$I$21)*$C$25*1000)^2+(0.001*$C$25*1000*$F$21)^2)/$C$30+(-#REF!*COS($F$18*PI()/180)*$F$21-#REF!*COS($I$18*PI()/180)*$I$21)*$C$25*1000)/9.81*$O$99/$S$47*$F$193*#REF!-$R$47/$S$47*$C$20*$F$21</x:f>
        <x:v>#REF!</x:v>
      </x:c>
      <x:c r="T93" s="161" t="e">
        <x:f>(-#REF!*COS($F$18*PI()/180)*$F$21-#REF!*COS($I$18*PI()/180)*$I$21)*$N$99*$C$25*1000/9.81/$U$47*$D$193*#REF!-$T$47/$U$47*$C$20*$F$21</x:f>
        <x:v>#REF!</x:v>
      </x:c>
      <x:c r="U93" s="198" t="e">
        <x:f>(SQRT(((-#REF!*SIN($F$18*PI()/180)*$F$21+#REF!*SIN($I$18*PI()/180)*$I$21)*$C$25*1000)^2+(0.001*$C$25*1000*$F$21)^2)/$C$30+(-#REF!*COS($F$18*PI()/180)*$F$21-#REF!*COS($I$18*PI()/180)*$I$21)*$C$25*1000)/9.81*$O$99/$U$47*$F$193*#REF!-$T$47/$U$47*$C$20*$F$21</x:f>
        <x:v>#REF!</x:v>
      </x:c>
      <x:c r="V93" s="161" t="e">
        <x:f>(-#REF!*COS($F$18*PI()/180)*$F$21-#REF!*COS($I$18*PI()/180)*$I$21)*$N$99*$C$25*1000/9.81/$W$47*$D$193*#REF!-$V$47/$W$47*$C$20*$F$21</x:f>
        <x:v>#REF!</x:v>
      </x:c>
      <x:c r="W93" s="198" t="e">
        <x:f>(SQRT(((-#REF!*SIN($F$18*PI()/180)*$F$21+#REF!*SIN($I$18*PI()/180)*$I$21)*$C$25*1000)^2+(0.001*$C$25*1000*$F$21)^2)/$C$30+(-#REF!*COS($F$18*PI()/180)*$F$21-#REF!*COS($I$18*PI()/180)*$I$21)*$C$25*1000)/9.81*$O$99/$W$47*$F$193*#REF!-$V$47/$W$47*$C$20*$F$21</x:f>
        <x:v>#REF!</x:v>
      </x:c>
      <x:c r="X93" s="161" t="e">
        <x:f>(-#REF!*COS($F$18*PI()/180)*$F$21-#REF!*COS($I$18*PI()/180)*$I$21)*$N$99*$C$25*1000/9.81/$Y$47*$D$193*#REF!-$X$47/$Y$47*$C$20*$F$21</x:f>
        <x:v>#REF!</x:v>
      </x:c>
      <x:c r="Y93" s="198" t="e">
        <x:f>(SQRT(((-#REF!*SIN($F$18*PI()/180)*$F$21+#REF!*SIN($I$18*PI()/180)*$I$21)*$C$25*1000)^2+(0.001*$C$25*1000*$F$21)^2)/$C$30+(-#REF!*COS($F$18*PI()/180)*$F$21-#REF!*COS($I$18*PI()/180)*$I$21)*$C$25*1000)/9.81*$O$99/$Y$47*$F$193*#REF!-$X$47/$Y$47*$C$20*$F$21</x:f>
        <x:v>#REF!</x:v>
      </x:c>
      <x:c r="Z93" s="161">
        <x:f ca="1">(-'int. presets cp_10d+wd'!M32*COS($F$18*PI()/180)*$F$21-'int. presets cp_10d+wd'!M41*COS($I$18*PI()/180)*$I$21)*$N$99*$C$25*1000/9.81/$AA$47*$D$193*'int. presets cp_10d+wd'!$M$246-$Z$47/$AA$47*$C$20*$F$21</x:f>
        <x:v>-3.6747515255012289</x:v>
      </x:c>
      <x:c r="AA93" s="1026">
        <x:f ca="1">(SQRT(((-'int. presets cp_10d+wd'!H32*SIN($F$18*PI()/180)*$F$21+'int. presets cp_10d+wd'!H41*SIN($I$18*PI()/180)*$I$21)*$C$25*1000)^2+(0.001*$C$25*1000*$F$21)^2)/$C$30+(-'int. presets cp_10d+wd'!H32*COS($F$18*PI()/180)*$F$21-'int. presets cp_10d+wd'!H41*COS($I$18*PI()/180)*$I$21)*$C$25*1000)/9.81*$O$99/$AA$47*$F$193*'int. presets cp_10d+wd'!$H$246-$Z$47/$AA$47*$C$20*$F$21</x:f>
        <x:v>8.5223939502089117</x:v>
      </x:c>
      <x:c r="AB93" s="18"/>
    </x:row>
    <x:row r="94" spans="2:136" s="75" customFormat="1" ht="13.5" customHeight="1" thickBot="1" x14ac:dyDescent="0.25">
      <x:c r="B94" s="1351"/>
      <x:c r="C94" s="1352"/>
      <x:c r="D94" s="1353"/>
      <x:c r="E94" s="346" t="s">
        <x:v>462</x:v>
      </x:c>
      <x:c r="F94" s="1055" t="e">
        <x:f t="shared" si="69"/>
        <x:v>#REF!</x:v>
      </x:c>
      <x:c r="G94" s="1055" t="e">
        <x:f t="shared" si="24"/>
        <x:v>#REF!</x:v>
      </x:c>
      <x:c r="H94" s="1055" t="e">
        <x:f t="shared" si="25"/>
        <x:v>#REF!</x:v>
      </x:c>
      <x:c r="I94" s="1056" t="e">
        <x:f t="shared" si="26"/>
        <x:v>#REF!</x:v>
      </x:c>
      <x:c r="J94" s="1055" t="e">
        <x:f t="shared" si="27"/>
        <x:v>#REF!</x:v>
      </x:c>
      <x:c r="K94" s="1063" t="e">
        <x:f t="shared" si="28"/>
        <x:v>#REF!</x:v>
      </x:c>
      <x:c r="L94" s="1014">
        <x:f t="shared" ca="1" si="29"/>
        <x:v>8.5223939502089117</x:v>
      </x:c>
      <x:c r="M94" s="942">
        <x:f t="shared" ca="1" si="30"/>
        <x:v>18.788640150509568</x:v>
      </x:c>
      <x:c r="N94" s="1031" t="e">
        <x:f>(-#REF!*COS($F$18*PI()/180)*$F$21-#REF!*COS($I$18*PI()/180)*$I$21)*$N$99*$C$25*1000/9.81/$O$47*$D$193*#REF!-$N$47/$O$47*$C$20*$F$21</x:f>
        <x:v>#REF!</x:v>
      </x:c>
      <x:c r="O94" s="937" t="e">
        <x:f>(SQRT(((-#REF!*SIN($F$18*PI()/180)*$F$21+#REF!*SIN($I$18*PI()/180)*$I$21)*$C$25*1000)^2+(0.001*$C$25*1000*$F$21)^2)/$C$30+(-#REF!*COS($F$18*PI()/180)*$F$21-#REF!*COS($I$18*PI()/180)*$I$21)*$C$25*1000)/9.81*$O$99/$O$47*$F$193*#REF!-$N$47/$O$47*$C$20*$F$21</x:f>
        <x:v>#REF!</x:v>
      </x:c>
      <x:c r="P94" s="239" t="e">
        <x:f>(-#REF!*COS($F$18*PI()/180)*$F$21-#REF!*COS($I$18*PI()/180)*$I$21)*$N$99*$C$25*1000/9.81/$Q$47*$D$193*#REF!-$P$47/$Q$47*$C$20*$F$21</x:f>
        <x:v>#REF!</x:v>
      </x:c>
      <x:c r="Q94" s="240" t="e">
        <x:f>(SQRT(((-#REF!*SIN($F$18*PI()/180)*$F$21+#REF!*SIN($I$18*PI()/180)*$I$21)*$C$25*1000)^2+(0.001*$C$25*1000*$F$21)^2)/$C$30+(-#REF!*COS($F$18*PI()/180)*$F$21-#REF!*COS($I$18*PI()/180)*$I$21)*$C$25*1000)/9.81*$O$99/$Q$47*$F$193*#REF!-$P$47/$Q$47*$C$20*$F$21</x:f>
        <x:v>#REF!</x:v>
      </x:c>
      <x:c r="R94" s="239" t="e">
        <x:f>(-#REF!*COS($F$18*PI()/180)*$F$21-#REF!*COS($I$18*PI()/180)*$I$21)*$N$99*$C$25*1000/9.81/$S$47*$D$193*#REF!-$R$47/$S$47*$C$20*$F$21</x:f>
        <x:v>#REF!</x:v>
      </x:c>
      <x:c r="S94" s="240" t="e">
        <x:f>(SQRT(((-#REF!*SIN($F$18*PI()/180)*$F$21+#REF!*SIN($I$18*PI()/180)*$I$21)*$C$25*1000)^2+(0.001*$C$25*1000*$F$21)^2)/$C$30+(-#REF!*COS($F$18*PI()/180)*$F$21-#REF!*COS($I$18*PI()/180)*$I$21)*$C$25*1000)/9.81*$O$99/$S$47*$F$193*#REF!-$R$47/$S$47*$C$20*$F$21</x:f>
        <x:v>#REF!</x:v>
      </x:c>
      <x:c r="T94" s="239" t="e">
        <x:f>(-#REF!*COS($F$18*PI()/180)*$F$21-#REF!*COS($I$18*PI()/180)*$I$21)*$N$99*$C$25*1000/9.81/$U$47*$D$193*#REF!-$T$47/$U$47*$C$20*$F$21</x:f>
        <x:v>#REF!</x:v>
      </x:c>
      <x:c r="U94" s="240" t="e">
        <x:f>(SQRT(((-#REF!*SIN($F$18*PI()/180)*$F$21+#REF!*SIN($I$18*PI()/180)*$I$21)*$C$25*1000)^2+(0.001*$C$25*1000*$F$21)^2)/$C$30+(-#REF!*COS($F$18*PI()/180)*$F$21-#REF!*COS($I$18*PI()/180)*$I$21)*$C$25*1000)/9.81*$O$99/$U$47*$F$193*#REF!-$T$47/$U$47*$C$20*$F$21</x:f>
        <x:v>#REF!</x:v>
      </x:c>
      <x:c r="V94" s="239" t="e">
        <x:f>(-#REF!*COS($F$18*PI()/180)*$F$21-#REF!*COS($I$18*PI()/180)*$I$21)*$N$99*$C$25*1000/9.81/$W$47*$D$193*#REF!-$V$47/$W$47*$C$20*$F$21</x:f>
        <x:v>#REF!</x:v>
      </x:c>
      <x:c r="W94" s="240" t="e">
        <x:f>(SQRT(((-#REF!*SIN($F$18*PI()/180)*$F$21+#REF!*SIN($I$18*PI()/180)*$I$21)*$C$25*1000)^2+(0.001*$C$25*1000*$F$21)^2)/$C$30+(-#REF!*COS($F$18*PI()/180)*$F$21-#REF!*COS($I$18*PI()/180)*$I$21)*$C$25*1000)/9.81*$O$99/$W$47*$F$193*#REF!-$V$47/$W$47*$C$20*$F$21</x:f>
        <x:v>#REF!</x:v>
      </x:c>
      <x:c r="X94" s="239" t="e">
        <x:f>(-#REF!*COS($F$18*PI()/180)*$F$21-#REF!*COS($I$18*PI()/180)*$I$21)*$N$99*$C$25*1000/9.81/$Y$47*$D$193*#REF!-$X$47/$Y$47*$C$20*$F$21</x:f>
        <x:v>#REF!</x:v>
      </x:c>
      <x:c r="Y94" s="240" t="e">
        <x:f>(SQRT(((-#REF!*SIN($F$18*PI()/180)*$F$21+#REF!*SIN($I$18*PI()/180)*$I$21)*$C$25*1000)^2+(0.001*$C$25*1000*$F$21)^2)/$C$30+(-#REF!*COS($F$18*PI()/180)*$F$21-#REF!*COS($I$18*PI()/180)*$I$21)*$C$25*1000)/9.81*$O$99/$Y$47*$F$193*#REF!-$X$47/$Y$47*$C$20*$F$21</x:f>
        <x:v>#REF!</x:v>
      </x:c>
      <x:c r="Z94" s="239">
        <x:f ca="1">(-'int. presets cp_10d+wd'!M33*COS($F$18*PI()/180)*$F$21-'int. presets cp_10d+wd'!M42*COS($I$18*PI()/180)*$I$21)*$N$99*$C$25*1000/9.81/$AA$47*$D$193*'int. presets cp_10d+wd'!$M$246-$Z$47/$AA$47*$C$20*$F$21</x:f>
        <x:v>-2.7640430810644858</x:v>
      </x:c>
      <x:c r="AA94" s="1032">
        <x:f ca="1">(SQRT(((-'int. presets cp_10d+wd'!H33*SIN($F$18*PI()/180)*$F$21+'int. presets cp_10d+wd'!H42*SIN($I$18*PI()/180)*$I$21)*$C$25*1000)^2+(0.001*$C$25*1000*$F$21)^2)/$C$30+(-'int. presets cp_10d+wd'!H33*COS($F$18*PI()/180)*$F$21-'int. presets cp_10d+wd'!H42*COS($I$18*PI()/180)*$I$21)*$C$25*1000)/9.81*$O$99/$AA$47*$F$193*'int. presets cp_10d+wd'!$H$246-$Z$47/$AA$47*$C$20*$F$21</x:f>
        <x:v>8.5223939502089117</x:v>
      </x:c>
      <x:c r="AB94" s="18"/>
    </x:row>
    <x:row r="95" spans="2:136" s="178" customFormat="1" ht="13.5" customHeight="1" thickTop="1" thickBot="1" x14ac:dyDescent="0.25">
      <x:c r="B95" s="75"/>
      <x:c r="C95" s="75"/>
      <x:c r="D95" s="75"/>
      <x:c r="E95" s="75"/>
      <x:c r="F95" s="75"/>
      <x:c r="G95" s="75"/>
      <x:c r="H95" s="75"/>
      <x:c r="I95" s="75"/>
      <x:c r="J95" s="75"/>
      <x:c r="K95" s="75"/>
      <x:c r="L95" s="75"/>
      <x:c r="M95" s="75"/>
      <x:c r="N95" s="75"/>
      <x:c r="O95" s="75"/>
      <x:c r="P95" s="75"/>
      <x:c r="Q95" s="75"/>
      <x:c r="R95" s="75"/>
      <x:c r="S95" s="75"/>
      <x:c r="T95" s="75"/>
      <x:c r="U95" s="75"/>
      <x:c r="V95" s="75"/>
      <x:c r="W95" s="75"/>
      <x:c r="X95" s="75"/>
      <x:c r="Y95" s="75"/>
      <x:c r="Z95" s="75"/>
      <x:c r="AA95" s="75"/>
      <x:c r="AC95" s="75"/>
      <x:c r="AD95" s="75"/>
      <x:c r="AE95" s="75"/>
      <x:c r="AF95" s="75"/>
      <x:c r="AG95" s="75"/>
      <x:c r="AH95" s="75"/>
      <x:c r="AI95" s="75"/>
      <x:c r="AJ95" s="75"/>
      <x:c r="AK95" s="75"/>
      <x:c r="AL95" s="75"/>
      <x:c r="AM95" s="75"/>
      <x:c r="AN95" s="75"/>
      <x:c r="AO95" s="75"/>
      <x:c r="AP95" s="75"/>
      <x:c r="AQ95" s="75"/>
      <x:c r="AR95" s="75"/>
      <x:c r="AS95" s="75"/>
      <x:c r="AT95" s="75"/>
      <x:c r="AU95" s="75"/>
      <x:c r="AV95" s="75"/>
      <x:c r="AW95" s="75"/>
      <x:c r="AX95" s="75"/>
      <x:c r="AY95" s="75"/>
      <x:c r="AZ95" s="75"/>
      <x:c r="BA95" s="75"/>
      <x:c r="BB95" s="75"/>
      <x:c r="BC95" s="75"/>
      <x:c r="BD95" s="75"/>
      <x:c r="BE95" s="75"/>
      <x:c r="BF95" s="75"/>
      <x:c r="BG95" s="75"/>
      <x:c r="BH95" s="75"/>
      <x:c r="BI95" s="75"/>
      <x:c r="BJ95" s="75"/>
      <x:c r="BK95" s="75"/>
      <x:c r="BL95" s="75"/>
      <x:c r="BM95" s="75"/>
      <x:c r="BN95" s="75"/>
      <x:c r="BO95" s="75"/>
      <x:c r="BP95" s="75"/>
      <x:c r="BQ95" s="75"/>
      <x:c r="BR95" s="75"/>
      <x:c r="BS95" s="75"/>
      <x:c r="BT95" s="75"/>
      <x:c r="BU95" s="75"/>
      <x:c r="BV95" s="75"/>
      <x:c r="BW95" s="75"/>
      <x:c r="BX95" s="75"/>
      <x:c r="BY95" s="75"/>
      <x:c r="BZ95" s="75"/>
      <x:c r="CA95" s="75"/>
      <x:c r="CB95" s="75"/>
      <x:c r="CC95" s="1"/>
      <x:c r="CD95" s="1"/>
      <x:c r="CE95" s="1"/>
      <x:c r="CF95" s="1"/>
      <x:c r="CG95" s="1"/>
      <x:c r="CH95" s="1"/>
      <x:c r="CI95" s="1"/>
      <x:c r="CJ95" s="1"/>
      <x:c r="CK95" s="1"/>
      <x:c r="CL95" s="1"/>
      <x:c r="CM95" s="1"/>
      <x:c r="CN95" s="1"/>
      <x:c r="CO95" s="1"/>
      <x:c r="CP95" s="1"/>
      <x:c r="CQ95" s="1"/>
      <x:c r="CR95" s="1"/>
      <x:c r="CS95" s="1"/>
      <x:c r="CT95" s="1"/>
      <x:c r="CU95" s="1"/>
      <x:c r="CV95" s="1"/>
      <x:c r="CW95" s="1"/>
      <x:c r="CX95" s="1"/>
      <x:c r="CY95" s="1"/>
      <x:c r="CZ95" s="1"/>
      <x:c r="DA95" s="1"/>
      <x:c r="DB95" s="1"/>
      <x:c r="DC95" s="1"/>
      <x:c r="DD95" s="1"/>
      <x:c r="DE95" s="1"/>
      <x:c r="DF95" s="1"/>
      <x:c r="DG95" s="1"/>
      <x:c r="DH95" s="1"/>
      <x:c r="DI95" s="1"/>
      <x:c r="DJ95" s="1"/>
      <x:c r="DK95" s="1"/>
      <x:c r="DL95" s="1"/>
      <x:c r="DM95" s="1"/>
      <x:c r="DN95" s="1"/>
      <x:c r="DO95" s="1"/>
      <x:c r="DP95" s="1"/>
      <x:c r="DQ95" s="1"/>
      <x:c r="DR95" s="1"/>
      <x:c r="DS95" s="1"/>
      <x:c r="DT95" s="1"/>
      <x:c r="DU95" s="1"/>
      <x:c r="DV95" s="1"/>
      <x:c r="DW95" s="1"/>
      <x:c r="DX95" s="1"/>
      <x:c r="DY95" s="1"/>
      <x:c r="DZ95" s="1"/>
      <x:c r="EA95" s="1"/>
      <x:c r="EB95" s="1"/>
      <x:c r="EC95" s="1"/>
      <x:c r="ED95" s="1"/>
      <x:c r="EE95" s="1"/>
      <x:c r="EF95" s="1"/>
    </x:row>
    <x:row r="96" spans="2:136" s="178" customFormat="1" ht="13.5" customHeight="1" thickTop="1" thickBot="1" x14ac:dyDescent="0.3">
      <x:c r="B96" s="1389" t="s">
        <x:v>425</x:v>
      </x:c>
      <x:c r="C96" s="1390"/>
      <x:c r="D96" s="1391"/>
      <x:c r="E96" s="1406" t="s">
        <x:v>354</x:v>
      </x:c>
      <x:c r="F96" s="1407"/>
      <x:c r="G96" s="1407"/>
      <x:c r="H96" s="1407"/>
      <x:c r="I96" s="1407"/>
      <x:c r="J96" s="1407"/>
      <x:c r="K96" s="1407"/>
      <x:c r="L96" s="1408"/>
      <x:c r="M96" s="1051"/>
      <x:c r="N96" s="1356" t="s">
        <x:v>488</x:v>
      </x:c>
      <x:c r="O96" s="1311"/>
      <x:c r="P96" s="1372" t="s">
        <x:v>489</x:v>
      </x:c>
      <x:c r="Q96" s="1311"/>
      <x:c r="R96" s="1310" t="s">
        <x:v>490</x:v>
      </x:c>
      <x:c r="S96" s="1311"/>
      <x:c r="T96" s="1310" t="s">
        <x:v>491</x:v>
      </x:c>
      <x:c r="U96" s="1311"/>
      <x:c r="V96" s="1310" t="s">
        <x:v>492</x:v>
      </x:c>
      <x:c r="W96" s="1311"/>
      <x:c r="X96" s="1310" t="s">
        <x:v>493</x:v>
      </x:c>
      <x:c r="Y96" s="1311"/>
      <x:c r="Z96" s="1310" t="str">
        <x:f>C39&amp;"-Module Load-Sharing Area"</x:f>
        <x:v>9-Module Load-Sharing Area</x:v>
      </x:c>
      <x:c r="AA96" s="1329"/>
      <x:c r="BC96" s="75"/>
      <x:c r="BD96" s="75"/>
      <x:c r="BE96" s="75"/>
      <x:c r="BF96" s="75"/>
      <x:c r="BG96" s="75"/>
      <x:c r="BH96" s="75"/>
      <x:c r="BI96" s="75"/>
      <x:c r="BJ96" s="75"/>
      <x:c r="BK96" s="75"/>
      <x:c r="BL96" s="75"/>
      <x:c r="BM96" s="75"/>
      <x:c r="BN96" s="75"/>
      <x:c r="BO96" s="75"/>
      <x:c r="BP96" s="75"/>
      <x:c r="BQ96" s="75"/>
      <x:c r="BR96" s="75"/>
      <x:c r="BS96" s="75"/>
      <x:c r="BT96" s="75"/>
      <x:c r="BU96" s="75"/>
      <x:c r="BV96" s="75"/>
    </x:row>
    <x:row r="97" spans="2:134" s="178" customFormat="1" ht="13.5" customHeight="1" x14ac:dyDescent="0.25">
      <x:c r="B97" s="1392"/>
      <x:c r="C97" s="1393"/>
      <x:c r="D97" s="1394"/>
      <x:c r="E97" s="1207" t="s">
        <x:v>424</x:v>
      </x:c>
      <x:c r="F97" s="1398" t="s">
        <x:v>482</x:v>
      </x:c>
      <x:c r="G97" s="1398" t="s">
        <x:v>483</x:v>
      </x:c>
      <x:c r="H97" s="1398" t="s">
        <x:v>484</x:v>
      </x:c>
      <x:c r="I97" s="1398" t="s">
        <x:v>485</x:v>
      </x:c>
      <x:c r="J97" s="1398" t="s">
        <x:v>487</x:v>
      </x:c>
      <x:c r="K97" s="1398" t="s">
        <x:v>486</x:v>
      </x:c>
      <x:c r="L97" s="1366" t="str">
        <x:f>C39&amp;"-Module
Load-Sharing Area"</x:f>
        <x:v>9-Module
Load-Sharing Area</x:v>
      </x:c>
      <x:c r="M97" s="1065" t="s">
        <x:v>518</x:v>
      </x:c>
      <x:c r="N97" s="1362" t="s">
        <x:v>355</x:v>
      </x:c>
      <x:c r="O97" s="1375" t="s">
        <x:v>356</x:v>
      </x:c>
      <x:c r="P97" s="1373" t="s">
        <x:v>355</x:v>
      </x:c>
      <x:c r="Q97" s="1375" t="s">
        <x:v>356</x:v>
      </x:c>
      <x:c r="R97" s="1373" t="s">
        <x:v>355</x:v>
      </x:c>
      <x:c r="S97" s="1375" t="s">
        <x:v>356</x:v>
      </x:c>
      <x:c r="T97" s="1373" t="s">
        <x:v>355</x:v>
      </x:c>
      <x:c r="U97" s="1375" t="s">
        <x:v>356</x:v>
      </x:c>
      <x:c r="V97" s="1373" t="s">
        <x:v>355</x:v>
      </x:c>
      <x:c r="W97" s="1375" t="s">
        <x:v>356</x:v>
      </x:c>
      <x:c r="X97" s="1373" t="s">
        <x:v>355</x:v>
      </x:c>
      <x:c r="Y97" s="1375" t="s">
        <x:v>356</x:v>
      </x:c>
      <x:c r="Z97" s="1373" t="s">
        <x:v>355</x:v>
      </x:c>
      <x:c r="AA97" s="1401" t="s">
        <x:v>356</x:v>
      </x:c>
      <x:c r="BC97" s="75"/>
      <x:c r="BD97" s="75"/>
      <x:c r="BE97" s="75"/>
      <x:c r="BF97" s="75"/>
      <x:c r="BG97" s="75"/>
      <x:c r="BH97" s="75"/>
      <x:c r="BI97" s="75"/>
      <x:c r="BJ97" s="75"/>
      <x:c r="BK97" s="75"/>
      <x:c r="BL97" s="75"/>
      <x:c r="BM97" s="75"/>
      <x:c r="BN97" s="75"/>
      <x:c r="BO97" s="75"/>
      <x:c r="BP97" s="75"/>
      <x:c r="BQ97" s="75"/>
      <x:c r="BR97" s="75"/>
      <x:c r="BS97" s="75"/>
      <x:c r="BT97" s="75"/>
      <x:c r="BU97" s="75"/>
      <x:c r="BV97" s="75"/>
    </x:row>
    <x:row r="98" spans="2:134" s="178" customFormat="1" ht="13.5" customHeight="1" thickBot="1" x14ac:dyDescent="0.3">
      <x:c r="B98" s="1392"/>
      <x:c r="C98" s="1393"/>
      <x:c r="D98" s="1394"/>
      <x:c r="E98" s="1208"/>
      <x:c r="F98" s="1399"/>
      <x:c r="G98" s="1399"/>
      <x:c r="H98" s="1399"/>
      <x:c r="I98" s="1399"/>
      <x:c r="J98" s="1399"/>
      <x:c r="K98" s="1399"/>
      <x:c r="L98" s="1367"/>
      <x:c r="M98" s="1066" t="s">
        <x:v>520</x:v>
      </x:c>
      <x:c r="N98" s="1363"/>
      <x:c r="O98" s="1376"/>
      <x:c r="P98" s="1374"/>
      <x:c r="Q98" s="1376"/>
      <x:c r="R98" s="1374"/>
      <x:c r="S98" s="1376"/>
      <x:c r="T98" s="1374"/>
      <x:c r="U98" s="1376"/>
      <x:c r="V98" s="1374"/>
      <x:c r="W98" s="1376"/>
      <x:c r="X98" s="1374"/>
      <x:c r="Y98" s="1376"/>
      <x:c r="Z98" s="1374"/>
      <x:c r="AA98" s="1402"/>
      <x:c r="BC98" s="950"/>
      <x:c r="BD98" s="950"/>
      <x:c r="BE98" s="950"/>
      <x:c r="BF98" s="950"/>
      <x:c r="BG98" s="950"/>
      <x:c r="BH98" s="950"/>
      <x:c r="BI98" s="57"/>
      <x:c r="BJ98" s="57"/>
      <x:c r="BK98" s="57"/>
      <x:c r="BL98" s="57"/>
      <x:c r="BM98" s="57"/>
      <x:c r="BN98" s="57"/>
      <x:c r="BO98" s="57"/>
      <x:c r="BP98" s="57"/>
      <x:c r="BQ98" s="57"/>
      <x:c r="BR98" s="57"/>
      <x:c r="BS98" s="57"/>
      <x:c r="BT98" s="57"/>
      <x:c r="BU98" s="57"/>
      <x:c r="BV98" s="57"/>
    </x:row>
    <x:row r="99" spans="2:134" s="178" customFormat="1" ht="13.5" customHeight="1" thickBot="1" x14ac:dyDescent="0.3">
      <x:c r="B99" s="1395"/>
      <x:c r="C99" s="1396"/>
      <x:c r="D99" s="1397"/>
      <x:c r="E99" s="1379"/>
      <x:c r="F99" s="1400"/>
      <x:c r="G99" s="1400"/>
      <x:c r="H99" s="1400"/>
      <x:c r="I99" s="1400"/>
      <x:c r="J99" s="1400"/>
      <x:c r="K99" s="1400"/>
      <x:c r="L99" s="1368"/>
      <x:c r="M99" s="1066" t="s">
        <x:v>519</x:v>
      </x:c>
      <x:c r="N99" s="1015">
        <x:f>VLOOKUP(F11,C196:J211,5,FALSE)</x:f>
        <x:v>1</x:v>
      </x:c>
      <x:c r="O99" s="590">
        <x:f>VLOOKUP(F11,C196:J211,6,FALSE)</x:f>
        <x:v>1</x:v>
      </x:c>
      <x:c r="P99" s="589">
        <x:f>VLOOKUP(F11,C196:J211,5,FALSE)</x:f>
        <x:v>1</x:v>
      </x:c>
      <x:c r="Q99" s="590">
        <x:f>VLOOKUP(F11,C196:J211,6,FALSE)</x:f>
        <x:v>1</x:v>
      </x:c>
      <x:c r="R99" s="589">
        <x:f>VLOOKUP(F11,C196:J211,5,FALSE)</x:f>
        <x:v>1</x:v>
      </x:c>
      <x:c r="S99" s="590">
        <x:f>VLOOKUP(F11,C196:J211,6,FALSE)</x:f>
        <x:v>1</x:v>
      </x:c>
      <x:c r="T99" s="589">
        <x:f>VLOOKUP(F11,C196:J211,5,FALSE)</x:f>
        <x:v>1</x:v>
      </x:c>
      <x:c r="U99" s="590">
        <x:f>VLOOKUP(F11,C196:J211,6,FALSE)</x:f>
        <x:v>1</x:v>
      </x:c>
      <x:c r="V99" s="589">
        <x:f>VLOOKUP(F11,C196:J211,5,FALSE)</x:f>
        <x:v>1</x:v>
      </x:c>
      <x:c r="W99" s="590">
        <x:f>VLOOKUP(F11,C196:J211,6,FALSE)</x:f>
        <x:v>1</x:v>
      </x:c>
      <x:c r="X99" s="589">
        <x:f>VLOOKUP(F11,C196:J211,5,FALSE)</x:f>
        <x:v>1</x:v>
      </x:c>
      <x:c r="Y99" s="590">
        <x:f>VLOOKUP(F11,C196:J211,6,FALSE)</x:f>
        <x:v>1</x:v>
      </x:c>
      <x:c r="Z99" s="589">
        <x:f>VLOOKUP(F11,C196:J211,5,FALSE)</x:f>
        <x:v>1</x:v>
      </x:c>
      <x:c r="AA99" s="1016">
        <x:f>VLOOKUP(F11,C196:J211,6,FALSE)</x:f>
        <x:v>1</x:v>
      </x:c>
    </x:row>
    <x:row r="100" spans="2:134" s="178" customFormat="1" ht="13.5" customHeight="1" thickTop="1" thickBot="1" x14ac:dyDescent="0.3">
      <x:c r="B100" s="1386" t="s">
        <x:v>426</x:v>
      </x:c>
      <x:c r="C100" s="1387"/>
      <x:c r="D100" s="1387"/>
      <x:c r="E100" s="1388"/>
      <x:c r="F100" s="1364" t="s">
        <x:v>304</x:v>
      </x:c>
      <x:c r="G100" s="1364" t="s">
        <x:v>304</x:v>
      </x:c>
      <x:c r="H100" s="1364" t="s">
        <x:v>304</x:v>
      </x:c>
      <x:c r="I100" s="1364" t="s">
        <x:v>304</x:v>
      </x:c>
      <x:c r="J100" s="1364" t="s">
        <x:v>304</x:v>
      </x:c>
      <x:c r="K100" s="1364" t="s">
        <x:v>304</x:v>
      </x:c>
      <x:c r="L100" s="1354" t="s">
        <x:v>304</x:v>
      </x:c>
      <x:c r="M100" s="1354" t="s">
        <x:v>304</x:v>
      </x:c>
      <x:c r="N100" s="1312" t="s">
        <x:v>427</x:v>
      </x:c>
      <x:c r="O100" s="1378"/>
      <x:c r="P100" s="1377" t="s">
        <x:v>427</x:v>
      </x:c>
      <x:c r="Q100" s="1378"/>
      <x:c r="R100" s="1377" t="s">
        <x:v>427</x:v>
      </x:c>
      <x:c r="S100" s="1378"/>
      <x:c r="T100" s="1377" t="s">
        <x:v>427</x:v>
      </x:c>
      <x:c r="U100" s="1378"/>
      <x:c r="V100" s="1377" t="s">
        <x:v>427</x:v>
      </x:c>
      <x:c r="W100" s="1378"/>
      <x:c r="X100" s="1377" t="s">
        <x:v>427</x:v>
      </x:c>
      <x:c r="Y100" s="1378"/>
      <x:c r="Z100" s="1377" t="s">
        <x:v>427</x:v>
      </x:c>
      <x:c r="AA100" s="1313"/>
    </x:row>
    <x:row r="101" spans="2:134" s="178" customFormat="1" ht="26.25" customHeight="1" thickBot="1" x14ac:dyDescent="0.3">
      <x:c r="B101" s="1369" t="s">
        <x:v>429</x:v>
      </x:c>
      <x:c r="C101" s="1370"/>
      <x:c r="D101" s="1371"/>
      <x:c r="E101" s="349" t="s">
        <x:v>430</x:v>
      </x:c>
      <x:c r="F101" s="1365"/>
      <x:c r="G101" s="1365"/>
      <x:c r="H101" s="1365"/>
      <x:c r="I101" s="1365"/>
      <x:c r="J101" s="1365"/>
      <x:c r="K101" s="1365"/>
      <x:c r="L101" s="1355"/>
      <x:c r="M101" s="1355"/>
      <x:c r="N101" s="1017" t="s">
        <x:v>431</x:v>
      </x:c>
      <x:c r="O101" s="984" t="s">
        <x:v>432</x:v>
      </x:c>
      <x:c r="P101" s="983" t="s">
        <x:v>431</x:v>
      </x:c>
      <x:c r="Q101" s="984" t="s">
        <x:v>432</x:v>
      </x:c>
      <x:c r="R101" s="983" t="s">
        <x:v>431</x:v>
      </x:c>
      <x:c r="S101" s="984" t="s">
        <x:v>432</x:v>
      </x:c>
      <x:c r="T101" s="983" t="s">
        <x:v>431</x:v>
      </x:c>
      <x:c r="U101" s="984" t="s">
        <x:v>432</x:v>
      </x:c>
      <x:c r="V101" s="983" t="s">
        <x:v>431</x:v>
      </x:c>
      <x:c r="W101" s="984" t="s">
        <x:v>432</x:v>
      </x:c>
      <x:c r="X101" s="983" t="s">
        <x:v>431</x:v>
      </x:c>
      <x:c r="Y101" s="984" t="s">
        <x:v>432</x:v>
      </x:c>
      <x:c r="Z101" s="983" t="s">
        <x:v>431</x:v>
      </x:c>
      <x:c r="AA101" s="1018" t="s">
        <x:v>432</x:v>
      </x:c>
    </x:row>
    <x:row r="102" spans="2:134" s="178" customFormat="1" ht="13.5" customHeight="1" thickTop="1" thickBot="1" x14ac:dyDescent="0.3">
      <x:c r="B102" s="1383" t="s">
        <x:v>339</x:v>
      </x:c>
      <x:c r="C102" s="1384"/>
      <x:c r="D102" s="1384"/>
      <x:c r="E102" s="1384"/>
      <x:c r="F102" s="1384"/>
      <x:c r="G102" s="1384"/>
      <x:c r="H102" s="1384"/>
      <x:c r="I102" s="1384"/>
      <x:c r="J102" s="1384"/>
      <x:c r="K102" s="1384"/>
      <x:c r="L102" s="1385"/>
      <x:c r="M102" s="1049"/>
      <x:c r="N102" s="1004"/>
      <x:c r="O102" s="1005"/>
      <x:c r="P102" s="1005"/>
      <x:c r="Q102" s="1005"/>
      <x:c r="R102" s="1005"/>
      <x:c r="S102" s="1005"/>
      <x:c r="T102" s="1005"/>
      <x:c r="U102" s="1005"/>
      <x:c r="V102" s="1005"/>
      <x:c r="W102" s="1005"/>
      <x:c r="X102" s="1005"/>
      <x:c r="Y102" s="1005"/>
      <x:c r="Z102" s="1005"/>
      <x:c r="AA102" s="1009"/>
    </x:row>
    <x:row r="103" spans="2:134" s="178" customFormat="1" ht="13.5" customHeight="1" x14ac:dyDescent="0.25">
      <x:c r="B103" s="1345" t="s">
        <x:v>460</x:v>
      </x:c>
      <x:c r="C103" s="1346"/>
      <x:c r="D103" s="1347"/>
      <x:c r="E103" s="342" t="s">
        <x:v>461</x:v>
      </x:c>
      <x:c r="F103" s="1053" t="e">
        <x:f t="shared" ref="F103:F110" si="70">MAX(N103,O103)</x:f>
        <x:v>#REF!</x:v>
      </x:c>
      <x:c r="G103" s="1053" t="e">
        <x:f t="shared" ref="G103:G110" si="71">MAX(P103,Q103)</x:f>
        <x:v>#REF!</x:v>
      </x:c>
      <x:c r="H103" s="1053" t="e">
        <x:f>MAX(R103,S103)</x:f>
        <x:v>#REF!</x:v>
      </x:c>
      <x:c r="I103" s="1061" t="e">
        <x:f>MAX(T103,U103)</x:f>
        <x:v>#REF!</x:v>
      </x:c>
      <x:c r="J103" s="1053" t="e">
        <x:f>MAX(V103,W103)</x:f>
        <x:v>#REF!</x:v>
      </x:c>
      <x:c r="K103" s="1062" t="e">
        <x:f>MAX(X103,Y103)</x:f>
        <x:v>#REF!</x:v>
      </x:c>
      <x:c r="L103" s="943">
        <x:f ca="1">MAX(Z103,AA103)</x:f>
        <x:v>24.682053852366163</x:v>
      </x:c>
      <x:c r="M103" s="943">
        <x:f ca="1">L103*2.20462</x:f>
        <x:v>54.414549564003487</x:v>
      </x:c>
      <x:c r="N103" s="1058" t="e">
        <x:f>(-#REF!*COS($F$18*PI()/180)*$F$21)*$N$99*$C$25*1000/9.81/$O$47*$D$193*#REF!-$N$47/$O$47*$C$20*$F$21</x:f>
        <x:v>#REF!</x:v>
      </x:c>
      <x:c r="O103" s="406" t="e">
        <x:f>(SQRT(((-#REF!*SIN($F$18*PI()/180)*$F$21)*$C$25*1000)^2+(0.001*$C$25*1000*$F$21)^2)/$C$30+(-#REF!*COS($F$18*PI()/180)*$F$21)*$C$25*1000)/9.81*$O$99/$O$47*$F$193*#REF!-$N$47/$O$47*$C$20*$F$21</x:f>
        <x:v>#REF!</x:v>
      </x:c>
      <x:c r="P103" s="405" t="e">
        <x:f>(-#REF!*COS($F$18*PI()/180)*$F$21)*$P$99*$C$25*1000/9.81/$O$47*$D$193*#REF!-$N$47/$O$47*$C$20*$F$21</x:f>
        <x:v>#REF!</x:v>
      </x:c>
      <x:c r="Q103" s="406" t="e">
        <x:f>(SQRT(((-#REF!*SIN($F$18*PI()/180)*$F$21)*$C$25*1000)^2+(0.001*$C$25*1000*$F$21)^2)/$C$30+(-#REF!*COS($F$18*PI()/180)*$F$21)*$C$25*1000)/9.81*$Q$99/$O$47*$F$193*#REF!-$N$47/$O$47*$C$20*$F$21</x:f>
        <x:v>#REF!</x:v>
      </x:c>
      <x:c r="R103" s="405" t="e">
        <x:f>(-#REF!*COS($F$18*PI()/180)*$F$21)*$R$99*$C$25*1000/9.81/$O$47*$D$193*#REF!-$N$47/$O$47*$C$20*$F$21</x:f>
        <x:v>#REF!</x:v>
      </x:c>
      <x:c r="S103" s="406" t="e">
        <x:f>(SQRT(((-#REF!*SIN($F$18*PI()/180)*$F$21)*$C$25*1000)^2+(0.001*$C$25*1000*$F$21)^2)/$C$30+(-#REF!*COS($F$18*PI()/180)*$F$21)*$C$25*1000)/9.81*$S$99/$O$47*$F$193*#REF!-$N$47/$O$47*$C$20*$F$21</x:f>
        <x:v>#REF!</x:v>
      </x:c>
      <x:c r="T103" s="405" t="e">
        <x:f>(-#REF!*COS($F$18*PI()/180)*$F$21)*$T$99*$C$25*1000/9.81/$O$47*$D$193*#REF!-$N$47/$O$47*$C$20*$F$21</x:f>
        <x:v>#REF!</x:v>
      </x:c>
      <x:c r="U103" s="406" t="e">
        <x:f>(SQRT(((-#REF!*SIN($F$18*PI()/180)*$F$21)*$C$25*1000)^2+(0.001*$C$25*1000*$F$21)^2)/$C$30+(-#REF!*COS($F$18*PI()/180)*$F$21)*$C$25*1000)/9.81*$U$99/$O$47*$F$193*#REF!-$N$47/$O$47*$C$20*$F$21</x:f>
        <x:v>#REF!</x:v>
      </x:c>
      <x:c r="V103" s="405" t="e">
        <x:f>(-#REF!*COS($F$18*PI()/180)*$F$21)*$V$99*$C$25*1000/9.81/$O$47*$D$193*#REF!-$N$47/$O$47*$C$20*$F$21</x:f>
        <x:v>#REF!</x:v>
      </x:c>
      <x:c r="W103" s="406" t="e">
        <x:f>(SQRT(((-#REF!*SIN($F$18*PI()/180)*$F$21)*$C$25*1000)^2+(0.001*$C$25*1000*$F$21)^2)/$C$30+(-#REF!*COS($F$18*PI()/180)*$F$21)*$C$25*1000)/9.81*$W$99/$O$47*$F$193*#REF!-$N$47/$O$47*$C$20*$F$21</x:f>
        <x:v>#REF!</x:v>
      </x:c>
      <x:c r="X103" s="405" t="e">
        <x:f>(-#REF!*COS($F$18*PI()/180)*$F$21)*$X$99*$C$25*1000/9.81/$O$47*$D$193*#REF!-$N$47/$O$47*$C$20*$F$21</x:f>
        <x:v>#REF!</x:v>
      </x:c>
      <x:c r="Y103" s="406" t="e">
        <x:f>(SQRT(((-#REF!*SIN($F$18*PI()/180)*$F$21)*$C$25*1000)^2+(0.001*$C$25*1000*$F$21)^2)/$C$30+(-#REF!*COS($F$18*PI()/180)*$F$21)*$C$25*1000)/9.81*$Y$99/$O$47*$F$193*#REF!-$N$47/$O$47*$C$20*$F$21</x:f>
        <x:v>#REF!</x:v>
      </x:c>
      <x:c r="Z103" s="405">
        <x:f ca="1">(-'int. presets cp_10d'!I26*COS($F$18*PI()/180)*$F$21)*$Z$99*$C$25*1000/9.81/$O$47*$D$193*'int. presets cp_10d'!$I$214-$N$47/$O$47*$C$20*$F$21</x:f>
        <x:v>24.682053852366163</x:v>
      </x:c>
      <x:c r="AA103" s="1020">
        <x:f ca="1">(SQRT(((-'int. presets cp_10d'!D26*SIN($F$18*PI()/180)*$F$21)*$C$25*1000)^2+(0.001*$C$25*1000*$F$21)^2)/$C$30+(-'int. presets cp_10d'!D26*COS($F$18*PI()/180)*$F$21)*$C$25*1000)/9.81*$AA$99/$O$47*$F$193*'int. presets cp_10d'!$D$214-$N$47/$O$47*$C$20*$F$21</x:f>
        <x:v>19.195059014079622</x:v>
      </x:c>
    </x:row>
    <x:row r="104" spans="2:134" ht="13.5" customHeight="1" thickBot="1" x14ac:dyDescent="0.25">
      <x:c r="B104" s="1348"/>
      <x:c r="C104" s="1349"/>
      <x:c r="D104" s="1350"/>
      <x:c r="E104" s="343" t="s">
        <x:v>462</x:v>
      </x:c>
      <x:c r="F104" s="1055" t="e">
        <x:f t="shared" si="70"/>
        <x:v>#REF!</x:v>
      </x:c>
      <x:c r="G104" s="1055" t="e">
        <x:f t="shared" si="71"/>
        <x:v>#REF!</x:v>
      </x:c>
      <x:c r="H104" s="1055" t="e">
        <x:f t="shared" ref="H104:H146" si="72">MAX(R104,S104)</x:f>
        <x:v>#REF!</x:v>
      </x:c>
      <x:c r="I104" s="1056" t="e">
        <x:f t="shared" ref="I104:I146" si="73">MAX(T104,U104)</x:f>
        <x:v>#REF!</x:v>
      </x:c>
      <x:c r="J104" s="1055" t="e">
        <x:f t="shared" ref="J104:J146" si="74">MAX(V104,W104)</x:f>
        <x:v>#REF!</x:v>
      </x:c>
      <x:c r="K104" s="1063" t="e">
        <x:f t="shared" ref="K104:K146" si="75">MAX(X104,Y104)</x:f>
        <x:v>#REF!</x:v>
      </x:c>
      <x:c r="L104" s="944">
        <x:f t="shared" ref="L104:L146" ca="1" si="76">MAX(Z104,AA104)</x:f>
        <x:v>15.841928826302453</x:v>
      </x:c>
      <x:c r="M104" s="944">
        <x:f t="shared" ref="M104:M146" ca="1" si="77">L104*2.20462</x:f>
        <x:v>34.925433129042915</x:v>
      </x:c>
      <x:c r="N104" s="1059" t="e">
        <x:f>(-#REF!*COS($F$18*PI()/180)*$F$21)*$N$99*$C$25*1000/9.81/$O$47*$D$193*#REF!-$N$47/$O$47*$C$20*$F$21</x:f>
        <x:v>#REF!</x:v>
      </x:c>
      <x:c r="O104" s="408" t="e">
        <x:f>(SQRT(((-#REF!*SIN($F$18*PI()/180)*$F$21)*$C$25*1000)^2+(0.001*$C$25*1000*$F$21)^2)/$C$30+(-#REF!*COS($F$18*PI()/180)*$F$21)*$C$25*1000)/9.81*$O$99/$O$47*$F$193*#REF!-$N$47/$O$47*$C$20*$F$21</x:f>
        <x:v>#REF!</x:v>
      </x:c>
      <x:c r="P104" s="407" t="e">
        <x:f>(-#REF!*COS($F$18*PI()/180)*$F$21)*$P$99*$C$25*1000/9.81/$O$47*$D$193*#REF!-$N$47/$O$47*$C$20*$F$21</x:f>
        <x:v>#REF!</x:v>
      </x:c>
      <x:c r="Q104" s="408" t="e">
        <x:f>(SQRT(((-#REF!*SIN($F$18*PI()/180)*$F$21)*$C$25*1000)^2+(0.001*$C$25*1000*$F$21)^2)/$C$30+(-#REF!*COS($F$18*PI()/180)*$F$21)*$C$25*1000)/9.81*$Q$99/$O$47*$F$193*#REF!-$N$47/$O$47*$C$20*$F$21</x:f>
        <x:v>#REF!</x:v>
      </x:c>
      <x:c r="R104" s="407" t="e">
        <x:f>(-#REF!*COS($F$18*PI()/180)*$F$21)*$R$99*$C$25*1000/9.81/$O$47*$D$193*#REF!-$N$47/$O$47*$C$20*$F$21</x:f>
        <x:v>#REF!</x:v>
      </x:c>
      <x:c r="S104" s="408" t="e">
        <x:f>(SQRT(((-#REF!*SIN($F$18*PI()/180)*$F$21)*$C$25*1000)^2+(0.001*$C$25*1000*$F$21)^2)/$C$30+(-#REF!*COS($F$18*PI()/180)*$F$21)*$C$25*1000)/9.81*$S$99/$O$47*$F$193*#REF!-$N$47/$O$47*$C$20*$F$21</x:f>
        <x:v>#REF!</x:v>
      </x:c>
      <x:c r="T104" s="407" t="e">
        <x:f>(-#REF!*COS($F$18*PI()/180)*$F$21)*$T$99*$C$25*1000/9.81/$O$47*$D$193*#REF!-$N$47/$O$47*$C$20*$F$21</x:f>
        <x:v>#REF!</x:v>
      </x:c>
      <x:c r="U104" s="408" t="e">
        <x:f>(SQRT(((-#REF!*SIN($F$18*PI()/180)*$F$21)*$C$25*1000)^2+(0.001*$C$25*1000*$F$21)^2)/$C$30+(-#REF!*COS($F$18*PI()/180)*$F$21)*$C$25*1000)/9.81*$U$99/$O$47*$F$193*#REF!-$N$47/$O$47*$C$20*$F$21</x:f>
        <x:v>#REF!</x:v>
      </x:c>
      <x:c r="V104" s="407" t="e">
        <x:f>(-#REF!*COS($F$18*PI()/180)*$F$21)*$V$99*$C$25*1000/9.81/$O$47*$D$193*#REF!-$N$47/$O$47*$C$20*$F$21</x:f>
        <x:v>#REF!</x:v>
      </x:c>
      <x:c r="W104" s="408" t="e">
        <x:f>(SQRT(((-#REF!*SIN($F$18*PI()/180)*$F$21)*$C$25*1000)^2+(0.001*$C$25*1000*$F$21)^2)/$C$30+(-#REF!*COS($F$18*PI()/180)*$F$21)*$C$25*1000)/9.81*$W$99/$O$47*$F$193*#REF!-$N$47/$O$47*$C$20*$F$21</x:f>
        <x:v>#REF!</x:v>
      </x:c>
      <x:c r="X104" s="407" t="e">
        <x:f>(-#REF!*COS($F$18*PI()/180)*$F$21)*$X$99*$C$25*1000/9.81/$O$47*$D$193*#REF!-$N$47/$O$47*$C$20*$F$21</x:f>
        <x:v>#REF!</x:v>
      </x:c>
      <x:c r="Y104" s="408" t="e">
        <x:f>(SQRT(((-#REF!*SIN($F$18*PI()/180)*$F$21)*$C$25*1000)^2+(0.001*$C$25*1000*$F$21)^2)/$C$30+(-#REF!*COS($F$18*PI()/180)*$F$21)*$C$25*1000)/9.81*$Y$99/$O$47*$F$193*#REF!-$N$47/$O$47*$C$20*$F$21</x:f>
        <x:v>#REF!</x:v>
      </x:c>
      <x:c r="Z104" s="407">
        <x:f ca="1">(-'int. presets cp_10d'!I27*COS($F$18*PI()/180)*$F$21)*$Z$99*$C$25*1000/9.81/$O$47*$D$193*'int. presets cp_10d'!$I$214-$N$47/$O$47*$C$20*$F$21</x:f>
        <x:v>9.9334031573899004</x:v>
      </x:c>
      <x:c r="AA104" s="1022">
        <x:f ca="1">(SQRT(((-'int. presets cp_10d'!D27*SIN($F$18*PI()/180)*$F$21)*$C$25*1000)^2+(0.001*$C$25*1000*$F$21)^2)/$C$30+(-'int. presets cp_10d'!D27*COS($F$18*PI()/180)*$F$21)*$C$25*1000)/9.81*$AA$99/$O$47*$F$193*'int. presets cp_10d'!$D$214-$N$47/$O$47*$C$20*$F$21</x:f>
        <x:v>15.841928826302453</x:v>
      </x:c>
      <x:c r="AB104" s="178"/>
      <x:c r="BC104" s="178"/>
      <x:c r="BD104" s="178"/>
      <x:c r="BE104" s="178"/>
      <x:c r="BF104" s="178"/>
      <x:c r="BG104" s="178"/>
      <x:c r="BH104" s="178"/>
      <x:c r="BI104" s="178"/>
      <x:c r="BJ104" s="178"/>
      <x:c r="BK104" s="178"/>
      <x:c r="BL104" s="178"/>
      <x:c r="BM104" s="178"/>
      <x:c r="BN104" s="178"/>
      <x:c r="BO104" s="178"/>
      <x:c r="BP104" s="178"/>
      <x:c r="BQ104" s="178"/>
      <x:c r="BR104" s="178"/>
      <x:c r="BS104" s="178"/>
      <x:c r="BT104" s="178"/>
      <x:c r="BU104" s="178"/>
      <x:c r="BV104" s="178"/>
      <x:c r="CW104" s="178"/>
      <x:c r="CX104" s="178"/>
      <x:c r="CY104" s="178"/>
      <x:c r="CZ104" s="178"/>
      <x:c r="DA104" s="178"/>
      <x:c r="DB104" s="178"/>
      <x:c r="DC104" s="178"/>
      <x:c r="DD104" s="178"/>
      <x:c r="DE104" s="178"/>
      <x:c r="DF104" s="178"/>
      <x:c r="DG104" s="178"/>
      <x:c r="DH104" s="178"/>
      <x:c r="DI104" s="178"/>
      <x:c r="DJ104" s="178"/>
      <x:c r="DK104" s="178"/>
      <x:c r="DL104" s="178"/>
      <x:c r="DM104" s="178"/>
      <x:c r="DN104" s="178"/>
      <x:c r="DO104" s="178"/>
      <x:c r="DP104" s="178"/>
      <x:c r="DQ104" s="178"/>
      <x:c r="DR104" s="178"/>
      <x:c r="DS104" s="178"/>
      <x:c r="DT104" s="178"/>
      <x:c r="DU104" s="178"/>
      <x:c r="DV104" s="178"/>
      <x:c r="DW104" s="178"/>
      <x:c r="DX104" s="178"/>
      <x:c r="DY104" s="178"/>
      <x:c r="DZ104" s="178"/>
      <x:c r="EA104" s="178"/>
      <x:c r="EB104" s="178"/>
      <x:c r="EC104" s="178"/>
      <x:c r="ED104" s="178"/>
    </x:row>
    <x:row r="105" spans="2:134" ht="13.5" customHeight="1" x14ac:dyDescent="0.2">
      <x:c r="B105" s="1345" t="s">
        <x:v>463</x:v>
      </x:c>
      <x:c r="C105" s="1346">
        <x:v>0</x:v>
      </x:c>
      <x:c r="D105" s="1347" t="s">
        <x:v>463</x:v>
      </x:c>
      <x:c r="E105" s="342" t="s">
        <x:v>461</x:v>
      </x:c>
      <x:c r="F105" s="1057" t="e">
        <x:f t="shared" si="70"/>
        <x:v>#REF!</x:v>
      </x:c>
      <x:c r="G105" s="1057" t="e">
        <x:f t="shared" si="71"/>
        <x:v>#REF!</x:v>
      </x:c>
      <x:c r="H105" s="1057" t="e">
        <x:f t="shared" si="72"/>
        <x:v>#REF!</x:v>
      </x:c>
      <x:c r="I105" s="1054" t="e">
        <x:f t="shared" si="73"/>
        <x:v>#REF!</x:v>
      </x:c>
      <x:c r="J105" s="1057" t="e">
        <x:f t="shared" si="74"/>
        <x:v>#REF!</x:v>
      </x:c>
      <x:c r="K105" s="1064" t="e">
        <x:f t="shared" si="75"/>
        <x:v>#REF!</x:v>
      </x:c>
      <x:c r="L105" s="945">
        <x:f t="shared" ca="1" si="76"/>
        <x:v>20.499019987792938</x:v>
      </x:c>
      <x:c r="M105" s="945">
        <x:f t="shared" ca="1" si="77"/>
        <x:v>45.192549445488062</x:v>
      </x:c>
      <x:c r="N105" s="1060" t="e">
        <x:f>(-#REF!*COS($F$18*PI()/180)*$F$21)*$N$99*$C$25*1000/9.81/$O$47*$D$193*#REF!-$N$47/$O$47*$C$20*$F$21</x:f>
        <x:v>#REF!</x:v>
      </x:c>
      <x:c r="O105" s="410" t="e">
        <x:f>(SQRT(((-#REF!*SIN($F$18*PI()/180)*$F$21)*$C$25*1000)^2+(0.001*$C$25*1000*$F$21)^2)/$C$30+(-#REF!*COS($F$18*PI()/180)*$F$21)*$C$25*1000)/9.81*$O$99/$O$47*$F$193*#REF!-$N$47/$O$47*$C$20*$F$21</x:f>
        <x:v>#REF!</x:v>
      </x:c>
      <x:c r="P105" s="409" t="e">
        <x:f>(-#REF!*COS($F$18*PI()/180)*$F$21)*$P$99*$C$25*1000/9.81/$O$47*$D$193*#REF!-$N$47/$O$47*$C$20*$F$21</x:f>
        <x:v>#REF!</x:v>
      </x:c>
      <x:c r="Q105" s="410" t="e">
        <x:f>(SQRT(((-#REF!*SIN($F$18*PI()/180)*$F$21)*$C$25*1000)^2+(0.001*$C$25*1000*$F$21)^2)/$C$30+(-#REF!*COS($F$18*PI()/180)*$F$21)*$C$25*1000)/9.81*$Q$99/$O$47*$F$193*#REF!-$N$47/$O$47*$C$20*$F$21</x:f>
        <x:v>#REF!</x:v>
      </x:c>
      <x:c r="R105" s="409" t="e">
        <x:f>(-#REF!*COS($F$18*PI()/180)*$F$21)*$R$99*$C$25*1000/9.81/$O$47*$D$193*#REF!-$N$47/$O$47*$C$20*$F$21</x:f>
        <x:v>#REF!</x:v>
      </x:c>
      <x:c r="S105" s="410" t="e">
        <x:f>(SQRT(((-#REF!*SIN($F$18*PI()/180)*$F$21)*$C$25*1000)^2+(0.001*$C$25*1000*$F$21)^2)/$C$30+(-#REF!*COS($F$18*PI()/180)*$F$21)*$C$25*1000)/9.81*$S$99/$O$47*$F$193*#REF!-$N$47/$O$47*$C$20*$F$21</x:f>
        <x:v>#REF!</x:v>
      </x:c>
      <x:c r="T105" s="409" t="e">
        <x:f>(-#REF!*COS($F$18*PI()/180)*$F$21)*$T$99*$C$25*1000/9.81/$O$47*$D$193*#REF!-$N$47/$O$47*$C$20*$F$21</x:f>
        <x:v>#REF!</x:v>
      </x:c>
      <x:c r="U105" s="410" t="e">
        <x:f>(SQRT(((-#REF!*SIN($F$18*PI()/180)*$F$21)*$C$25*1000)^2+(0.001*$C$25*1000*$F$21)^2)/$C$30+(-#REF!*COS($F$18*PI()/180)*$F$21)*$C$25*1000)/9.81*$U$99/$O$47*$F$193*#REF!-$N$47/$O$47*$C$20*$F$21</x:f>
        <x:v>#REF!</x:v>
      </x:c>
      <x:c r="V105" s="409" t="e">
        <x:f>(-#REF!*COS($F$18*PI()/180)*$F$21)*$V$99*$C$25*1000/9.81/$O$47*$D$193*#REF!-$N$47/$O$47*$C$20*$F$21</x:f>
        <x:v>#REF!</x:v>
      </x:c>
      <x:c r="W105" s="410" t="e">
        <x:f>(SQRT(((-#REF!*SIN($F$18*PI()/180)*$F$21)*$C$25*1000)^2+(0.001*$C$25*1000*$F$21)^2)/$C$30+(-#REF!*COS($F$18*PI()/180)*$F$21)*$C$25*1000)/9.81*$W$99/$O$47*$F$193*#REF!-$N$47/$O$47*$C$20*$F$21</x:f>
        <x:v>#REF!</x:v>
      </x:c>
      <x:c r="X105" s="409" t="e">
        <x:f>(-#REF!*COS($F$18*PI()/180)*$F$21)*$X$99*$C$25*1000/9.81/$O$47*$D$193*#REF!-$N$47/$O$47*$C$20*$F$21</x:f>
        <x:v>#REF!</x:v>
      </x:c>
      <x:c r="Y105" s="410" t="e">
        <x:f>(SQRT(((-#REF!*SIN($F$18*PI()/180)*$F$21)*$C$25*1000)^2+(0.001*$C$25*1000*$F$21)^2)/$C$30+(-#REF!*COS($F$18*PI()/180)*$F$21)*$C$25*1000)/9.81*$Y$99/$O$47*$F$193*#REF!-$N$47/$O$47*$C$20*$F$21</x:f>
        <x:v>#REF!</x:v>
      </x:c>
      <x:c r="Z105" s="409">
        <x:f ca="1">(-'int. presets cp_10d'!I28*COS($F$18*PI()/180)*$F$21)*$Z$99*$C$25*1000/9.81/$O$47*$D$193*'int. presets cp_10d'!$I$214-$N$47/$O$47*$C$20*$F$21</x:f>
        <x:v>20.499019987792938</x:v>
      </x:c>
      <x:c r="AA105" s="1024">
        <x:f ca="1">(SQRT(((-'int. presets cp_10d'!D28*SIN($F$18*PI()/180)*$F$21)*$C$25*1000)^2+(0.001*$C$25*1000*$F$21)^2)/$C$30+(-'int. presets cp_10d'!D28*COS($F$18*PI()/180)*$F$21)*$C$25*1000)/9.81*$AA$99/$O$47*$F$193*'int. presets cp_10d'!$D$214-$N$47/$O$47*$C$20*$F$21</x:f>
        <x:v>15.619262315033307</x:v>
      </x:c>
      <x:c r="AB105" s="178"/>
      <x:c r="BC105" s="178"/>
      <x:c r="BD105" s="178"/>
      <x:c r="BE105" s="178"/>
      <x:c r="BF105" s="178"/>
      <x:c r="BG105" s="178"/>
      <x:c r="BH105" s="178"/>
      <x:c r="BI105" s="178"/>
      <x:c r="BJ105" s="178"/>
      <x:c r="BK105" s="178"/>
      <x:c r="BL105" s="178"/>
      <x:c r="BM105" s="178"/>
      <x:c r="BN105" s="178"/>
      <x:c r="BO105" s="178"/>
      <x:c r="BP105" s="178"/>
      <x:c r="BQ105" s="178"/>
      <x:c r="BR105" s="178"/>
      <x:c r="BS105" s="178"/>
      <x:c r="BT105" s="178"/>
      <x:c r="BU105" s="178"/>
      <x:c r="BV105" s="178"/>
      <x:c r="CW105" s="178"/>
      <x:c r="CX105" s="178"/>
      <x:c r="CY105" s="178"/>
      <x:c r="CZ105" s="178"/>
      <x:c r="DA105" s="178"/>
      <x:c r="DB105" s="178"/>
      <x:c r="DC105" s="178"/>
      <x:c r="DD105" s="178"/>
      <x:c r="DE105" s="178"/>
      <x:c r="DF105" s="178"/>
      <x:c r="DG105" s="178"/>
      <x:c r="DH105" s="178"/>
      <x:c r="DI105" s="178"/>
      <x:c r="DJ105" s="178"/>
      <x:c r="DK105" s="178"/>
      <x:c r="DL105" s="178"/>
      <x:c r="DM105" s="178"/>
      <x:c r="DN105" s="178"/>
      <x:c r="DO105" s="178"/>
      <x:c r="DP105" s="178"/>
      <x:c r="DQ105" s="178"/>
      <x:c r="DR105" s="178"/>
      <x:c r="DS105" s="178"/>
      <x:c r="DT105" s="178"/>
      <x:c r="DU105" s="178"/>
      <x:c r="DV105" s="178"/>
      <x:c r="DW105" s="178"/>
      <x:c r="DX105" s="178"/>
      <x:c r="DY105" s="178"/>
      <x:c r="DZ105" s="178"/>
      <x:c r="EA105" s="178"/>
      <x:c r="EB105" s="178"/>
      <x:c r="EC105" s="178"/>
      <x:c r="ED105" s="178"/>
    </x:row>
    <x:row r="106" spans="2:134" ht="13.5" customHeight="1" thickBot="1" x14ac:dyDescent="0.25">
      <x:c r="B106" s="1348" t="e">
        <x:v>#REF!</x:v>
      </x:c>
      <x:c r="C106" s="1349">
        <x:v>0</x:v>
      </x:c>
      <x:c r="D106" s="1350">
        <x:v>0</x:v>
      </x:c>
      <x:c r="E106" s="343" t="s">
        <x:v>462</x:v>
      </x:c>
      <x:c r="F106" s="1055" t="e">
        <x:f t="shared" si="70"/>
        <x:v>#REF!</x:v>
      </x:c>
      <x:c r="G106" s="1055" t="e">
        <x:f t="shared" si="71"/>
        <x:v>#REF!</x:v>
      </x:c>
      <x:c r="H106" s="1055" t="e">
        <x:f t="shared" si="72"/>
        <x:v>#REF!</x:v>
      </x:c>
      <x:c r="I106" s="1056" t="e">
        <x:f t="shared" si="73"/>
        <x:v>#REF!</x:v>
      </x:c>
      <x:c r="J106" s="1055" t="e">
        <x:f t="shared" si="74"/>
        <x:v>#REF!</x:v>
      </x:c>
      <x:c r="K106" s="1063" t="e">
        <x:f t="shared" si="75"/>
        <x:v>#REF!</x:v>
      </x:c>
      <x:c r="L106" s="944">
        <x:f t="shared" ca="1" si="76"/>
        <x:v>15.559454097952109</x:v>
      </x:c>
      <x:c r="M106" s="944">
        <x:f t="shared" ca="1" si="77"/>
        <x:v>34.302683693427177</x:v>
      </x:c>
      <x:c r="N106" s="1059" t="e">
        <x:f>(-#REF!*COS($F$18*PI()/180)*$F$21)*$N$99*$C$25*1000/9.81/$O$47*$D$193*#REF!-$N$47/$O$47*$C$20*$F$21</x:f>
        <x:v>#REF!</x:v>
      </x:c>
      <x:c r="O106" s="408" t="e">
        <x:f>(SQRT(((-#REF!*SIN($F$18*PI()/180)*$F$21)*$C$25*1000)^2+(0.001*$C$25*1000*$F$21)^2)/$C$30+(-#REF!*COS($F$18*PI()/180)*$F$21)*$C$25*1000)/9.81*$O$99/$O$47*$F$193*#REF!-$N$47/$O$47*$C$20*$F$21</x:f>
        <x:v>#REF!</x:v>
      </x:c>
      <x:c r="P106" s="407" t="e">
        <x:f>(-#REF!*COS($F$18*PI()/180)*$F$21)*$P$99*$C$25*1000/9.81/$O$47*$D$193*#REF!-$N$47/$O$47*$C$20*$F$21</x:f>
        <x:v>#REF!</x:v>
      </x:c>
      <x:c r="Q106" s="408" t="e">
        <x:f>(SQRT(((-#REF!*SIN($F$18*PI()/180)*$F$21)*$C$25*1000)^2+(0.001*$C$25*1000*$F$21)^2)/$C$30+(-#REF!*COS($F$18*PI()/180)*$F$21)*$C$25*1000)/9.81*$Q$99/$O$47*$F$193*#REF!-$N$47/$O$47*$C$20*$F$21</x:f>
        <x:v>#REF!</x:v>
      </x:c>
      <x:c r="R106" s="407" t="e">
        <x:f>(-#REF!*COS($F$18*PI()/180)*$F$21)*$R$99*$C$25*1000/9.81/$O$47*$D$193*#REF!-$N$47/$O$47*$C$20*$F$21</x:f>
        <x:v>#REF!</x:v>
      </x:c>
      <x:c r="S106" s="408" t="e">
        <x:f>(SQRT(((-#REF!*SIN($F$18*PI()/180)*$F$21)*$C$25*1000)^2+(0.001*$C$25*1000*$F$21)^2)/$C$30+(-#REF!*COS($F$18*PI()/180)*$F$21)*$C$25*1000)/9.81*$S$99/$O$47*$F$193*#REF!-$N$47/$O$47*$C$20*$F$21</x:f>
        <x:v>#REF!</x:v>
      </x:c>
      <x:c r="T106" s="407" t="e">
        <x:f>(-#REF!*COS($F$18*PI()/180)*$F$21)*$T$99*$C$25*1000/9.81/$O$47*$D$193*#REF!-$N$47/$O$47*$C$20*$F$21</x:f>
        <x:v>#REF!</x:v>
      </x:c>
      <x:c r="U106" s="408" t="e">
        <x:f>(SQRT(((-#REF!*SIN($F$18*PI()/180)*$F$21)*$C$25*1000)^2+(0.001*$C$25*1000*$F$21)^2)/$C$30+(-#REF!*COS($F$18*PI()/180)*$F$21)*$C$25*1000)/9.81*$U$99/$O$47*$F$193*#REF!-$N$47/$O$47*$C$20*$F$21</x:f>
        <x:v>#REF!</x:v>
      </x:c>
      <x:c r="V106" s="407" t="e">
        <x:f>(-#REF!*COS($F$18*PI()/180)*$F$21)*$V$99*$C$25*1000/9.81/$O$47*$D$193*#REF!-$N$47/$O$47*$C$20*$F$21</x:f>
        <x:v>#REF!</x:v>
      </x:c>
      <x:c r="W106" s="408" t="e">
        <x:f>(SQRT(((-#REF!*SIN($F$18*PI()/180)*$F$21)*$C$25*1000)^2+(0.001*$C$25*1000*$F$21)^2)/$C$30+(-#REF!*COS($F$18*PI()/180)*$F$21)*$C$25*1000)/9.81*$W$99/$O$47*$F$193*#REF!-$N$47/$O$47*$C$20*$F$21</x:f>
        <x:v>#REF!</x:v>
      </x:c>
      <x:c r="X106" s="407" t="e">
        <x:f>(-#REF!*COS($F$18*PI()/180)*$F$21)*$X$99*$C$25*1000/9.81/$O$47*$D$193*#REF!-$N$47/$O$47*$C$20*$F$21</x:f>
        <x:v>#REF!</x:v>
      </x:c>
      <x:c r="Y106" s="408" t="e">
        <x:f>(SQRT(((-#REF!*SIN($F$18*PI()/180)*$F$21)*$C$25*1000)^2+(0.001*$C$25*1000*$F$21)^2)/$C$30+(-#REF!*COS($F$18*PI()/180)*$F$21)*$C$25*1000)/9.81*$Y$99/$O$47*$F$193*#REF!-$N$47/$O$47*$C$20*$F$21</x:f>
        <x:v>#REF!</x:v>
      </x:c>
      <x:c r="Z106" s="407">
        <x:f ca="1">(-'int. presets cp_10d'!I29*COS($F$18*PI()/180)*$F$21)*$Z$99*$C$25*1000/9.81/$O$47*$D$193*'int. presets cp_10d'!$I$214-$N$47/$O$47*$C$20*$F$21</x:f>
        <x:v>5.4880288176178844</x:v>
      </x:c>
      <x:c r="AA106" s="1022">
        <x:f ca="1">(SQRT(((-'int. presets cp_10d'!D29*SIN($F$18*PI()/180)*$F$21)*$C$25*1000)^2+(0.001*$C$25*1000*$F$21)^2)/$C$30+(-'int. presets cp_10d'!D29*COS($F$18*PI()/180)*$F$21)*$C$25*1000)/9.81*$AA$99/$O$47*$F$193*'int. presets cp_10d'!$D$214-$N$47/$O$47*$C$20*$F$21</x:f>
        <x:v>15.559454097952109</x:v>
      </x:c>
      <x:c r="AB106" s="178"/>
      <x:c r="BC106" s="178"/>
      <x:c r="BD106" s="178"/>
      <x:c r="BE106" s="178"/>
      <x:c r="BF106" s="178"/>
      <x:c r="BG106" s="178"/>
      <x:c r="BH106" s="178"/>
      <x:c r="BI106" s="178"/>
      <x:c r="BJ106" s="178"/>
      <x:c r="BK106" s="178"/>
      <x:c r="BL106" s="178"/>
      <x:c r="BM106" s="178"/>
      <x:c r="BN106" s="178"/>
      <x:c r="BO106" s="178"/>
      <x:c r="BP106" s="178"/>
      <x:c r="BQ106" s="178"/>
      <x:c r="BR106" s="178"/>
      <x:c r="BS106" s="178"/>
      <x:c r="BT106" s="178"/>
      <x:c r="BU106" s="178"/>
      <x:c r="BV106" s="178"/>
      <x:c r="CW106" s="178"/>
      <x:c r="CX106" s="178"/>
      <x:c r="CY106" s="178"/>
      <x:c r="CZ106" s="178"/>
      <x:c r="DA106" s="178"/>
      <x:c r="DB106" s="178"/>
      <x:c r="DC106" s="178"/>
      <x:c r="DD106" s="178"/>
      <x:c r="DE106" s="178"/>
      <x:c r="DF106" s="178"/>
      <x:c r="DG106" s="178"/>
      <x:c r="DH106" s="178"/>
      <x:c r="DI106" s="178"/>
      <x:c r="DJ106" s="178"/>
      <x:c r="DK106" s="178"/>
      <x:c r="DL106" s="178"/>
      <x:c r="DM106" s="178"/>
      <x:c r="DN106" s="178"/>
      <x:c r="DO106" s="178"/>
      <x:c r="DP106" s="178"/>
      <x:c r="DQ106" s="178"/>
      <x:c r="DR106" s="178"/>
      <x:c r="DS106" s="178"/>
      <x:c r="DT106" s="178"/>
      <x:c r="DU106" s="178"/>
      <x:c r="DV106" s="178"/>
      <x:c r="DW106" s="178"/>
      <x:c r="DX106" s="178"/>
      <x:c r="DY106" s="178"/>
      <x:c r="DZ106" s="178"/>
      <x:c r="EA106" s="178"/>
      <x:c r="EB106" s="178"/>
      <x:c r="EC106" s="178"/>
      <x:c r="ED106" s="178"/>
    </x:row>
    <x:row r="107" spans="2:134" ht="13.5" customHeight="1" x14ac:dyDescent="0.2">
      <x:c r="B107" s="1345" t="s">
        <x:v>464</x:v>
      </x:c>
      <x:c r="C107" s="1346">
        <x:v>0</x:v>
      </x:c>
      <x:c r="D107" s="1347" t="s">
        <x:v>464</x:v>
      </x:c>
      <x:c r="E107" s="342" t="s">
        <x:v>461</x:v>
      </x:c>
      <x:c r="F107" s="1057" t="e">
        <x:f t="shared" si="70"/>
        <x:v>#REF!</x:v>
      </x:c>
      <x:c r="G107" s="1057" t="e">
        <x:f t="shared" si="71"/>
        <x:v>#REF!</x:v>
      </x:c>
      <x:c r="H107" s="1057" t="e">
        <x:f t="shared" si="72"/>
        <x:v>#REF!</x:v>
      </x:c>
      <x:c r="I107" s="1054" t="e">
        <x:f t="shared" si="73"/>
        <x:v>#REF!</x:v>
      </x:c>
      <x:c r="J107" s="1057" t="e">
        <x:f t="shared" si="74"/>
        <x:v>#REF!</x:v>
      </x:c>
      <x:c r="K107" s="1064" t="e">
        <x:f t="shared" si="75"/>
        <x:v>#REF!</x:v>
      </x:c>
      <x:c r="L107" s="945">
        <x:f t="shared" ca="1" si="76"/>
        <x:v>34.893188625193261</x:v>
      </x:c>
      <x:c r="M107" s="945">
        <x:f t="shared" ca="1" si="77"/>
        <x:v>76.92622150687356</x:v>
      </x:c>
      <x:c r="N107" s="1060" t="e">
        <x:f>(-#REF!*COS($F$18*PI()/180)*$F$21)*$N$99*$C$25*1000/9.81/$O$47*$D$193*#REF!-$N$47/$O$47*$C$20*$F$21</x:f>
        <x:v>#REF!</x:v>
      </x:c>
      <x:c r="O107" s="410" t="e">
        <x:f>(SQRT(((-#REF!*SIN($F$18*PI()/180)*$F$21)*$C$25*1000)^2+(0.001*$C$25*1000*$F$21)^2)/$C$30+(-#REF!*COS($F$18*PI()/180)*$F$21)*$C$25*1000)/9.81*$O$99/$O$47*$F$193*#REF!-$N$47/$O$47*$C$20*$F$21</x:f>
        <x:v>#REF!</x:v>
      </x:c>
      <x:c r="P107" s="409" t="e">
        <x:f>(-#REF!*COS($F$18*PI()/180)*$F$21)*$P$99*$C$25*1000/9.81/$O$47*$D$193*#REF!-$N$47/$O$47*$C$20*$F$21</x:f>
        <x:v>#REF!</x:v>
      </x:c>
      <x:c r="Q107" s="410" t="e">
        <x:f>(SQRT(((-#REF!*SIN($F$18*PI()/180)*$F$21)*$C$25*1000)^2+(0.001*$C$25*1000*$F$21)^2)/$C$30+(-#REF!*COS($F$18*PI()/180)*$F$21)*$C$25*1000)/9.81*$Q$99/$O$47*$F$193*#REF!-$N$47/$O$47*$C$20*$F$21</x:f>
        <x:v>#REF!</x:v>
      </x:c>
      <x:c r="R107" s="409" t="e">
        <x:f>(-#REF!*COS($F$18*PI()/180)*$F$21)*$R$99*$C$25*1000/9.81/$O$47*$D$193*#REF!-$N$47/$O$47*$C$20*$F$21</x:f>
        <x:v>#REF!</x:v>
      </x:c>
      <x:c r="S107" s="410" t="e">
        <x:f>(SQRT(((-#REF!*SIN($F$18*PI()/180)*$F$21)*$C$25*1000)^2+(0.001*$C$25*1000*$F$21)^2)/$C$30+(-#REF!*COS($F$18*PI()/180)*$F$21)*$C$25*1000)/9.81*$S$99/$O$47*$F$193*#REF!-$N$47/$O$47*$C$20*$F$21</x:f>
        <x:v>#REF!</x:v>
      </x:c>
      <x:c r="T107" s="409" t="e">
        <x:f>(-#REF!*COS($F$18*PI()/180)*$F$21)*$T$99*$C$25*1000/9.81/$O$47*$D$193*#REF!-$N$47/$O$47*$C$20*$F$21</x:f>
        <x:v>#REF!</x:v>
      </x:c>
      <x:c r="U107" s="410" t="e">
        <x:f>(SQRT(((-#REF!*SIN($F$18*PI()/180)*$F$21)*$C$25*1000)^2+(0.001*$C$25*1000*$F$21)^2)/$C$30+(-#REF!*COS($F$18*PI()/180)*$F$21)*$C$25*1000)/9.81*$U$99/$O$47*$F$193*#REF!-$N$47/$O$47*$C$20*$F$21</x:f>
        <x:v>#REF!</x:v>
      </x:c>
      <x:c r="V107" s="409" t="e">
        <x:f>(-#REF!*COS($F$18*PI()/180)*$F$21)*$V$99*$C$25*1000/9.81/$O$47*$D$193*#REF!-$N$47/$O$47*$C$20*$F$21</x:f>
        <x:v>#REF!</x:v>
      </x:c>
      <x:c r="W107" s="410" t="e">
        <x:f>(SQRT(((-#REF!*SIN($F$18*PI()/180)*$F$21)*$C$25*1000)^2+(0.001*$C$25*1000*$F$21)^2)/$C$30+(-#REF!*COS($F$18*PI()/180)*$F$21)*$C$25*1000)/9.81*$W$99/$O$47*$F$193*#REF!-$N$47/$O$47*$C$20*$F$21</x:f>
        <x:v>#REF!</x:v>
      </x:c>
      <x:c r="X107" s="409" t="e">
        <x:f>(-#REF!*COS($F$18*PI()/180)*$F$21)*$X$99*$C$25*1000/9.81/$O$47*$D$193*#REF!-$N$47/$O$47*$C$20*$F$21</x:f>
        <x:v>#REF!</x:v>
      </x:c>
      <x:c r="Y107" s="410" t="e">
        <x:f>(SQRT(((-#REF!*SIN($F$18*PI()/180)*$F$21)*$C$25*1000)^2+(0.001*$C$25*1000*$F$21)^2)/$C$30+(-#REF!*COS($F$18*PI()/180)*$F$21)*$C$25*1000)/9.81*$Y$99/$O$47*$F$193*#REF!-$N$47/$O$47*$C$20*$F$21</x:f>
        <x:v>#REF!</x:v>
      </x:c>
      <x:c r="Z107" s="409">
        <x:f ca="1">(-'int. presets cp_10d'!I30*COS($F$18*PI()/180)*$F$21)*$Z$99*$C$25*1000/9.81/$O$47*$D$193*'int. presets cp_10d'!$I$214-$N$47/$O$47*$C$20*$F$21</x:f>
        <x:v>34.893188625193261</x:v>
      </x:c>
      <x:c r="AA107" s="1024">
        <x:f ca="1">(SQRT(((-'int. presets cp_10d'!D30*SIN($F$18*PI()/180)*$F$21)*$C$25*1000)^2+(0.001*$C$25*1000*$F$21)^2)/$C$30+(-'int. presets cp_10d'!D30*COS($F$18*PI()/180)*$F$21)*$C$25*1000)/9.81*$AA$99/$O$47*$F$193*'int. presets cp_10d'!$D$214-$N$47/$O$47*$C$20*$F$21</x:f>
        <x:v>21.36361782137487</x:v>
      </x:c>
      <x:c r="AB107" s="178"/>
      <x:c r="BC107" s="178"/>
      <x:c r="BD107" s="178"/>
      <x:c r="BE107" s="178"/>
      <x:c r="BF107" s="178"/>
      <x:c r="BG107" s="178"/>
      <x:c r="BH107" s="178"/>
      <x:c r="BI107" s="178"/>
      <x:c r="BJ107" s="178"/>
      <x:c r="BK107" s="178"/>
      <x:c r="BL107" s="178"/>
      <x:c r="BM107" s="178"/>
      <x:c r="BN107" s="178"/>
      <x:c r="BO107" s="178"/>
      <x:c r="BP107" s="178"/>
      <x:c r="BQ107" s="178"/>
      <x:c r="BR107" s="178"/>
      <x:c r="BS107" s="178"/>
      <x:c r="BT107" s="178"/>
      <x:c r="BU107" s="178"/>
      <x:c r="BV107" s="178"/>
      <x:c r="CW107" s="178"/>
      <x:c r="CX107" s="178"/>
      <x:c r="CY107" s="178"/>
      <x:c r="CZ107" s="178"/>
      <x:c r="DA107" s="178"/>
      <x:c r="DB107" s="178"/>
      <x:c r="DC107" s="178"/>
      <x:c r="DD107" s="178"/>
      <x:c r="DE107" s="178"/>
      <x:c r="DF107" s="178"/>
      <x:c r="DG107" s="178"/>
      <x:c r="DH107" s="178"/>
      <x:c r="DI107" s="178"/>
      <x:c r="DJ107" s="178"/>
      <x:c r="DK107" s="178"/>
      <x:c r="DL107" s="178"/>
      <x:c r="DM107" s="178"/>
      <x:c r="DN107" s="178"/>
      <x:c r="DO107" s="178"/>
      <x:c r="DP107" s="178"/>
      <x:c r="DQ107" s="178"/>
      <x:c r="DR107" s="178"/>
      <x:c r="DS107" s="178"/>
      <x:c r="DT107" s="178"/>
      <x:c r="DU107" s="178"/>
      <x:c r="DV107" s="178"/>
      <x:c r="DW107" s="178"/>
      <x:c r="DX107" s="178"/>
      <x:c r="DY107" s="178"/>
      <x:c r="DZ107" s="178"/>
      <x:c r="EA107" s="178"/>
      <x:c r="EB107" s="178"/>
      <x:c r="EC107" s="178"/>
      <x:c r="ED107" s="178"/>
    </x:row>
    <x:row r="108" spans="2:134" ht="13.5" customHeight="1" thickBot="1" x14ac:dyDescent="0.25">
      <x:c r="B108" s="1348" t="e">
        <x:v>#REF!</x:v>
      </x:c>
      <x:c r="C108" s="1349">
        <x:v>0</x:v>
      </x:c>
      <x:c r="D108" s="1350">
        <x:v>0</x:v>
      </x:c>
      <x:c r="E108" s="343" t="s">
        <x:v>462</x:v>
      </x:c>
      <x:c r="F108" s="1055" t="e">
        <x:f t="shared" si="70"/>
        <x:v>#REF!</x:v>
      </x:c>
      <x:c r="G108" s="1055" t="e">
        <x:f t="shared" si="71"/>
        <x:v>#REF!</x:v>
      </x:c>
      <x:c r="H108" s="1055" t="e">
        <x:f t="shared" si="72"/>
        <x:v>#REF!</x:v>
      </x:c>
      <x:c r="I108" s="1056" t="e">
        <x:f t="shared" si="73"/>
        <x:v>#REF!</x:v>
      </x:c>
      <x:c r="J108" s="1055" t="e">
        <x:f t="shared" si="74"/>
        <x:v>#REF!</x:v>
      </x:c>
      <x:c r="K108" s="1063" t="e">
        <x:f t="shared" si="75"/>
        <x:v>#REF!</x:v>
      </x:c>
      <x:c r="L108" s="944">
        <x:f t="shared" ca="1" si="76"/>
        <x:v>21.059778174832775</x:v>
      </x:c>
      <x:c r="M108" s="944">
        <x:f t="shared" ca="1" si="77"/>
        <x:v>46.428808159799829</x:v>
      </x:c>
      <x:c r="N108" s="1059" t="e">
        <x:f>(-#REF!*COS($F$18*PI()/180)*$F$21)*$N$99*$C$25*1000/9.81/$O$47*$D$193*#REF!-$N$47/$O$47*$C$20*$F$21</x:f>
        <x:v>#REF!</x:v>
      </x:c>
      <x:c r="O108" s="408" t="e">
        <x:f>(SQRT(((-#REF!*SIN($F$18*PI()/180)*$F$21)*$C$25*1000)^2+(0.001*$C$25*1000*$F$21)^2)/$C$30+(-#REF!*COS($F$18*PI()/180)*$F$21)*$C$25*1000)/9.81*$O$99/$O$47*$F$193*#REF!-$N$47/$O$47*$C$20*$F$21</x:f>
        <x:v>#REF!</x:v>
      </x:c>
      <x:c r="P108" s="407" t="e">
        <x:f>(-#REF!*COS($F$18*PI()/180)*$F$21)*$P$99*$C$25*1000/9.81/$O$47*$D$193*#REF!-$N$47/$O$47*$C$20*$F$21</x:f>
        <x:v>#REF!</x:v>
      </x:c>
      <x:c r="Q108" s="408" t="e">
        <x:f>(SQRT(((-#REF!*SIN($F$18*PI()/180)*$F$21)*$C$25*1000)^2+(0.001*$C$25*1000*$F$21)^2)/$C$30+(-#REF!*COS($F$18*PI()/180)*$F$21)*$C$25*1000)/9.81*$Q$99/$O$47*$F$193*#REF!-$N$47/$O$47*$C$20*$F$21</x:f>
        <x:v>#REF!</x:v>
      </x:c>
      <x:c r="R108" s="407" t="e">
        <x:f>(-#REF!*COS($F$18*PI()/180)*$F$21)*$R$99*$C$25*1000/9.81/$O$47*$D$193*#REF!-$N$47/$O$47*$C$20*$F$21</x:f>
        <x:v>#REF!</x:v>
      </x:c>
      <x:c r="S108" s="408" t="e">
        <x:f>(SQRT(((-#REF!*SIN($F$18*PI()/180)*$F$21)*$C$25*1000)^2+(0.001*$C$25*1000*$F$21)^2)/$C$30+(-#REF!*COS($F$18*PI()/180)*$F$21)*$C$25*1000)/9.81*$S$99/$O$47*$F$193*#REF!-$N$47/$O$47*$C$20*$F$21</x:f>
        <x:v>#REF!</x:v>
      </x:c>
      <x:c r="T108" s="407" t="e">
        <x:f>(-#REF!*COS($F$18*PI()/180)*$F$21)*$T$99*$C$25*1000/9.81/$O$47*$D$193*#REF!-$N$47/$O$47*$C$20*$F$21</x:f>
        <x:v>#REF!</x:v>
      </x:c>
      <x:c r="U108" s="408" t="e">
        <x:f>(SQRT(((-#REF!*SIN($F$18*PI()/180)*$F$21)*$C$25*1000)^2+(0.001*$C$25*1000*$F$21)^2)/$C$30+(-#REF!*COS($F$18*PI()/180)*$F$21)*$C$25*1000)/9.81*$U$99/$O$47*$F$193*#REF!-$N$47/$O$47*$C$20*$F$21</x:f>
        <x:v>#REF!</x:v>
      </x:c>
      <x:c r="V108" s="407" t="e">
        <x:f>(-#REF!*COS($F$18*PI()/180)*$F$21)*$V$99*$C$25*1000/9.81/$O$47*$D$193*#REF!-$N$47/$O$47*$C$20*$F$21</x:f>
        <x:v>#REF!</x:v>
      </x:c>
      <x:c r="W108" s="408" t="e">
        <x:f>(SQRT(((-#REF!*SIN($F$18*PI()/180)*$F$21)*$C$25*1000)^2+(0.001*$C$25*1000*$F$21)^2)/$C$30+(-#REF!*COS($F$18*PI()/180)*$F$21)*$C$25*1000)/9.81*$W$99/$O$47*$F$193*#REF!-$N$47/$O$47*$C$20*$F$21</x:f>
        <x:v>#REF!</x:v>
      </x:c>
      <x:c r="X108" s="407" t="e">
        <x:f>(-#REF!*COS($F$18*PI()/180)*$F$21)*$X$99*$C$25*1000/9.81/$O$47*$D$193*#REF!-$N$47/$O$47*$C$20*$F$21</x:f>
        <x:v>#REF!</x:v>
      </x:c>
      <x:c r="Y108" s="408" t="e">
        <x:f>(SQRT(((-#REF!*SIN($F$18*PI()/180)*$F$21)*$C$25*1000)^2+(0.001*$C$25*1000*$F$21)^2)/$C$30+(-#REF!*COS($F$18*PI()/180)*$F$21)*$C$25*1000)/9.81*$Y$99/$O$47*$F$193*#REF!-$N$47/$O$47*$C$20*$F$21</x:f>
        <x:v>#REF!</x:v>
      </x:c>
      <x:c r="Z108" s="407">
        <x:f ca="1">(-'int. presets cp_10d'!I31*COS($F$18*PI()/180)*$F$21)*$Z$99*$C$25*1000/9.81/$O$47*$D$193*'int. presets cp_10d'!$I$214-$N$47/$O$47*$C$20*$F$21</x:f>
        <x:v>21.059778174832775</x:v>
      </x:c>
      <x:c r="AA108" s="1022">
        <x:f ca="1">(SQRT(((-'int. presets cp_10d'!D31*SIN($F$18*PI()/180)*$F$21)*$C$25*1000)^2+(0.001*$C$25*1000*$F$21)^2)/$C$30+(-'int. presets cp_10d'!D31*COS($F$18*PI()/180)*$F$21)*$C$25*1000)/9.81*$AA$99/$O$47*$F$193*'int. presets cp_10d'!$D$214-$N$47/$O$47*$C$20*$F$21</x:f>
        <x:v>15.226773579395523</x:v>
      </x:c>
      <x:c r="AB108" s="178"/>
      <x:c r="BC108" s="178"/>
      <x:c r="BD108" s="178"/>
      <x:c r="BE108" s="178"/>
      <x:c r="BF108" s="178"/>
      <x:c r="BG108" s="178"/>
      <x:c r="BH108" s="178"/>
      <x:c r="BI108" s="178"/>
      <x:c r="BJ108" s="178"/>
      <x:c r="BK108" s="178"/>
      <x:c r="BL108" s="178"/>
      <x:c r="BM108" s="178"/>
      <x:c r="BN108" s="178"/>
      <x:c r="BO108" s="178"/>
      <x:c r="BP108" s="178"/>
      <x:c r="BQ108" s="178"/>
      <x:c r="BR108" s="178"/>
      <x:c r="BS108" s="178"/>
      <x:c r="BT108" s="178"/>
      <x:c r="BU108" s="178"/>
      <x:c r="BV108" s="178"/>
      <x:c r="CW108" s="178"/>
      <x:c r="CX108" s="178"/>
      <x:c r="CY108" s="178"/>
      <x:c r="CZ108" s="178"/>
      <x:c r="DA108" s="178"/>
      <x:c r="DB108" s="178"/>
      <x:c r="DC108" s="178"/>
      <x:c r="DD108" s="178"/>
      <x:c r="DE108" s="178"/>
      <x:c r="DF108" s="178"/>
      <x:c r="DG108" s="178"/>
      <x:c r="DH108" s="178"/>
      <x:c r="DI108" s="178"/>
      <x:c r="DJ108" s="178"/>
      <x:c r="DK108" s="178"/>
      <x:c r="DL108" s="178"/>
      <x:c r="DM108" s="178"/>
      <x:c r="DN108" s="178"/>
      <x:c r="DO108" s="178"/>
      <x:c r="DP108" s="178"/>
      <x:c r="DQ108" s="178"/>
      <x:c r="DR108" s="178"/>
      <x:c r="DS108" s="178"/>
      <x:c r="DT108" s="178"/>
      <x:c r="DU108" s="178"/>
      <x:c r="DV108" s="178"/>
      <x:c r="DW108" s="178"/>
      <x:c r="DX108" s="178"/>
      <x:c r="DY108" s="178"/>
      <x:c r="DZ108" s="178"/>
      <x:c r="EA108" s="178"/>
      <x:c r="EB108" s="178"/>
      <x:c r="EC108" s="178"/>
      <x:c r="ED108" s="178"/>
    </x:row>
    <x:row r="109" spans="2:134" ht="13.5" customHeight="1" x14ac:dyDescent="0.2">
      <x:c r="B109" s="1345" t="s">
        <x:v>465</x:v>
      </x:c>
      <x:c r="C109" s="1346">
        <x:v>0</x:v>
      </x:c>
      <x:c r="D109" s="1347" t="s">
        <x:v>465</x:v>
      </x:c>
      <x:c r="E109" s="342" t="s">
        <x:v>461</x:v>
      </x:c>
      <x:c r="F109" s="1057" t="e">
        <x:f t="shared" si="70"/>
        <x:v>#REF!</x:v>
      </x:c>
      <x:c r="G109" s="1057" t="e">
        <x:f t="shared" si="71"/>
        <x:v>#REF!</x:v>
      </x:c>
      <x:c r="H109" s="1057" t="e">
        <x:f t="shared" si="72"/>
        <x:v>#REF!</x:v>
      </x:c>
      <x:c r="I109" s="1054" t="e">
        <x:f t="shared" si="73"/>
        <x:v>#REF!</x:v>
      </x:c>
      <x:c r="J109" s="1057" t="e">
        <x:f t="shared" si="74"/>
        <x:v>#REF!</x:v>
      </x:c>
      <x:c r="K109" s="1064" t="e">
        <x:f t="shared" si="75"/>
        <x:v>#REF!</x:v>
      </x:c>
      <x:c r="L109" s="945">
        <x:f t="shared" ca="1" si="76"/>
        <x:v>18.774942081239484</x:v>
      </x:c>
      <x:c r="M109" s="945">
        <x:f t="shared" ca="1" si="77"/>
        <x:v>41.391612811142188</x:v>
      </x:c>
      <x:c r="N109" s="1060" t="e">
        <x:f>(-#REF!*COS($F$18*PI()/180)*$F$21)*$N$99*$C$25*1000/9.81/$O$47*$D$193*#REF!-$N$47/$O$47*$C$20*$F$21</x:f>
        <x:v>#REF!</x:v>
      </x:c>
      <x:c r="O109" s="406" t="e">
        <x:f>(SQRT(((-#REF!*SIN($F$18*PI()/180)*$F$21)*$C$25*1000)^2+(0.001*$C$25*1000*$F$21)^2)/$C$30+(-#REF!*COS($F$18*PI()/180)*$F$21)*$C$25*1000)/9.81*$O$99/$O$47*$F$193*#REF!-$N$47/$O$47*$C$20*$F$21</x:f>
        <x:v>#REF!</x:v>
      </x:c>
      <x:c r="P109" s="409" t="e">
        <x:f>(-#REF!*COS($F$18*PI()/180)*$F$21)*$P$99*$C$25*1000/9.81/$O$47*$D$193*#REF!-$N$47/$O$47*$C$20*$F$21</x:f>
        <x:v>#REF!</x:v>
      </x:c>
      <x:c r="Q109" s="406" t="e">
        <x:f>(SQRT(((-#REF!*SIN($F$18*PI()/180)*$F$21)*$C$25*1000)^2+(0.001*$C$25*1000*$F$21)^2)/$C$30+(-#REF!*COS($F$18*PI()/180)*$F$21)*$C$25*1000)/9.81*$Q$99/$O$47*$F$193*#REF!-$N$47/$O$47*$C$20*$F$21</x:f>
        <x:v>#REF!</x:v>
      </x:c>
      <x:c r="R109" s="409" t="e">
        <x:f>(-#REF!*COS($F$18*PI()/180)*$F$21)*$R$99*$C$25*1000/9.81/$O$47*$D$193*#REF!-$N$47/$O$47*$C$20*$F$21</x:f>
        <x:v>#REF!</x:v>
      </x:c>
      <x:c r="S109" s="406" t="e">
        <x:f>(SQRT(((-#REF!*SIN($F$18*PI()/180)*$F$21)*$C$25*1000)^2+(0.001*$C$25*1000*$F$21)^2)/$C$30+(-#REF!*COS($F$18*PI()/180)*$F$21)*$C$25*1000)/9.81*$S$99/$O$47*$F$193*#REF!-$N$47/$O$47*$C$20*$F$21</x:f>
        <x:v>#REF!</x:v>
      </x:c>
      <x:c r="T109" s="409" t="e">
        <x:f>(-#REF!*COS($F$18*PI()/180)*$F$21)*$T$99*$C$25*1000/9.81/$O$47*$D$193*#REF!-$N$47/$O$47*$C$20*$F$21</x:f>
        <x:v>#REF!</x:v>
      </x:c>
      <x:c r="U109" s="406" t="e">
        <x:f>(SQRT(((-#REF!*SIN($F$18*PI()/180)*$F$21)*$C$25*1000)^2+(0.001*$C$25*1000*$F$21)^2)/$C$30+(-#REF!*COS($F$18*PI()/180)*$F$21)*$C$25*1000)/9.81*$U$99/$O$47*$F$193*#REF!-$N$47/$O$47*$C$20*$F$21</x:f>
        <x:v>#REF!</x:v>
      </x:c>
      <x:c r="V109" s="409" t="e">
        <x:f>(-#REF!*COS($F$18*PI()/180)*$F$21)*$V$99*$C$25*1000/9.81/$O$47*$D$193*#REF!-$N$47/$O$47*$C$20*$F$21</x:f>
        <x:v>#REF!</x:v>
      </x:c>
      <x:c r="W109" s="406" t="e">
        <x:f>(SQRT(((-#REF!*SIN($F$18*PI()/180)*$F$21)*$C$25*1000)^2+(0.001*$C$25*1000*$F$21)^2)/$C$30+(-#REF!*COS($F$18*PI()/180)*$F$21)*$C$25*1000)/9.81*$W$99/$O$47*$F$193*#REF!-$N$47/$O$47*$C$20*$F$21</x:f>
        <x:v>#REF!</x:v>
      </x:c>
      <x:c r="X109" s="409" t="e">
        <x:f>(-#REF!*COS($F$18*PI()/180)*$F$21)*$X$99*$C$25*1000/9.81/$O$47*$D$193*#REF!-$N$47/$O$47*$C$20*$F$21</x:f>
        <x:v>#REF!</x:v>
      </x:c>
      <x:c r="Y109" s="406" t="e">
        <x:f>(SQRT(((-#REF!*SIN($F$18*PI()/180)*$F$21)*$C$25*1000)^2+(0.001*$C$25*1000*$F$21)^2)/$C$30+(-#REF!*COS($F$18*PI()/180)*$F$21)*$C$25*1000)/9.81*$Y$99/$O$47*$F$193*#REF!-$N$47/$O$47*$C$20*$F$21</x:f>
        <x:v>#REF!</x:v>
      </x:c>
      <x:c r="Z109" s="409">
        <x:f ca="1">(-'int. presets cp_10d'!I32*COS($F$18*PI()/180)*$F$21)*$Z$99*$C$25*1000/9.81/$O$47*$D$193*'int. presets cp_10d'!$I$214-$N$47/$O$47*$C$20*$F$21</x:f>
        <x:v>18.774942081239484</x:v>
      </x:c>
      <x:c r="AA109" s="1020">
        <x:f ca="1">(SQRT(((-'int. presets cp_10d'!D32*SIN($F$18*PI()/180)*$F$21)*$C$25*1000)^2+(0.001*$C$25*1000*$F$21)^2)/$C$30+(-'int. presets cp_10d'!D32*COS($F$18*PI()/180)*$F$21)*$C$25*1000)/9.81*$AA$99/$O$47*$F$193*'int. presets cp_10d'!$D$214-$N$47/$O$47*$C$20*$F$21</x:f>
        <x:v>16.49723035306366</x:v>
      </x:c>
      <x:c r="AB109" s="178"/>
      <x:c r="BC109" s="178"/>
      <x:c r="BD109" s="178"/>
      <x:c r="BE109" s="178"/>
      <x:c r="BF109" s="178"/>
      <x:c r="BG109" s="178"/>
      <x:c r="BH109" s="178"/>
      <x:c r="BI109" s="178"/>
      <x:c r="BJ109" s="178"/>
      <x:c r="BK109" s="178"/>
      <x:c r="BL109" s="178"/>
      <x:c r="BM109" s="178"/>
      <x:c r="BN109" s="178"/>
      <x:c r="BO109" s="178"/>
      <x:c r="BP109" s="178"/>
      <x:c r="BQ109" s="178"/>
      <x:c r="BR109" s="178"/>
      <x:c r="BS109" s="178"/>
      <x:c r="BT109" s="178"/>
      <x:c r="BU109" s="178"/>
      <x:c r="BV109" s="178"/>
      <x:c r="CW109" s="178"/>
      <x:c r="CX109" s="178"/>
      <x:c r="CY109" s="178"/>
      <x:c r="CZ109" s="178"/>
      <x:c r="DA109" s="178"/>
      <x:c r="DB109" s="178"/>
      <x:c r="DC109" s="178"/>
      <x:c r="DD109" s="178"/>
      <x:c r="DE109" s="178"/>
      <x:c r="DF109" s="178"/>
      <x:c r="DG109" s="178"/>
      <x:c r="DH109" s="178"/>
      <x:c r="DI109" s="178"/>
      <x:c r="DJ109" s="178"/>
      <x:c r="DK109" s="178"/>
      <x:c r="DL109" s="178"/>
      <x:c r="DM109" s="178"/>
      <x:c r="DN109" s="178"/>
      <x:c r="DO109" s="178"/>
      <x:c r="DP109" s="178"/>
      <x:c r="DQ109" s="178"/>
      <x:c r="DR109" s="178"/>
      <x:c r="DS109" s="178"/>
      <x:c r="DT109" s="178"/>
      <x:c r="DU109" s="178"/>
      <x:c r="DV109" s="178"/>
      <x:c r="DW109" s="178"/>
      <x:c r="DX109" s="178"/>
      <x:c r="DY109" s="178"/>
      <x:c r="DZ109" s="178"/>
      <x:c r="EA109" s="178"/>
      <x:c r="EB109" s="178"/>
      <x:c r="EC109" s="178"/>
      <x:c r="ED109" s="178"/>
    </x:row>
    <x:row r="110" spans="2:134" ht="13.5" customHeight="1" thickBot="1" x14ac:dyDescent="0.25">
      <x:c r="B110" s="1351" t="e">
        <x:v>#REF!</x:v>
      </x:c>
      <x:c r="C110" s="1352">
        <x:v>0</x:v>
      </x:c>
      <x:c r="D110" s="1353">
        <x:v>0</x:v>
      </x:c>
      <x:c r="E110" s="986" t="s">
        <x:v>462</x:v>
      </x:c>
      <x:c r="F110" s="1055" t="e">
        <x:f t="shared" si="70"/>
        <x:v>#REF!</x:v>
      </x:c>
      <x:c r="G110" s="1055" t="e">
        <x:f t="shared" si="71"/>
        <x:v>#REF!</x:v>
      </x:c>
      <x:c r="H110" s="1055" t="e">
        <x:f t="shared" si="72"/>
        <x:v>#REF!</x:v>
      </x:c>
      <x:c r="I110" s="1056" t="e">
        <x:f t="shared" si="73"/>
        <x:v>#REF!</x:v>
      </x:c>
      <x:c r="J110" s="1055" t="e">
        <x:f t="shared" si="74"/>
        <x:v>#REF!</x:v>
      </x:c>
      <x:c r="K110" s="1063" t="e">
        <x:f t="shared" si="75"/>
        <x:v>#REF!</x:v>
      </x:c>
      <x:c r="L110" s="944">
        <x:f t="shared" ca="1" si="76"/>
        <x:v>17.269103107568956</x:v>
      </x:c>
      <x:c r="M110" s="944">
        <x:f t="shared" ca="1" si="77"/>
        <x:v>38.071810093008665</x:v>
      </x:c>
      <x:c r="N110" s="1060" t="e">
        <x:f>(-#REF!*COS($F$18*PI()/180)*$F$21)*$N$99*$C$25*1000/9.81/$O$47*$D$193*#REF!-$N$47/$O$47*$C$20*$F$21</x:f>
        <x:v>#REF!</x:v>
      </x:c>
      <x:c r="O110" s="410" t="e">
        <x:f>(SQRT(((-#REF!*SIN($F$18*PI()/180)*$F$21)*$C$25*1000)^2+(0.001*$C$25*1000*$F$21)^2)/$C$30+(-#REF!*COS($F$18*PI()/180)*$F$21)*$C$25*1000)/9.81*$O$99/$O$47*$F$193*#REF!-$N$47/$O$47*$C$20*$F$21</x:f>
        <x:v>#REF!</x:v>
      </x:c>
      <x:c r="P110" s="409" t="e">
        <x:f>(-#REF!*COS($F$18*PI()/180)*$F$21)*$P$99*$C$25*1000/9.81/$O$47*$D$193*#REF!-$N$47/$O$47*$C$20*$F$21</x:f>
        <x:v>#REF!</x:v>
      </x:c>
      <x:c r="Q110" s="410" t="e">
        <x:f>(SQRT(((-#REF!*SIN($F$18*PI()/180)*$F$21)*$C$25*1000)^2+(0.001*$C$25*1000*$F$21)^2)/$C$30+(-#REF!*COS($F$18*PI()/180)*$F$21)*$C$25*1000)/9.81*$Q$99/$O$47*$F$193*#REF!-$N$47/$O$47*$C$20*$F$21</x:f>
        <x:v>#REF!</x:v>
      </x:c>
      <x:c r="R110" s="409" t="e">
        <x:f>(-#REF!*COS($F$18*PI()/180)*$F$21)*$R$99*$C$25*1000/9.81/$O$47*$D$193*#REF!-$N$47/$O$47*$C$20*$F$21</x:f>
        <x:v>#REF!</x:v>
      </x:c>
      <x:c r="S110" s="410" t="e">
        <x:f>(SQRT(((-#REF!*SIN($F$18*PI()/180)*$F$21)*$C$25*1000)^2+(0.001*$C$25*1000*$F$21)^2)/$C$30+(-#REF!*COS($F$18*PI()/180)*$F$21)*$C$25*1000)/9.81*$S$99/$O$47*$F$193*#REF!-$N$47/$O$47*$C$20*$F$21</x:f>
        <x:v>#REF!</x:v>
      </x:c>
      <x:c r="T110" s="409" t="e">
        <x:f>(-#REF!*COS($F$18*PI()/180)*$F$21)*$T$99*$C$25*1000/9.81/$O$47*$D$193*#REF!-$N$47/$O$47*$C$20*$F$21</x:f>
        <x:v>#REF!</x:v>
      </x:c>
      <x:c r="U110" s="410" t="e">
        <x:f>(SQRT(((-#REF!*SIN($F$18*PI()/180)*$F$21)*$C$25*1000)^2+(0.001*$C$25*1000*$F$21)^2)/$C$30+(-#REF!*COS($F$18*PI()/180)*$F$21)*$C$25*1000)/9.81*$U$99/$O$47*$F$193*#REF!-$N$47/$O$47*$C$20*$F$21</x:f>
        <x:v>#REF!</x:v>
      </x:c>
      <x:c r="V110" s="409" t="e">
        <x:f>(-#REF!*COS($F$18*PI()/180)*$F$21)*$V$99*$C$25*1000/9.81/$O$47*$D$193*#REF!-$N$47/$O$47*$C$20*$F$21</x:f>
        <x:v>#REF!</x:v>
      </x:c>
      <x:c r="W110" s="410" t="e">
        <x:f>(SQRT(((-#REF!*SIN($F$18*PI()/180)*$F$21)*$C$25*1000)^2+(0.001*$C$25*1000*$F$21)^2)/$C$30+(-#REF!*COS($F$18*PI()/180)*$F$21)*$C$25*1000)/9.81*$W$99/$O$47*$F$193*#REF!-$N$47/$O$47*$C$20*$F$21</x:f>
        <x:v>#REF!</x:v>
      </x:c>
      <x:c r="X110" s="409" t="e">
        <x:f>(-#REF!*COS($F$18*PI()/180)*$F$21)*$X$99*$C$25*1000/9.81/$O$47*$D$193*#REF!-$N$47/$O$47*$C$20*$F$21</x:f>
        <x:v>#REF!</x:v>
      </x:c>
      <x:c r="Y110" s="410" t="e">
        <x:f>(SQRT(((-#REF!*SIN($F$18*PI()/180)*$F$21)*$C$25*1000)^2+(0.001*$C$25*1000*$F$21)^2)/$C$30+(-#REF!*COS($F$18*PI()/180)*$F$21)*$C$25*1000)/9.81*$Y$99/$O$47*$F$193*#REF!-$N$47/$O$47*$C$20*$F$21</x:f>
        <x:v>#REF!</x:v>
      </x:c>
      <x:c r="Z110" s="409">
        <x:f ca="1">(-'int. presets cp_10d'!I33*COS($F$18*PI()/180)*$F$21)*$Z$99*$C$25*1000/9.81/$O$47*$D$193*'int. presets cp_10d'!$I$214-$N$47/$O$47*$C$20*$F$21</x:f>
        <x:v>17.269103107568956</x:v>
      </x:c>
      <x:c r="AA110" s="1024">
        <x:f ca="1">(SQRT(((-'int. presets cp_10d'!D33*SIN($F$18*PI()/180)*$F$21)*$C$25*1000)^2+(0.001*$C$25*1000*$F$21)^2)/$C$30+(-'int. presets cp_10d'!D33*COS($F$18*PI()/180)*$F$21)*$C$25*1000)/9.81*$AA$99/$O$47*$F$193*'int. presets cp_10d'!$D$214-$N$47/$O$47*$C$20*$F$21</x:f>
        <x:v>17.266187655868723</x:v>
      </x:c>
      <x:c r="AB110" s="178"/>
      <x:c r="BC110" s="178"/>
      <x:c r="BD110" s="178"/>
      <x:c r="BE110" s="178"/>
      <x:c r="BF110" s="178"/>
      <x:c r="BG110" s="178"/>
      <x:c r="BH110" s="178"/>
      <x:c r="BI110" s="178"/>
      <x:c r="BJ110" s="178"/>
      <x:c r="BK110" s="178"/>
      <x:c r="BL110" s="178"/>
      <x:c r="BM110" s="178"/>
      <x:c r="BN110" s="178"/>
      <x:c r="BO110" s="178"/>
      <x:c r="BP110" s="178"/>
      <x:c r="BQ110" s="178"/>
      <x:c r="BR110" s="178"/>
      <x:c r="BS110" s="178"/>
      <x:c r="BT110" s="178"/>
      <x:c r="BU110" s="178"/>
      <x:c r="BV110" s="178"/>
      <x:c r="EC110" s="178"/>
    </x:row>
    <x:row r="111" spans="2:134" ht="13.5" customHeight="1" thickTop="1" thickBot="1" x14ac:dyDescent="0.25">
      <x:c r="B111" s="1380" t="s">
        <x:v>340</x:v>
      </x:c>
      <x:c r="C111" s="1381"/>
      <x:c r="D111" s="1381"/>
      <x:c r="E111" s="1381"/>
      <x:c r="F111" s="1409"/>
      <x:c r="G111" s="1409"/>
      <x:c r="H111" s="1409"/>
      <x:c r="I111" s="1409"/>
      <x:c r="J111" s="1409"/>
      <x:c r="K111" s="1409"/>
      <x:c r="L111" s="1410"/>
      <x:c r="M111" s="1067"/>
      <x:c r="N111" s="1006"/>
      <x:c r="O111" s="1007"/>
      <x:c r="P111" s="1007"/>
      <x:c r="Q111" s="1007"/>
      <x:c r="R111" s="1007"/>
      <x:c r="S111" s="1007"/>
      <x:c r="T111" s="1007"/>
      <x:c r="U111" s="1007"/>
      <x:c r="V111" s="1007"/>
      <x:c r="W111" s="1007"/>
      <x:c r="X111" s="1007"/>
      <x:c r="Y111" s="1007"/>
      <x:c r="Z111" s="1007"/>
      <x:c r="AA111" s="1010"/>
      <x:c r="AB111" s="178"/>
      <x:c r="BC111" s="178"/>
      <x:c r="BD111" s="178"/>
      <x:c r="BE111" s="178"/>
      <x:c r="BF111" s="178"/>
      <x:c r="BG111" s="178"/>
      <x:c r="BH111" s="178"/>
      <x:c r="BI111" s="178"/>
      <x:c r="BJ111" s="178"/>
      <x:c r="BK111" s="178"/>
      <x:c r="BL111" s="178"/>
      <x:c r="BM111" s="178"/>
      <x:c r="BN111" s="178"/>
      <x:c r="BO111" s="178"/>
      <x:c r="BP111" s="178"/>
      <x:c r="BQ111" s="178"/>
      <x:c r="BR111" s="178"/>
      <x:c r="BS111" s="178"/>
      <x:c r="BT111" s="178"/>
      <x:c r="BU111" s="178"/>
      <x:c r="BV111" s="178"/>
      <x:c r="EC111" s="178"/>
    </x:row>
    <x:row r="112" spans="2:134" ht="13.5" customHeight="1" x14ac:dyDescent="0.2">
      <x:c r="B112" s="1345" t="s">
        <x:v>460</x:v>
      </x:c>
      <x:c r="C112" s="1346">
        <x:v>0</x:v>
      </x:c>
      <x:c r="D112" s="1347">
        <x:v>0</x:v>
      </x:c>
      <x:c r="E112" s="478" t="s">
        <x:v>461</x:v>
      </x:c>
      <x:c r="F112" s="1053" t="e">
        <x:f t="shared" ref="F112:F119" si="78">MAX(N112,O112)</x:f>
        <x:v>#REF!</x:v>
      </x:c>
      <x:c r="G112" s="1053" t="e">
        <x:f t="shared" ref="G112:G119" si="79">MAX(P112,Q112)</x:f>
        <x:v>#REF!</x:v>
      </x:c>
      <x:c r="H112" s="1053" t="e">
        <x:f t="shared" si="72"/>
        <x:v>#REF!</x:v>
      </x:c>
      <x:c r="I112" s="1061" t="e">
        <x:f t="shared" si="73"/>
        <x:v>#REF!</x:v>
      </x:c>
      <x:c r="J112" s="1053" t="e">
        <x:f t="shared" si="74"/>
        <x:v>#REF!</x:v>
      </x:c>
      <x:c r="K112" s="1062" t="e">
        <x:f t="shared" si="75"/>
        <x:v>#REF!</x:v>
      </x:c>
      <x:c r="L112" s="940">
        <x:f t="shared" ca="1" si="76"/>
        <x:v>45.823215376409181</x:v>
      </x:c>
      <x:c r="M112" s="1071">
        <x:f t="shared" ca="1" si="77"/>
        <x:v>101.0227770831392</x:v>
      </x:c>
      <x:c r="N112" s="497" t="e">
        <x:f>(-#REF!*COS($F$18*PI()/180)*$F$21)*$N$99*$C$25*1000/9.81/$O$47*$D$193*#REF!-$N$47/$O$47*$C$20*$F$21</x:f>
        <x:v>#REF!</x:v>
      </x:c>
      <x:c r="O112" s="198" t="e">
        <x:f>(SQRT(((-#REF!*SIN($F$18*PI()/180)*$F$21)*$C$25*1000)^2+(0.001*$C$25*1000*$F$21)^2)/$C$30+(-#REF!*COS($F$18*PI()/180)*$F$21)*$C$25*1000)/9.81*$O$99/$O$47*$F$193*#REF!-$N$47/$O$47*$C$20*$F$21</x:f>
        <x:v>#REF!</x:v>
      </x:c>
      <x:c r="P112" s="181" t="e">
        <x:f>(-#REF!*COS($F$18*PI()/180)*$F$21)*$P$99*$C$25*1000/9.81/$O$47*$D$193*#REF!-$N$47/$O$47*$C$20*$F$21</x:f>
        <x:v>#REF!</x:v>
      </x:c>
      <x:c r="Q112" s="198" t="e">
        <x:f>(SQRT(((-#REF!*SIN($F$18*PI()/180)*$F$21)*$C$25*1000)^2+(0.001*$C$25*1000*$F$21)^2)/$C$30+(-#REF!*COS($F$18*PI()/180)*$F$21)*$C$25*1000)/9.81*$Q$99/$O$47*$F$193*#REF!-$N$47/$O$47*$C$20*$F$21</x:f>
        <x:v>#REF!</x:v>
      </x:c>
      <x:c r="R112" s="181" t="e">
        <x:f>(-#REF!*COS($F$18*PI()/180)*$F$21)*$R$99*$C$25*1000/9.81/$O$47*$D$193*#REF!-$N$47/$O$47*$C$20*$F$21</x:f>
        <x:v>#REF!</x:v>
      </x:c>
      <x:c r="S112" s="198" t="e">
        <x:f>(SQRT(((-#REF!*SIN($F$18*PI()/180)*$F$21)*$C$25*1000)^2+(0.001*$C$25*1000*$F$21)^2)/$C$30+(-#REF!*COS($F$18*PI()/180)*$F$21)*$C$25*1000)/9.81*$S$99/$O$47*$F$193*#REF!-$N$47/$O$47*$C$20*$F$21</x:f>
        <x:v>#REF!</x:v>
      </x:c>
      <x:c r="T112" s="181" t="e">
        <x:f>(-#REF!*COS($F$18*PI()/180)*$F$21)*$T$99*$C$25*1000/9.81/$O$47*$D$193*#REF!-$N$47/$O$47*$C$20*$F$21</x:f>
        <x:v>#REF!</x:v>
      </x:c>
      <x:c r="U112" s="198" t="e">
        <x:f>(SQRT(((-#REF!*SIN($F$18*PI()/180)*$F$21)*$C$25*1000)^2+(0.001*$C$25*1000*$F$21)^2)/$C$30+(-#REF!*COS($F$18*PI()/180)*$F$21)*$C$25*1000)/9.81*$U$99/$O$47*$F$193*#REF!-$N$47/$O$47*$C$20*$F$21</x:f>
        <x:v>#REF!</x:v>
      </x:c>
      <x:c r="V112" s="181" t="e">
        <x:f>(-#REF!*COS($F$18*PI()/180)*$F$21)*$V$99*$C$25*1000/9.81/$O$47*$D$193*#REF!-$N$47/$O$47*$C$20*$F$21</x:f>
        <x:v>#REF!</x:v>
      </x:c>
      <x:c r="W112" s="198" t="e">
        <x:f>(SQRT(((-#REF!*SIN($F$18*PI()/180)*$F$21)*$C$25*1000)^2+(0.001*$C$25*1000*$F$21)^2)/$C$30+(-#REF!*COS($F$18*PI()/180)*$F$21)*$C$25*1000)/9.81*$W$99/$O$47*$F$193*#REF!-$N$47/$O$47*$C$20*$F$21</x:f>
        <x:v>#REF!</x:v>
      </x:c>
      <x:c r="X112" s="181" t="e">
        <x:f>(-#REF!*COS($F$18*PI()/180)*$F$21)*$X$99*$C$25*1000/9.81/$O$47*$D$193*#REF!-$N$47/$O$47*$C$20*$F$21</x:f>
        <x:v>#REF!</x:v>
      </x:c>
      <x:c r="Y112" s="198" t="e">
        <x:f>(SQRT(((-#REF!*SIN($F$18*PI()/180)*$F$21)*$C$25*1000)^2+(0.001*$C$25*1000*$F$21)^2)/$C$30+(-#REF!*COS($F$18*PI()/180)*$F$21)*$C$25*1000)/9.81*$Y$99/$O$47*$F$193*#REF!-$N$47/$O$47*$C$20*$F$21</x:f>
        <x:v>#REF!</x:v>
      </x:c>
      <x:c r="Z112" s="181">
        <x:f ca="1">(-'int. presets cp_10d'!J26*COS($F$18*PI()/180)*$F$21)*$Z$99*$C$25*1000/9.81/$O$47*$D$193*'int. presets cp_10d'!$J$214-$N$47/$O$47*$C$20*$F$21</x:f>
        <x:v>45.823215376409181</x:v>
      </x:c>
      <x:c r="AA112" s="1026">
        <x:f ca="1">(SQRT(((-'int. presets cp_10d'!E26*SIN($F$18*PI()/180)*$F$21)*$C$25*1000)^2+(0.001*$C$25*1000*$F$21)^2)/$C$30+(-'int. presets cp_10d'!E26*COS($F$18*PI()/180)*$F$21)*$C$25*1000)/9.81*$AA$99/$O$47*$F$193*'int. presets cp_10d'!$E$214-$N$47/$O$47*$C$20*$F$21</x:f>
        <x:v>32.505311215181663</x:v>
      </x:c>
      <x:c r="AB112" s="178"/>
      <x:c r="BC112" s="178"/>
      <x:c r="BD112" s="178"/>
      <x:c r="BE112" s="178"/>
      <x:c r="BF112" s="178"/>
      <x:c r="BG112" s="178"/>
      <x:c r="BH112" s="178"/>
      <x:c r="BI112" s="178"/>
      <x:c r="BJ112" s="178"/>
      <x:c r="BK112" s="178"/>
      <x:c r="BL112" s="178"/>
      <x:c r="BM112" s="178"/>
      <x:c r="BN112" s="178"/>
      <x:c r="BO112" s="178"/>
      <x:c r="BP112" s="178"/>
      <x:c r="BQ112" s="178"/>
      <x:c r="BR112" s="178"/>
      <x:c r="BS112" s="178"/>
      <x:c r="BT112" s="178"/>
      <x:c r="BU112" s="178"/>
      <x:c r="BV112" s="178"/>
      <x:c r="EC112" s="178"/>
    </x:row>
    <x:row r="113" spans="2:133" ht="13.5" thickBot="1" x14ac:dyDescent="0.25">
      <x:c r="B113" s="1348">
        <x:v>0</x:v>
      </x:c>
      <x:c r="C113" s="1349">
        <x:v>0</x:v>
      </x:c>
      <x:c r="D113" s="1350">
        <x:v>0</x:v>
      </x:c>
      <x:c r="E113" s="481" t="s">
        <x:v>462</x:v>
      </x:c>
      <x:c r="F113" s="1055" t="e">
        <x:f t="shared" si="78"/>
        <x:v>#REF!</x:v>
      </x:c>
      <x:c r="G113" s="1055" t="e">
        <x:f t="shared" si="79"/>
        <x:v>#REF!</x:v>
      </x:c>
      <x:c r="H113" s="1055" t="e">
        <x:f t="shared" si="72"/>
        <x:v>#REF!</x:v>
      </x:c>
      <x:c r="I113" s="1056" t="e">
        <x:f t="shared" si="73"/>
        <x:v>#REF!</x:v>
      </x:c>
      <x:c r="J113" s="1055" t="e">
        <x:f t="shared" si="74"/>
        <x:v>#REF!</x:v>
      </x:c>
      <x:c r="K113" s="1063" t="e">
        <x:f t="shared" si="75"/>
        <x:v>#REF!</x:v>
      </x:c>
      <x:c r="L113" s="941">
        <x:f t="shared" ca="1" si="76"/>
        <x:v>56.667352257399983</x:v>
      </x:c>
      <x:c r="M113" s="1072">
        <x:f t="shared" ca="1" si="77"/>
        <x:v>124.92997813370914</x:v>
      </x:c>
      <x:c r="N113" s="1068" t="e">
        <x:f>(-#REF!*COS($F$18*PI()/180)*$F$21)*$N$99*$C$25*1000/9.81/$O$47*$D$193*#REF!-$N$47/$O$47*$C$20*$F$21</x:f>
        <x:v>#REF!</x:v>
      </x:c>
      <x:c r="O113" s="164" t="e">
        <x:f>(SQRT(((-#REF!*SIN($F$18*PI()/180)*$F$21)*$C$25*1000)^2+(0.001*$C$25*1000*$F$21)^2)/$C$30+(-#REF!*COS($F$18*PI()/180)*$F$21)*$C$25*1000)/9.81*$O$99/$O$47*$F$193*#REF!-$N$47/$O$47*$C$20*$F$21</x:f>
        <x:v>#REF!</x:v>
      </x:c>
      <x:c r="P113" s="199" t="e">
        <x:f>(-#REF!*COS($F$18*PI()/180)*$F$21)*$P$99*$C$25*1000/9.81/$O$47*$D$193*#REF!-$N$47/$O$47*$C$20*$F$21</x:f>
        <x:v>#REF!</x:v>
      </x:c>
      <x:c r="Q113" s="164" t="e">
        <x:f>(SQRT(((-#REF!*SIN($F$18*PI()/180)*$F$21)*$C$25*1000)^2+(0.001*$C$25*1000*$F$21)^2)/$C$30+(-#REF!*COS($F$18*PI()/180)*$F$21)*$C$25*1000)/9.81*$Q$99/$O$47*$F$193*#REF!-$N$47/$O$47*$C$20*$F$21</x:f>
        <x:v>#REF!</x:v>
      </x:c>
      <x:c r="R113" s="199" t="e">
        <x:f>(-#REF!*COS($F$18*PI()/180)*$F$21)*$R$99*$C$25*1000/9.81/$O$47*$D$193*#REF!-$N$47/$O$47*$C$20*$F$21</x:f>
        <x:v>#REF!</x:v>
      </x:c>
      <x:c r="S113" s="164" t="e">
        <x:f>(SQRT(((-#REF!*SIN($F$18*PI()/180)*$F$21)*$C$25*1000)^2+(0.001*$C$25*1000*$F$21)^2)/$C$30+(-#REF!*COS($F$18*PI()/180)*$F$21)*$C$25*1000)/9.81*$S$99/$O$47*$F$193*#REF!-$N$47/$O$47*$C$20*$F$21</x:f>
        <x:v>#REF!</x:v>
      </x:c>
      <x:c r="T113" s="199" t="e">
        <x:f>(-#REF!*COS($F$18*PI()/180)*$F$21)*$T$99*$C$25*1000/9.81/$O$47*$D$193*#REF!-$N$47/$O$47*$C$20*$F$21</x:f>
        <x:v>#REF!</x:v>
      </x:c>
      <x:c r="U113" s="164" t="e">
        <x:f>(SQRT(((-#REF!*SIN($F$18*PI()/180)*$F$21)*$C$25*1000)^2+(0.001*$C$25*1000*$F$21)^2)/$C$30+(-#REF!*COS($F$18*PI()/180)*$F$21)*$C$25*1000)/9.81*$U$99/$O$47*$F$193*#REF!-$N$47/$O$47*$C$20*$F$21</x:f>
        <x:v>#REF!</x:v>
      </x:c>
      <x:c r="V113" s="199" t="e">
        <x:f>(-#REF!*COS($F$18*PI()/180)*$F$21)*$V$99*$C$25*1000/9.81/$O$47*$D$193*#REF!-$N$47/$O$47*$C$20*$F$21</x:f>
        <x:v>#REF!</x:v>
      </x:c>
      <x:c r="W113" s="164" t="e">
        <x:f>(SQRT(((-#REF!*SIN($F$18*PI()/180)*$F$21)*$C$25*1000)^2+(0.001*$C$25*1000*$F$21)^2)/$C$30+(-#REF!*COS($F$18*PI()/180)*$F$21)*$C$25*1000)/9.81*$W$99/$O$47*$F$193*#REF!-$N$47/$O$47*$C$20*$F$21</x:f>
        <x:v>#REF!</x:v>
      </x:c>
      <x:c r="X113" s="199" t="e">
        <x:f>(-#REF!*COS($F$18*PI()/180)*$F$21)*$X$99*$C$25*1000/9.81/$O$47*$D$193*#REF!-$N$47/$O$47*$C$20*$F$21</x:f>
        <x:v>#REF!</x:v>
      </x:c>
      <x:c r="Y113" s="164" t="e">
        <x:f>(SQRT(((-#REF!*SIN($F$18*PI()/180)*$F$21)*$C$25*1000)^2+(0.001*$C$25*1000*$F$21)^2)/$C$30+(-#REF!*COS($F$18*PI()/180)*$F$21)*$C$25*1000)/9.81*$Y$99/$O$47*$F$193*#REF!-$N$47/$O$47*$C$20*$F$21</x:f>
        <x:v>#REF!</x:v>
      </x:c>
      <x:c r="Z113" s="199">
        <x:f ca="1">(-'int. presets cp_10d'!J27*COS($F$18*PI()/180)*$F$21)*$Z$99*$C$25*1000/9.81/$O$47*$D$193*'int. presets cp_10d'!$J$214-$N$47/$O$47*$C$20*$F$21</x:f>
        <x:v>56.667352257399983</x:v>
      </x:c>
      <x:c r="AA113" s="1028">
        <x:f ca="1">(SQRT(((-'int. presets cp_10d'!E27*SIN($F$18*PI()/180)*$F$21)*$C$25*1000)^2+(0.001*$C$25*1000*$F$21)^2)/$C$30+(-'int. presets cp_10d'!E27*COS($F$18*PI()/180)*$F$21)*$C$25*1000)/9.81*$AA$99/$O$47*$F$193*'int. presets cp_10d'!$E$214-$N$47/$O$47*$C$20*$F$21</x:f>
        <x:v>36.047375321462809</x:v>
      </x:c>
      <x:c r="AB113" s="178"/>
      <x:c r="BC113" s="178"/>
      <x:c r="BD113" s="178"/>
      <x:c r="BE113" s="178"/>
      <x:c r="BF113" s="178"/>
      <x:c r="BG113" s="178"/>
      <x:c r="BH113" s="178"/>
      <x:c r="BI113" s="178"/>
      <x:c r="BJ113" s="178"/>
      <x:c r="BK113" s="178"/>
      <x:c r="BL113" s="178"/>
      <x:c r="BM113" s="178"/>
      <x:c r="BN113" s="178"/>
      <x:c r="BO113" s="178"/>
      <x:c r="BP113" s="178"/>
      <x:c r="BQ113" s="178"/>
      <x:c r="BR113" s="178"/>
      <x:c r="BS113" s="178"/>
      <x:c r="BT113" s="178"/>
      <x:c r="BU113" s="178"/>
      <x:c r="BV113" s="178"/>
      <x:c r="EC113" s="178"/>
    </x:row>
    <x:row r="114" spans="2:133" ht="12.75" customHeight="1" x14ac:dyDescent="0.2">
      <x:c r="B114" s="1345" t="s">
        <x:v>463</x:v>
      </x:c>
      <x:c r="C114" s="1346">
        <x:v>0</x:v>
      </x:c>
      <x:c r="D114" s="1347" t="s">
        <x:v>463</x:v>
      </x:c>
      <x:c r="E114" s="479" t="s">
        <x:v>461</x:v>
      </x:c>
      <x:c r="F114" s="1057" t="e">
        <x:f t="shared" si="78"/>
        <x:v>#REF!</x:v>
      </x:c>
      <x:c r="G114" s="1057" t="e">
        <x:f t="shared" si="79"/>
        <x:v>#REF!</x:v>
      </x:c>
      <x:c r="H114" s="1057" t="e">
        <x:f t="shared" si="72"/>
        <x:v>#REF!</x:v>
      </x:c>
      <x:c r="I114" s="1054" t="e">
        <x:f t="shared" si="73"/>
        <x:v>#REF!</x:v>
      </x:c>
      <x:c r="J114" s="1057" t="e">
        <x:f t="shared" si="74"/>
        <x:v>#REF!</x:v>
      </x:c>
      <x:c r="K114" s="1064" t="e">
        <x:f t="shared" si="75"/>
        <x:v>#REF!</x:v>
      </x:c>
      <x:c r="L114" s="940">
        <x:f t="shared" ca="1" si="76"/>
        <x:v>23.798644677037121</x:v>
      </x:c>
      <x:c r="M114" s="1073">
        <x:f t="shared" ca="1" si="77"/>
        <x:v>52.466968027889571</x:v>
      </x:c>
      <x:c r="N114" s="1069" t="e">
        <x:f>(-#REF!*COS($F$18*PI()/180)*$F$21)*$N$99*$C$25*1000/9.81/$O$47*$D$193*#REF!-$N$47/$O$47*$C$20*$F$21</x:f>
        <x:v>#REF!</x:v>
      </x:c>
      <x:c r="O114" s="162" t="e">
        <x:f>(SQRT(((-#REF!*SIN($F$18*PI()/180)*$F$21)*$C$25*1000)^2+(0.001*$C$25*1000*$F$21)^2)/$C$30+(-#REF!*COS($F$18*PI()/180)*$F$21)*$C$25*1000)/9.81*$O$99/$O$47*$F$193*#REF!-$N$47/$O$47*$C$20*$F$21</x:f>
        <x:v>#REF!</x:v>
      </x:c>
      <x:c r="P114" s="161" t="e">
        <x:f>(-#REF!*COS($F$18*PI()/180)*$F$21)*$P$99*$C$25*1000/9.81/$O$47*$D$193*#REF!-$N$47/$O$47*$C$20*$F$21</x:f>
        <x:v>#REF!</x:v>
      </x:c>
      <x:c r="Q114" s="162" t="e">
        <x:f>(SQRT(((-#REF!*SIN($F$18*PI()/180)*$F$21)*$C$25*1000)^2+(0.001*$C$25*1000*$F$21)^2)/$C$30+(-#REF!*COS($F$18*PI()/180)*$F$21)*$C$25*1000)/9.81*$Q$99/$O$47*$F$193*#REF!-$N$47/$O$47*$C$20*$F$21</x:f>
        <x:v>#REF!</x:v>
      </x:c>
      <x:c r="R114" s="161" t="e">
        <x:f>(-#REF!*COS($F$18*PI()/180)*$F$21)*$R$99*$C$25*1000/9.81/$O$47*$D$193*#REF!-$N$47/$O$47*$C$20*$F$21</x:f>
        <x:v>#REF!</x:v>
      </x:c>
      <x:c r="S114" s="162" t="e">
        <x:f>(SQRT(((-#REF!*SIN($F$18*PI()/180)*$F$21)*$C$25*1000)^2+(0.001*$C$25*1000*$F$21)^2)/$C$30+(-#REF!*COS($F$18*PI()/180)*$F$21)*$C$25*1000)/9.81*$S$99/$O$47*$F$193*#REF!-$N$47/$O$47*$C$20*$F$21</x:f>
        <x:v>#REF!</x:v>
      </x:c>
      <x:c r="T114" s="161" t="e">
        <x:f>(-#REF!*COS($F$18*PI()/180)*$F$21)*$T$99*$C$25*1000/9.81/$O$47*$D$193*#REF!-$N$47/$O$47*$C$20*$F$21</x:f>
        <x:v>#REF!</x:v>
      </x:c>
      <x:c r="U114" s="162" t="e">
        <x:f>(SQRT(((-#REF!*SIN($F$18*PI()/180)*$F$21)*$C$25*1000)^2+(0.001*$C$25*1000*$F$21)^2)/$C$30+(-#REF!*COS($F$18*PI()/180)*$F$21)*$C$25*1000)/9.81*$U$99/$O$47*$F$193*#REF!-$N$47/$O$47*$C$20*$F$21</x:f>
        <x:v>#REF!</x:v>
      </x:c>
      <x:c r="V114" s="161" t="e">
        <x:f>(-#REF!*COS($F$18*PI()/180)*$F$21)*$V$99*$C$25*1000/9.81/$O$47*$D$193*#REF!-$N$47/$O$47*$C$20*$F$21</x:f>
        <x:v>#REF!</x:v>
      </x:c>
      <x:c r="W114" s="162" t="e">
        <x:f>(SQRT(((-#REF!*SIN($F$18*PI()/180)*$F$21)*$C$25*1000)^2+(0.001*$C$25*1000*$F$21)^2)/$C$30+(-#REF!*COS($F$18*PI()/180)*$F$21)*$C$25*1000)/9.81*$W$99/$O$47*$F$193*#REF!-$N$47/$O$47*$C$20*$F$21</x:f>
        <x:v>#REF!</x:v>
      </x:c>
      <x:c r="X114" s="161" t="e">
        <x:f>(-#REF!*COS($F$18*PI()/180)*$F$21)*$X$99*$C$25*1000/9.81/$O$47*$D$193*#REF!-$N$47/$O$47*$C$20*$F$21</x:f>
        <x:v>#REF!</x:v>
      </x:c>
      <x:c r="Y114" s="162" t="e">
        <x:f>(SQRT(((-#REF!*SIN($F$18*PI()/180)*$F$21)*$C$25*1000)^2+(0.001*$C$25*1000*$F$21)^2)/$C$30+(-#REF!*COS($F$18*PI()/180)*$F$21)*$C$25*1000)/9.81*$Y$99/$O$47*$F$193*#REF!-$N$47/$O$47*$C$20*$F$21</x:f>
        <x:v>#REF!</x:v>
      </x:c>
      <x:c r="Z114" s="161">
        <x:f ca="1">(-'int. presets cp_10d'!J28*COS($F$18*PI()/180)*$F$21)*$Z$99*$C$25*1000/9.81/$O$47*$D$193*'int. presets cp_10d'!$J$214-$N$47/$O$47*$C$20*$F$21</x:f>
        <x:v>16.66217369741204</x:v>
      </x:c>
      <x:c r="AA114" s="1030">
        <x:f ca="1">(SQRT(((-'int. presets cp_10d'!E28*SIN($F$18*PI()/180)*$F$21)*$C$25*1000)^2+(0.001*$C$25*1000*$F$21)^2)/$C$30+(-'int. presets cp_10d'!E28*COS($F$18*PI()/180)*$F$21)*$C$25*1000)/9.81*$AA$99/$O$47*$F$193*'int. presets cp_10d'!$E$214-$N$47/$O$47*$C$20*$F$21</x:f>
        <x:v>23.798644677037121</x:v>
      </x:c>
      <x:c r="AB114" s="178"/>
      <x:c r="BC114" s="178"/>
      <x:c r="BD114" s="178"/>
      <x:c r="BE114" s="178"/>
      <x:c r="BF114" s="178"/>
      <x:c r="BG114" s="178"/>
      <x:c r="BH114" s="178"/>
      <x:c r="BI114" s="178"/>
      <x:c r="BJ114" s="178"/>
      <x:c r="BK114" s="178"/>
      <x:c r="BL114" s="178"/>
      <x:c r="BM114" s="178"/>
      <x:c r="BN114" s="178"/>
      <x:c r="BO114" s="178"/>
      <x:c r="BP114" s="178"/>
      <x:c r="BQ114" s="178"/>
      <x:c r="BR114" s="178"/>
      <x:c r="BS114" s="178"/>
      <x:c r="BT114" s="178"/>
      <x:c r="BU114" s="178"/>
      <x:c r="BV114" s="178"/>
      <x:c r="EC114" s="178"/>
    </x:row>
    <x:row r="115" spans="2:133" ht="13.5" thickBot="1" x14ac:dyDescent="0.25">
      <x:c r="B115" s="1348" t="e">
        <x:v>#REF!</x:v>
      </x:c>
      <x:c r="C115" s="1349">
        <x:v>0</x:v>
      </x:c>
      <x:c r="D115" s="1350">
        <x:v>0</x:v>
      </x:c>
      <x:c r="E115" s="481" t="s">
        <x:v>462</x:v>
      </x:c>
      <x:c r="F115" s="1055" t="e">
        <x:f t="shared" si="78"/>
        <x:v>#REF!</x:v>
      </x:c>
      <x:c r="G115" s="1055" t="e">
        <x:f t="shared" si="79"/>
        <x:v>#REF!</x:v>
      </x:c>
      <x:c r="H115" s="1055" t="e">
        <x:f t="shared" si="72"/>
        <x:v>#REF!</x:v>
      </x:c>
      <x:c r="I115" s="1056" t="e">
        <x:f t="shared" si="73"/>
        <x:v>#REF!</x:v>
      </x:c>
      <x:c r="J115" s="1055" t="e">
        <x:f t="shared" si="74"/>
        <x:v>#REF!</x:v>
      </x:c>
      <x:c r="K115" s="1063" t="e">
        <x:f t="shared" si="75"/>
        <x:v>#REF!</x:v>
      </x:c>
      <x:c r="L115" s="941">
        <x:f t="shared" ca="1" si="76"/>
        <x:v>22.578823705728535</x:v>
      </x:c>
      <x:c r="M115" s="1072">
        <x:f t="shared" ca="1" si="77"/>
        <x:v>49.777726318123236</x:v>
      </x:c>
      <x:c r="N115" s="1068" t="e">
        <x:f>(-#REF!*COS($F$18*PI()/180)*$F$21)*$N$99*$C$25*1000/9.81/$O$47*$D$193*#REF!-$N$47/$O$47*$C$20*$F$21</x:f>
        <x:v>#REF!</x:v>
      </x:c>
      <x:c r="O115" s="164" t="e">
        <x:f>(SQRT(((-#REF!*SIN($F$18*PI()/180)*$F$21)*$C$25*1000)^2+(0.001*$C$25*1000*$F$21)^2)/$C$30+(-#REF!*COS($F$18*PI()/180)*$F$21)*$C$25*1000)/9.81*$O$99/$O$47*$F$193*#REF!-$N$47/$O$47*$C$20*$F$21</x:f>
        <x:v>#REF!</x:v>
      </x:c>
      <x:c r="P115" s="199" t="e">
        <x:f>(-#REF!*COS($F$18*PI()/180)*$F$21)*$P$99*$C$25*1000/9.81/$O$47*$D$193*#REF!-$N$47/$O$47*$C$20*$F$21</x:f>
        <x:v>#REF!</x:v>
      </x:c>
      <x:c r="Q115" s="164" t="e">
        <x:f>(SQRT(((-#REF!*SIN($F$18*PI()/180)*$F$21)*$C$25*1000)^2+(0.001*$C$25*1000*$F$21)^2)/$C$30+(-#REF!*COS($F$18*PI()/180)*$F$21)*$C$25*1000)/9.81*$Q$99/$O$47*$F$193*#REF!-$N$47/$O$47*$C$20*$F$21</x:f>
        <x:v>#REF!</x:v>
      </x:c>
      <x:c r="R115" s="199" t="e">
        <x:f>(-#REF!*COS($F$18*PI()/180)*$F$21)*$R$99*$C$25*1000/9.81/$O$47*$D$193*#REF!-$N$47/$O$47*$C$20*$F$21</x:f>
        <x:v>#REF!</x:v>
      </x:c>
      <x:c r="S115" s="164" t="e">
        <x:f>(SQRT(((-#REF!*SIN($F$18*PI()/180)*$F$21)*$C$25*1000)^2+(0.001*$C$25*1000*$F$21)^2)/$C$30+(-#REF!*COS($F$18*PI()/180)*$F$21)*$C$25*1000)/9.81*$S$99/$O$47*$F$193*#REF!-$N$47/$O$47*$C$20*$F$21</x:f>
        <x:v>#REF!</x:v>
      </x:c>
      <x:c r="T115" s="199" t="e">
        <x:f>(-#REF!*COS($F$18*PI()/180)*$F$21)*$T$99*$C$25*1000/9.81/$O$47*$D$193*#REF!-$N$47/$O$47*$C$20*$F$21</x:f>
        <x:v>#REF!</x:v>
      </x:c>
      <x:c r="U115" s="164" t="e">
        <x:f>(SQRT(((-#REF!*SIN($F$18*PI()/180)*$F$21)*$C$25*1000)^2+(0.001*$C$25*1000*$F$21)^2)/$C$30+(-#REF!*COS($F$18*PI()/180)*$F$21)*$C$25*1000)/9.81*$U$99/$O$47*$F$193*#REF!-$N$47/$O$47*$C$20*$F$21</x:f>
        <x:v>#REF!</x:v>
      </x:c>
      <x:c r="V115" s="199" t="e">
        <x:f>(-#REF!*COS($F$18*PI()/180)*$F$21)*$V$99*$C$25*1000/9.81/$O$47*$D$193*#REF!-$N$47/$O$47*$C$20*$F$21</x:f>
        <x:v>#REF!</x:v>
      </x:c>
      <x:c r="W115" s="164" t="e">
        <x:f>(SQRT(((-#REF!*SIN($F$18*PI()/180)*$F$21)*$C$25*1000)^2+(0.001*$C$25*1000*$F$21)^2)/$C$30+(-#REF!*COS($F$18*PI()/180)*$F$21)*$C$25*1000)/9.81*$W$99/$O$47*$F$193*#REF!-$N$47/$O$47*$C$20*$F$21</x:f>
        <x:v>#REF!</x:v>
      </x:c>
      <x:c r="X115" s="199" t="e">
        <x:f>(-#REF!*COS($F$18*PI()/180)*$F$21)*$X$99*$C$25*1000/9.81/$O$47*$D$193*#REF!-$N$47/$O$47*$C$20*$F$21</x:f>
        <x:v>#REF!</x:v>
      </x:c>
      <x:c r="Y115" s="164" t="e">
        <x:f>(SQRT(((-#REF!*SIN($F$18*PI()/180)*$F$21)*$C$25*1000)^2+(0.001*$C$25*1000*$F$21)^2)/$C$30+(-#REF!*COS($F$18*PI()/180)*$F$21)*$C$25*1000)/9.81*$Y$99/$O$47*$F$193*#REF!-$N$47/$O$47*$C$20*$F$21</x:f>
        <x:v>#REF!</x:v>
      </x:c>
      <x:c r="Z115" s="199">
        <x:f ca="1">(-'int. presets cp_10d'!J29*COS($F$18*PI()/180)*$F$21)*$Z$99*$C$25*1000/9.81/$O$47*$D$193*'int. presets cp_10d'!$J$214-$N$47/$O$47*$C$20*$F$21</x:f>
        <x:v>16.092611014613315</x:v>
      </x:c>
      <x:c r="AA115" s="1028">
        <x:f ca="1">(SQRT(((-'int. presets cp_10d'!E29*SIN($F$18*PI()/180)*$F$21)*$C$25*1000)^2+(0.001*$C$25*1000*$F$21)^2)/$C$30+(-'int. presets cp_10d'!E29*COS($F$18*PI()/180)*$F$21)*$C$25*1000)/9.81*$AA$99/$O$47*$F$193*'int. presets cp_10d'!$E$214-$N$47/$O$47*$C$20*$F$21</x:f>
        <x:v>22.578823705728535</x:v>
      </x:c>
    </x:row>
    <x:row r="116" spans="2:133" ht="12.75" customHeight="1" x14ac:dyDescent="0.2">
      <x:c r="B116" s="1345" t="s">
        <x:v>464</x:v>
      </x:c>
      <x:c r="C116" s="1346">
        <x:v>0</x:v>
      </x:c>
      <x:c r="D116" s="1347" t="s">
        <x:v>464</x:v>
      </x:c>
      <x:c r="E116" s="479" t="s">
        <x:v>461</x:v>
      </x:c>
      <x:c r="F116" s="1057" t="e">
        <x:f t="shared" si="78"/>
        <x:v>#REF!</x:v>
      </x:c>
      <x:c r="G116" s="1057" t="e">
        <x:f t="shared" si="79"/>
        <x:v>#REF!</x:v>
      </x:c>
      <x:c r="H116" s="1057" t="e">
        <x:f t="shared" si="72"/>
        <x:v>#REF!</x:v>
      </x:c>
      <x:c r="I116" s="1054" t="e">
        <x:f t="shared" si="73"/>
        <x:v>#REF!</x:v>
      </x:c>
      <x:c r="J116" s="1057" t="e">
        <x:f t="shared" si="74"/>
        <x:v>#REF!</x:v>
      </x:c>
      <x:c r="K116" s="1064" t="e">
        <x:f t="shared" si="75"/>
        <x:v>#REF!</x:v>
      </x:c>
      <x:c r="L116" s="940">
        <x:f t="shared" ca="1" si="76"/>
        <x:v>22.026683559355281</x:v>
      </x:c>
      <x:c r="M116" s="1073">
        <x:f t="shared" ca="1" si="77"/>
        <x:v>48.560467108625836</x:v>
      </x:c>
      <x:c r="N116" s="1069" t="e">
        <x:f>(-#REF!*COS($F$18*PI()/180)*$F$21)*$N$99*$C$25*1000/9.81/$O$47*$D$193*#REF!-$N$47/$O$47*$C$20*$F$21</x:f>
        <x:v>#REF!</x:v>
      </x:c>
      <x:c r="O116" s="162" t="e">
        <x:f>(SQRT(((-#REF!*SIN($F$18*PI()/180)*$F$21)*$C$25*1000)^2+(0.001*$C$25*1000*$F$21)^2)/$C$30+(-#REF!*COS($F$18*PI()/180)*$F$21)*$C$25*1000)/9.81*$O$99/$O$47*$F$193*#REF!-$N$47/$O$47*$C$20*$F$21</x:f>
        <x:v>#REF!</x:v>
      </x:c>
      <x:c r="P116" s="161" t="e">
        <x:f>(-#REF!*COS($F$18*PI()/180)*$F$21)*$P$99*$C$25*1000/9.81/$O$47*$D$193*#REF!-$N$47/$O$47*$C$20*$F$21</x:f>
        <x:v>#REF!</x:v>
      </x:c>
      <x:c r="Q116" s="162" t="e">
        <x:f>(SQRT(((-#REF!*SIN($F$18*PI()/180)*$F$21)*$C$25*1000)^2+(0.001*$C$25*1000*$F$21)^2)/$C$30+(-#REF!*COS($F$18*PI()/180)*$F$21)*$C$25*1000)/9.81*$Q$99/$O$47*$F$193*#REF!-$N$47/$O$47*$C$20*$F$21</x:f>
        <x:v>#REF!</x:v>
      </x:c>
      <x:c r="R116" s="161" t="e">
        <x:f>(-#REF!*COS($F$18*PI()/180)*$F$21)*$R$99*$C$25*1000/9.81/$O$47*$D$193*#REF!-$N$47/$O$47*$C$20*$F$21</x:f>
        <x:v>#REF!</x:v>
      </x:c>
      <x:c r="S116" s="162" t="e">
        <x:f>(SQRT(((-#REF!*SIN($F$18*PI()/180)*$F$21)*$C$25*1000)^2+(0.001*$C$25*1000*$F$21)^2)/$C$30+(-#REF!*COS($F$18*PI()/180)*$F$21)*$C$25*1000)/9.81*$S$99/$O$47*$F$193*#REF!-$N$47/$O$47*$C$20*$F$21</x:f>
        <x:v>#REF!</x:v>
      </x:c>
      <x:c r="T116" s="161" t="e">
        <x:f>(-#REF!*COS($F$18*PI()/180)*$F$21)*$T$99*$C$25*1000/9.81/$O$47*$D$193*#REF!-$N$47/$O$47*$C$20*$F$21</x:f>
        <x:v>#REF!</x:v>
      </x:c>
      <x:c r="U116" s="162" t="e">
        <x:f>(SQRT(((-#REF!*SIN($F$18*PI()/180)*$F$21)*$C$25*1000)^2+(0.001*$C$25*1000*$F$21)^2)/$C$30+(-#REF!*COS($F$18*PI()/180)*$F$21)*$C$25*1000)/9.81*$U$99/$O$47*$F$193*#REF!-$N$47/$O$47*$C$20*$F$21</x:f>
        <x:v>#REF!</x:v>
      </x:c>
      <x:c r="V116" s="161" t="e">
        <x:f>(-#REF!*COS($F$18*PI()/180)*$F$21)*$V$99*$C$25*1000/9.81/$O$47*$D$193*#REF!-$N$47/$O$47*$C$20*$F$21</x:f>
        <x:v>#REF!</x:v>
      </x:c>
      <x:c r="W116" s="162" t="e">
        <x:f>(SQRT(((-#REF!*SIN($F$18*PI()/180)*$F$21)*$C$25*1000)^2+(0.001*$C$25*1000*$F$21)^2)/$C$30+(-#REF!*COS($F$18*PI()/180)*$F$21)*$C$25*1000)/9.81*$W$99/$O$47*$F$193*#REF!-$N$47/$O$47*$C$20*$F$21</x:f>
        <x:v>#REF!</x:v>
      </x:c>
      <x:c r="X116" s="161" t="e">
        <x:f>(-#REF!*COS($F$18*PI()/180)*$F$21)*$X$99*$C$25*1000/9.81/$O$47*$D$193*#REF!-$N$47/$O$47*$C$20*$F$21</x:f>
        <x:v>#REF!</x:v>
      </x:c>
      <x:c r="Y116" s="162" t="e">
        <x:f>(SQRT(((-#REF!*SIN($F$18*PI()/180)*$F$21)*$C$25*1000)^2+(0.001*$C$25*1000*$F$21)^2)/$C$30+(-#REF!*COS($F$18*PI()/180)*$F$21)*$C$25*1000)/9.81*$Y$99/$O$47*$F$193*#REF!-$N$47/$O$47*$C$20*$F$21</x:f>
        <x:v>#REF!</x:v>
      </x:c>
      <x:c r="Z116" s="161">
        <x:f ca="1">(-'int. presets cp_10d'!J30*COS($F$18*PI()/180)*$F$21)*$Z$99*$C$25*1000/9.81/$O$47*$D$193*'int. presets cp_10d'!$J$214-$N$47/$O$47*$C$20*$F$21</x:f>
        <x:v>16.631983888356348</x:v>
      </x:c>
      <x:c r="AA116" s="1030">
        <x:f ca="1">(SQRT(((-'int. presets cp_10d'!E30*SIN($F$18*PI()/180)*$F$21)*$C$25*1000)^2+(0.001*$C$25*1000*$F$21)^2)/$C$30+(-'int. presets cp_10d'!E30*COS($F$18*PI()/180)*$F$21)*$C$25*1000)/9.81*$AA$99/$O$47*$F$193*'int. presets cp_10d'!$E$214-$N$47/$O$47*$C$20*$F$21</x:f>
        <x:v>22.026683559355281</x:v>
      </x:c>
    </x:row>
    <x:row r="117" spans="2:133" ht="13.5" customHeight="1" thickBot="1" x14ac:dyDescent="0.25">
      <x:c r="B117" s="1348" t="e">
        <x:v>#REF!</x:v>
      </x:c>
      <x:c r="C117" s="1349">
        <x:v>0</x:v>
      </x:c>
      <x:c r="D117" s="1350">
        <x:v>0</x:v>
      </x:c>
      <x:c r="E117" s="481" t="s">
        <x:v>462</x:v>
      </x:c>
      <x:c r="F117" s="1055" t="e">
        <x:f t="shared" si="78"/>
        <x:v>#REF!</x:v>
      </x:c>
      <x:c r="G117" s="1055" t="e">
        <x:f t="shared" si="79"/>
        <x:v>#REF!</x:v>
      </x:c>
      <x:c r="H117" s="1055" t="e">
        <x:f t="shared" si="72"/>
        <x:v>#REF!</x:v>
      </x:c>
      <x:c r="I117" s="1056" t="e">
        <x:f t="shared" si="73"/>
        <x:v>#REF!</x:v>
      </x:c>
      <x:c r="J117" s="1055" t="e">
        <x:f t="shared" si="74"/>
        <x:v>#REF!</x:v>
      </x:c>
      <x:c r="K117" s="1063" t="e">
        <x:f t="shared" si="75"/>
        <x:v>#REF!</x:v>
      </x:c>
      <x:c r="L117" s="941">
        <x:f t="shared" ca="1" si="76"/>
        <x:v>28.710287012697759</x:v>
      </x:c>
      <x:c r="M117" s="1072">
        <x:f t="shared" ca="1" si="77"/>
        <x:v>63.295272953933726</x:v>
      </x:c>
      <x:c r="N117" s="1068" t="e">
        <x:f>(-#REF!*COS($F$18*PI()/180)*$F$21)*$N$99*$C$25*1000/9.81/$O$47*$D$193*#REF!-$N$47/$O$47*$C$20*$F$21</x:f>
        <x:v>#REF!</x:v>
      </x:c>
      <x:c r="O117" s="164" t="e">
        <x:f>(SQRT(((-#REF!*SIN($F$18*PI()/180)*$F$21)*$C$25*1000)^2+(0.001*$C$25*1000*$F$21)^2)/$C$30+(-#REF!*COS($F$18*PI()/180)*$F$21)*$C$25*1000)/9.81*$O$99/$O$47*$F$193*#REF!-$N$47/$O$47*$C$20*$F$21</x:f>
        <x:v>#REF!</x:v>
      </x:c>
      <x:c r="P117" s="199" t="e">
        <x:f>(-#REF!*COS($F$18*PI()/180)*$F$21)*$P$99*$C$25*1000/9.81/$O$47*$D$193*#REF!-$N$47/$O$47*$C$20*$F$21</x:f>
        <x:v>#REF!</x:v>
      </x:c>
      <x:c r="Q117" s="164" t="e">
        <x:f>(SQRT(((-#REF!*SIN($F$18*PI()/180)*$F$21)*$C$25*1000)^2+(0.001*$C$25*1000*$F$21)^2)/$C$30+(-#REF!*COS($F$18*PI()/180)*$F$21)*$C$25*1000)/9.81*$Q$99/$O$47*$F$193*#REF!-$N$47/$O$47*$C$20*$F$21</x:f>
        <x:v>#REF!</x:v>
      </x:c>
      <x:c r="R117" s="199" t="e">
        <x:f>(-#REF!*COS($F$18*PI()/180)*$F$21)*$R$99*$C$25*1000/9.81/$O$47*$D$193*#REF!-$N$47/$O$47*$C$20*$F$21</x:f>
        <x:v>#REF!</x:v>
      </x:c>
      <x:c r="S117" s="164" t="e">
        <x:f>(SQRT(((-#REF!*SIN($F$18*PI()/180)*$F$21)*$C$25*1000)^2+(0.001*$C$25*1000*$F$21)^2)/$C$30+(-#REF!*COS($F$18*PI()/180)*$F$21)*$C$25*1000)/9.81*$S$99/$O$47*$F$193*#REF!-$N$47/$O$47*$C$20*$F$21</x:f>
        <x:v>#REF!</x:v>
      </x:c>
      <x:c r="T117" s="199" t="e">
        <x:f>(-#REF!*COS($F$18*PI()/180)*$F$21)*$T$99*$C$25*1000/9.81/$O$47*$D$193*#REF!-$N$47/$O$47*$C$20*$F$21</x:f>
        <x:v>#REF!</x:v>
      </x:c>
      <x:c r="U117" s="164" t="e">
        <x:f>(SQRT(((-#REF!*SIN($F$18*PI()/180)*$F$21)*$C$25*1000)^2+(0.001*$C$25*1000*$F$21)^2)/$C$30+(-#REF!*COS($F$18*PI()/180)*$F$21)*$C$25*1000)/9.81*$U$99/$O$47*$F$193*#REF!-$N$47/$O$47*$C$20*$F$21</x:f>
        <x:v>#REF!</x:v>
      </x:c>
      <x:c r="V117" s="199" t="e">
        <x:f>(-#REF!*COS($F$18*PI()/180)*$F$21)*$V$99*$C$25*1000/9.81/$O$47*$D$193*#REF!-$N$47/$O$47*$C$20*$F$21</x:f>
        <x:v>#REF!</x:v>
      </x:c>
      <x:c r="W117" s="164" t="e">
        <x:f>(SQRT(((-#REF!*SIN($F$18*PI()/180)*$F$21)*$C$25*1000)^2+(0.001*$C$25*1000*$F$21)^2)/$C$30+(-#REF!*COS($F$18*PI()/180)*$F$21)*$C$25*1000)/9.81*$W$99/$O$47*$F$193*#REF!-$N$47/$O$47*$C$20*$F$21</x:f>
        <x:v>#REF!</x:v>
      </x:c>
      <x:c r="X117" s="199" t="e">
        <x:f>(-#REF!*COS($F$18*PI()/180)*$F$21)*$X$99*$C$25*1000/9.81/$O$47*$D$193*#REF!-$N$47/$O$47*$C$20*$F$21</x:f>
        <x:v>#REF!</x:v>
      </x:c>
      <x:c r="Y117" s="164" t="e">
        <x:f>(SQRT(((-#REF!*SIN($F$18*PI()/180)*$F$21)*$C$25*1000)^2+(0.001*$C$25*1000*$F$21)^2)/$C$30+(-#REF!*COS($F$18*PI()/180)*$F$21)*$C$25*1000)/9.81*$Y$99/$O$47*$F$193*#REF!-$N$47/$O$47*$C$20*$F$21</x:f>
        <x:v>#REF!</x:v>
      </x:c>
      <x:c r="Z117" s="199">
        <x:f ca="1">(-'int. presets cp_10d'!J31*COS($F$18*PI()/180)*$F$21)*$Z$99*$C$25*1000/9.81/$O$47*$D$193*'int. presets cp_10d'!$J$214-$N$47/$O$47*$C$20*$F$21</x:f>
        <x:v>28.710287012697759</x:v>
      </x:c>
      <x:c r="AA117" s="1028">
        <x:f ca="1">(SQRT(((-'int. presets cp_10d'!E31*SIN($F$18*PI()/180)*$F$21)*$C$25*1000)^2+(0.001*$C$25*1000*$F$21)^2)/$C$30+(-'int. presets cp_10d'!E31*COS($F$18*PI()/180)*$F$21)*$C$25*1000)/9.81*$AA$99/$O$47*$F$193*'int. presets cp_10d'!$E$214-$N$47/$O$47*$C$20*$F$21</x:f>
        <x:v>25.081822929356992</x:v>
      </x:c>
    </x:row>
    <x:row r="118" spans="2:133" x14ac:dyDescent="0.2">
      <x:c r="B118" s="1345" t="s">
        <x:v>465</x:v>
      </x:c>
      <x:c r="C118" s="1346">
        <x:v>0</x:v>
      </x:c>
      <x:c r="D118" s="1347" t="s">
        <x:v>465</x:v>
      </x:c>
      <x:c r="E118" s="479" t="s">
        <x:v>461</x:v>
      </x:c>
      <x:c r="F118" s="1057" t="e">
        <x:f t="shared" si="78"/>
        <x:v>#REF!</x:v>
      </x:c>
      <x:c r="G118" s="1057" t="e">
        <x:f t="shared" si="79"/>
        <x:v>#REF!</x:v>
      </x:c>
      <x:c r="H118" s="1057" t="e">
        <x:f t="shared" si="72"/>
        <x:v>#REF!</x:v>
      </x:c>
      <x:c r="I118" s="1054" t="e">
        <x:f t="shared" si="73"/>
        <x:v>#REF!</x:v>
      </x:c>
      <x:c r="J118" s="1057" t="e">
        <x:f t="shared" si="74"/>
        <x:v>#REF!</x:v>
      </x:c>
      <x:c r="K118" s="1064" t="e">
        <x:f t="shared" si="75"/>
        <x:v>#REF!</x:v>
      </x:c>
      <x:c r="L118" s="940">
        <x:f t="shared" ca="1" si="76"/>
        <x:v>23.113312740662909</x:v>
      </x:c>
      <x:c r="M118" s="1073">
        <x:f t="shared" ca="1" si="77"/>
        <x:v>50.956071534320259</x:v>
      </x:c>
      <x:c r="N118" s="1069" t="e">
        <x:f>(-#REF!*COS($F$18*PI()/180)*$F$21)*$N$99*$C$25*1000/9.81/$O$47*$D$193*#REF!-$N$47/$O$47*$C$20*$F$21</x:f>
        <x:v>#REF!</x:v>
      </x:c>
      <x:c r="O118" s="198" t="e">
        <x:f>(SQRT(((-#REF!*SIN($F$18*PI()/180)*$F$21)*$C$25*1000)^2+(0.001*$C$25*1000*$F$21)^2)/$C$30+(-#REF!*COS($F$18*PI()/180)*$F$21)*$C$25*1000)/9.81*$O$99/$O$47*$F$193*#REF!-$N$47/$O$47*$C$20*$F$21</x:f>
        <x:v>#REF!</x:v>
      </x:c>
      <x:c r="P118" s="161" t="e">
        <x:f>(-#REF!*COS($F$18*PI()/180)*$F$21)*$P$99*$C$25*1000/9.81/$O$47*$D$193*#REF!-$N$47/$O$47*$C$20*$F$21</x:f>
        <x:v>#REF!</x:v>
      </x:c>
      <x:c r="Q118" s="198" t="e">
        <x:f>(SQRT(((-#REF!*SIN($F$18*PI()/180)*$F$21)*$C$25*1000)^2+(0.001*$C$25*1000*$F$21)^2)/$C$30+(-#REF!*COS($F$18*PI()/180)*$F$21)*$C$25*1000)/9.81*$Q$99/$O$47*$F$193*#REF!-$N$47/$O$47*$C$20*$F$21</x:f>
        <x:v>#REF!</x:v>
      </x:c>
      <x:c r="R118" s="161" t="e">
        <x:f>(-#REF!*COS($F$18*PI()/180)*$F$21)*$R$99*$C$25*1000/9.81/$O$47*$D$193*#REF!-$N$47/$O$47*$C$20*$F$21</x:f>
        <x:v>#REF!</x:v>
      </x:c>
      <x:c r="S118" s="198" t="e">
        <x:f>(SQRT(((-#REF!*SIN($F$18*PI()/180)*$F$21)*$C$25*1000)^2+(0.001*$C$25*1000*$F$21)^2)/$C$30+(-#REF!*COS($F$18*PI()/180)*$F$21)*$C$25*1000)/9.81*$S$99/$O$47*$F$193*#REF!-$N$47/$O$47*$C$20*$F$21</x:f>
        <x:v>#REF!</x:v>
      </x:c>
      <x:c r="T118" s="161" t="e">
        <x:f>(-#REF!*COS($F$18*PI()/180)*$F$21)*$T$99*$C$25*1000/9.81/$O$47*$D$193*#REF!-$N$47/$O$47*$C$20*$F$21</x:f>
        <x:v>#REF!</x:v>
      </x:c>
      <x:c r="U118" s="198" t="e">
        <x:f>(SQRT(((-#REF!*SIN($F$18*PI()/180)*$F$21)*$C$25*1000)^2+(0.001*$C$25*1000*$F$21)^2)/$C$30+(-#REF!*COS($F$18*PI()/180)*$F$21)*$C$25*1000)/9.81*$U$99/$O$47*$F$193*#REF!-$N$47/$O$47*$C$20*$F$21</x:f>
        <x:v>#REF!</x:v>
      </x:c>
      <x:c r="V118" s="161" t="e">
        <x:f>(-#REF!*COS($F$18*PI()/180)*$F$21)*$V$99*$C$25*1000/9.81/$O$47*$D$193*#REF!-$N$47/$O$47*$C$20*$F$21</x:f>
        <x:v>#REF!</x:v>
      </x:c>
      <x:c r="W118" s="198" t="e">
        <x:f>(SQRT(((-#REF!*SIN($F$18*PI()/180)*$F$21)*$C$25*1000)^2+(0.001*$C$25*1000*$F$21)^2)/$C$30+(-#REF!*COS($F$18*PI()/180)*$F$21)*$C$25*1000)/9.81*$W$99/$O$47*$F$193*#REF!-$N$47/$O$47*$C$20*$F$21</x:f>
        <x:v>#REF!</x:v>
      </x:c>
      <x:c r="X118" s="161" t="e">
        <x:f>(-#REF!*COS($F$18*PI()/180)*$F$21)*$X$99*$C$25*1000/9.81/$O$47*$D$193*#REF!-$N$47/$O$47*$C$20*$F$21</x:f>
        <x:v>#REF!</x:v>
      </x:c>
      <x:c r="Y118" s="198" t="e">
        <x:f>(SQRT(((-#REF!*SIN($F$18*PI()/180)*$F$21)*$C$25*1000)^2+(0.001*$C$25*1000*$F$21)^2)/$C$30+(-#REF!*COS($F$18*PI()/180)*$F$21)*$C$25*1000)/9.81*$Y$99/$O$47*$F$193*#REF!-$N$47/$O$47*$C$20*$F$21</x:f>
        <x:v>#REF!</x:v>
      </x:c>
      <x:c r="Z118" s="161">
        <x:f ca="1">(-'int. presets cp_10d'!J32*COS($F$18*PI()/180)*$F$21)*$Z$99*$C$25*1000/9.81/$O$47*$D$193*'int. presets cp_10d'!$J$214-$N$47/$O$47*$C$20*$F$21</x:f>
        <x:v>9.8281194120027457</x:v>
      </x:c>
      <x:c r="AA118" s="1026">
        <x:f ca="1">(SQRT(((-'int. presets cp_10d'!E32*SIN($F$18*PI()/180)*$F$21)*$C$25*1000)^2+(0.001*$C$25*1000*$F$21)^2)/$C$30+(-'int. presets cp_10d'!E32*COS($F$18*PI()/180)*$F$21)*$C$25*1000)/9.81*$AA$99/$O$47*$F$193*'int. presets cp_10d'!$E$214-$N$47/$O$47*$C$20*$F$21</x:f>
        <x:v>23.113312740662909</x:v>
      </x:c>
    </x:row>
    <x:row r="119" spans="2:133" ht="13.5" customHeight="1" thickBot="1" x14ac:dyDescent="0.25">
      <x:c r="B119" s="1351" t="e">
        <x:v>#REF!</x:v>
      </x:c>
      <x:c r="C119" s="1352">
        <x:v>0</x:v>
      </x:c>
      <x:c r="D119" s="1353">
        <x:v>0</x:v>
      </x:c>
      <x:c r="E119" s="989" t="s">
        <x:v>462</x:v>
      </x:c>
      <x:c r="F119" s="1055" t="e">
        <x:f t="shared" si="78"/>
        <x:v>#REF!</x:v>
      </x:c>
      <x:c r="G119" s="1055" t="e">
        <x:f t="shared" si="79"/>
        <x:v>#REF!</x:v>
      </x:c>
      <x:c r="H119" s="1055" t="e">
        <x:f>MAX(R119,S119)</x:f>
        <x:v>#REF!</x:v>
      </x:c>
      <x:c r="I119" s="1056" t="e">
        <x:f t="shared" si="73"/>
        <x:v>#REF!</x:v>
      </x:c>
      <x:c r="J119" s="1055" t="e">
        <x:f t="shared" si="74"/>
        <x:v>#REF!</x:v>
      </x:c>
      <x:c r="K119" s="1063" t="e">
        <x:f t="shared" si="75"/>
        <x:v>#REF!</x:v>
      </x:c>
      <x:c r="L119" s="990">
        <x:f t="shared" ca="1" si="76"/>
        <x:v>23.113312740662909</x:v>
      </x:c>
      <x:c r="M119" s="1072">
        <x:f t="shared" ca="1" si="77"/>
        <x:v>50.956071534320259</x:v>
      </x:c>
      <x:c r="N119" s="1069" t="e">
        <x:f>(-#REF!*COS($F$18*PI()/180)*$F$21)*$N$99*$C$25*1000/9.81/$O$47*$D$193*#REF!-$N$47/$O$47*$C$20*$F$21</x:f>
        <x:v>#REF!</x:v>
      </x:c>
      <x:c r="O119" s="162" t="e">
        <x:f>(SQRT(((-#REF!*SIN($F$18*PI()/180)*$F$21)*$C$25*1000)^2+(0.001*$C$25*1000*$F$21)^2)/$C$30+(-#REF!*COS($F$18*PI()/180)*$F$21)*$C$25*1000)/9.81*$O$99/$O$47*$F$193*#REF!-$N$47/$O$47*$C$20*$F$21</x:f>
        <x:v>#REF!</x:v>
      </x:c>
      <x:c r="P119" s="161" t="e">
        <x:f>(-#REF!*COS($F$18*PI()/180)*$F$21)*$P$99*$C$25*1000/9.81/$O$47*$D$193*#REF!-$N$47/$O$47*$C$20*$F$21</x:f>
        <x:v>#REF!</x:v>
      </x:c>
      <x:c r="Q119" s="162" t="e">
        <x:f>(SQRT(((-#REF!*SIN($F$18*PI()/180)*$F$21)*$C$25*1000)^2+(0.001*$C$25*1000*$F$21)^2)/$C$30+(-#REF!*COS($F$18*PI()/180)*$F$21)*$C$25*1000)/9.81*$Q$99/$O$47*$F$193*#REF!-$N$47/$O$47*$C$20*$F$21</x:f>
        <x:v>#REF!</x:v>
      </x:c>
      <x:c r="R119" s="161" t="e">
        <x:f>(-#REF!*COS($F$18*PI()/180)*$F$21)*$R$99*$C$25*1000/9.81/$O$47*$D$193*#REF!-$N$47/$O$47*$C$20*$F$21</x:f>
        <x:v>#REF!</x:v>
      </x:c>
      <x:c r="S119" s="162" t="e">
        <x:f>(SQRT(((-#REF!*SIN($F$18*PI()/180)*$F$21)*$C$25*1000)^2+(0.001*$C$25*1000*$F$21)^2)/$C$30+(-#REF!*COS($F$18*PI()/180)*$F$21)*$C$25*1000)/9.81*$S$99/$O$47*$F$193*#REF!-$N$47/$O$47*$C$20*$F$21</x:f>
        <x:v>#REF!</x:v>
      </x:c>
      <x:c r="T119" s="161" t="e">
        <x:f>(-#REF!*COS($F$18*PI()/180)*$F$21)*$T$99*$C$25*1000/9.81/$O$47*$D$193*#REF!-$N$47/$O$47*$C$20*$F$21</x:f>
        <x:v>#REF!</x:v>
      </x:c>
      <x:c r="U119" s="162" t="e">
        <x:f>(SQRT(((-#REF!*SIN($F$18*PI()/180)*$F$21)*$C$25*1000)^2+(0.001*$C$25*1000*$F$21)^2)/$C$30+(-#REF!*COS($F$18*PI()/180)*$F$21)*$C$25*1000)/9.81*$U$99/$O$47*$F$193*#REF!-$N$47/$O$47*$C$20*$F$21</x:f>
        <x:v>#REF!</x:v>
      </x:c>
      <x:c r="V119" s="161" t="e">
        <x:f>(-#REF!*COS($F$18*PI()/180)*$F$21)*$V$99*$C$25*1000/9.81/$O$47*$D$193*#REF!-$N$47/$O$47*$C$20*$F$21</x:f>
        <x:v>#REF!</x:v>
      </x:c>
      <x:c r="W119" s="162" t="e">
        <x:f>(SQRT(((-#REF!*SIN($F$18*PI()/180)*$F$21)*$C$25*1000)^2+(0.001*$C$25*1000*$F$21)^2)/$C$30+(-#REF!*COS($F$18*PI()/180)*$F$21)*$C$25*1000)/9.81*$W$99/$O$47*$F$193*#REF!-$N$47/$O$47*$C$20*$F$21</x:f>
        <x:v>#REF!</x:v>
      </x:c>
      <x:c r="X119" s="161" t="e">
        <x:f>(-#REF!*COS($F$18*PI()/180)*$F$21)*$X$99*$C$25*1000/9.81/$O$47*$D$193*#REF!-$N$47/$O$47*$C$20*$F$21</x:f>
        <x:v>#REF!</x:v>
      </x:c>
      <x:c r="Y119" s="162" t="e">
        <x:f>(SQRT(((-#REF!*SIN($F$18*PI()/180)*$F$21)*$C$25*1000)^2+(0.001*$C$25*1000*$F$21)^2)/$C$30+(-#REF!*COS($F$18*PI()/180)*$F$21)*$C$25*1000)/9.81*$Y$99/$O$47*$F$193*#REF!-$N$47/$O$47*$C$20*$F$21</x:f>
        <x:v>#REF!</x:v>
      </x:c>
      <x:c r="Z119" s="161">
        <x:f ca="1">(-'int. presets cp_10d'!J33*COS($F$18*PI()/180)*$F$21)*$Z$99*$C$25*1000/9.81/$O$47*$D$193*'int. presets cp_10d'!$J$214-$N$47/$O$47*$C$20*$F$21</x:f>
        <x:v>11.925219782141031</x:v>
      </x:c>
      <x:c r="AA119" s="1030">
        <x:f ca="1">(SQRT(((-'int. presets cp_10d'!E33*SIN($F$18*PI()/180)*$F$21)*$C$25*1000)^2+(0.001*$C$25*1000*$F$21)^2)/$C$30+(-'int. presets cp_10d'!E33*COS($F$18*PI()/180)*$F$21)*$C$25*1000)/9.81*$AA$99/$O$47*$F$193*'int. presets cp_10d'!$E$214-$N$47/$O$47*$C$20*$F$21</x:f>
        <x:v>23.113312740662909</x:v>
      </x:c>
    </x:row>
    <x:row r="120" spans="2:133" ht="16.5" customHeight="1" thickTop="1" thickBot="1" x14ac:dyDescent="0.25">
      <x:c r="B120" s="1380" t="s">
        <x:v>341</x:v>
      </x:c>
      <x:c r="C120" s="1381"/>
      <x:c r="D120" s="1381"/>
      <x:c r="E120" s="1381"/>
      <x:c r="F120" s="1381"/>
      <x:c r="G120" s="1381"/>
      <x:c r="H120" s="1381"/>
      <x:c r="I120" s="1381"/>
      <x:c r="J120" s="1381"/>
      <x:c r="K120" s="1381"/>
      <x:c r="L120" s="1382"/>
      <x:c r="M120" s="1067"/>
      <x:c r="N120" s="1006"/>
      <x:c r="O120" s="1007"/>
      <x:c r="P120" s="1007"/>
      <x:c r="Q120" s="1007"/>
      <x:c r="R120" s="1007"/>
      <x:c r="S120" s="1007"/>
      <x:c r="T120" s="1007"/>
      <x:c r="U120" s="1007"/>
      <x:c r="V120" s="1007"/>
      <x:c r="W120" s="1007"/>
      <x:c r="X120" s="1007"/>
      <x:c r="Y120" s="1007"/>
      <x:c r="Z120" s="1007"/>
      <x:c r="AA120" s="1010"/>
    </x:row>
    <x:row r="121" spans="2:133" x14ac:dyDescent="0.2">
      <x:c r="B121" s="1345" t="s">
        <x:v>460</x:v>
      </x:c>
      <x:c r="C121" s="1346">
        <x:v>0</x:v>
      </x:c>
      <x:c r="D121" s="1347">
        <x:v>0</x:v>
      </x:c>
      <x:c r="E121" s="350" t="s">
        <x:v>461</x:v>
      </x:c>
      <x:c r="F121" s="1053" t="e">
        <x:f t="shared" ref="F121:F128" si="80">MAX(N121,O121)</x:f>
        <x:v>#REF!</x:v>
      </x:c>
      <x:c r="G121" s="1053" t="e">
        <x:f t="shared" ref="G121:G128" si="81">MAX(P121,Q121)</x:f>
        <x:v>#REF!</x:v>
      </x:c>
      <x:c r="H121" s="1053" t="e">
        <x:f t="shared" si="72"/>
        <x:v>#REF!</x:v>
      </x:c>
      <x:c r="I121" s="1061" t="e">
        <x:f t="shared" si="73"/>
        <x:v>#REF!</x:v>
      </x:c>
      <x:c r="J121" s="1053" t="e">
        <x:f t="shared" si="74"/>
        <x:v>#REF!</x:v>
      </x:c>
      <x:c r="K121" s="1062" t="e">
        <x:f t="shared" si="75"/>
        <x:v>#REF!</x:v>
      </x:c>
      <x:c r="L121" s="940">
        <x:f t="shared" ca="1" si="76"/>
        <x:v>34.443815179957681</x:v>
      </x:c>
      <x:c r="M121" s="1071">
        <x:f t="shared" ca="1" si="77"/>
        <x:v>75.935523822038292</x:v>
      </x:c>
      <x:c r="N121" s="497" t="e">
        <x:f>(-#REF!*COS($F$18*PI()/180)*$F$21)*$N$99*$C$25*1000/9.81/$O$47*$D$193*#REF!-$N$47/$O$47*$C$20*$F$21</x:f>
        <x:v>#REF!</x:v>
      </x:c>
      <x:c r="O121" s="198" t="e">
        <x:f>(SQRT(((-#REF!*SIN($F$18*PI()/180)*$F$21)*$C$25*1000)^2+(0.001*$C$25*1000*$F$21)^2)/$C$30+(-#REF!*COS($F$18*PI()/180)*$F$21)*$C$25*1000)/9.81*$O$99/$O$47*$F$193*#REF!-$N$47/$O$47*$C$20*$F$21</x:f>
        <x:v>#REF!</x:v>
      </x:c>
      <x:c r="P121" s="181" t="e">
        <x:f>(-#REF!*COS($F$18*PI()/180)*$F$21)*$P$99*$C$25*1000/9.81/$O$47*$D$193*#REF!-$N$47/$O$47*$C$20*$F$21</x:f>
        <x:v>#REF!</x:v>
      </x:c>
      <x:c r="Q121" s="198" t="e">
        <x:f>(SQRT(((-#REF!*SIN($F$18*PI()/180)*$F$21)*$C$25*1000)^2+(0.001*$C$25*1000*$F$21)^2)/$C$30+(-#REF!*COS($F$18*PI()/180)*$F$21)*$C$25*1000)/9.81*$Q$99/$O$47*$F$193*#REF!-$N$47/$O$47*$C$20*$F$21</x:f>
        <x:v>#REF!</x:v>
      </x:c>
      <x:c r="R121" s="181" t="e">
        <x:f>(-#REF!*COS($F$18*PI()/180)*$F$21)*$R$99*$C$25*1000/9.81/$O$47*$D$193*#REF!-$N$47/$O$47*$C$20*$F$21</x:f>
        <x:v>#REF!</x:v>
      </x:c>
      <x:c r="S121" s="198" t="e">
        <x:f>(SQRT(((-#REF!*SIN($F$18*PI()/180)*$F$21)*$C$25*1000)^2+(0.001*$C$25*1000*$F$21)^2)/$C$30+(-#REF!*COS($F$18*PI()/180)*$F$21)*$C$25*1000)/9.81*$S$99/$O$47*$F$193*#REF!-$N$47/$O$47*$C$20*$F$21</x:f>
        <x:v>#REF!</x:v>
      </x:c>
      <x:c r="T121" s="181" t="e">
        <x:f>(-#REF!*COS($F$18*PI()/180)*$F$21)*$T$99*$C$25*1000/9.81/$O$47*$D$193*#REF!-$N$47/$O$47*$C$20*$F$21</x:f>
        <x:v>#REF!</x:v>
      </x:c>
      <x:c r="U121" s="198" t="e">
        <x:f>(SQRT(((-#REF!*SIN($F$18*PI()/180)*$F$21)*$C$25*1000)^2+(0.001*$C$25*1000*$F$21)^2)/$C$30+(-#REF!*COS($F$18*PI()/180)*$F$21)*$C$25*1000)/9.81*$U$99/$O$47*$F$193*#REF!-$N$47/$O$47*$C$20*$F$21</x:f>
        <x:v>#REF!</x:v>
      </x:c>
      <x:c r="V121" s="181" t="e">
        <x:f>(-#REF!*COS($F$18*PI()/180)*$F$21)*$V$99*$C$25*1000/9.81/$O$47*$D$193*#REF!-$N$47/$O$47*$C$20*$F$21</x:f>
        <x:v>#REF!</x:v>
      </x:c>
      <x:c r="W121" s="198" t="e">
        <x:f>(SQRT(((-#REF!*SIN($F$18*PI()/180)*$F$21)*$C$25*1000)^2+(0.001*$C$25*1000*$F$21)^2)/$C$30+(-#REF!*COS($F$18*PI()/180)*$F$21)*$C$25*1000)/9.81*$W$99/$O$47*$F$193*#REF!-$N$47/$O$47*$C$20*$F$21</x:f>
        <x:v>#REF!</x:v>
      </x:c>
      <x:c r="X121" s="181" t="e">
        <x:f>(-#REF!*COS($F$18*PI()/180)*$F$21)*$X$99*$C$25*1000/9.81/$O$47*$D$193*#REF!-$N$47/$O$47*$C$20*$F$21</x:f>
        <x:v>#REF!</x:v>
      </x:c>
      <x:c r="Y121" s="198" t="e">
        <x:f>(SQRT(((-#REF!*SIN($F$18*PI()/180)*$F$21)*$C$25*1000)^2+(0.001*$C$25*1000*$F$21)^2)/$C$30+(-#REF!*COS($F$18*PI()/180)*$F$21)*$C$25*1000)/9.81*$Y$99/$O$47*$F$193*#REF!-$N$47/$O$47*$C$20*$F$21</x:f>
        <x:v>#REF!</x:v>
      </x:c>
      <x:c r="Z121" s="181">
        <x:f ca="1">(-'int. presets cp_10d'!K26*COS($F$18*PI()/180)*$F$21)*$Z$99*$C$25*1000/9.81/$O$47*$D$193*'int. presets cp_10d'!$K$214-$N$47/$O$47*$C$20*$F$21</x:f>
        <x:v>34.443815179957681</x:v>
      </x:c>
      <x:c r="AA121" s="1026">
        <x:f ca="1">(SQRT(((-'int. presets cp_10d'!F26*SIN($F$18*PI()/180)*$F$21)*$C$25*1000)^2+(0.001*$C$25*1000*$F$21)^2)/$C$30+(-'int. presets cp_10d'!F26*COS($F$18*PI()/180)*$F$21)*$C$25*1000)/9.81*$AA$99/$O$47*$F$193*'int. presets cp_10d'!$F$214-$N$47/$O$47*$C$20*$F$21</x:f>
        <x:v>13.444432528507459</x:v>
      </x:c>
    </x:row>
    <x:row r="122" spans="2:133" ht="13.5" thickBot="1" x14ac:dyDescent="0.25">
      <x:c r="B122" s="1348">
        <x:v>0</x:v>
      </x:c>
      <x:c r="C122" s="1349">
        <x:v>0</x:v>
      </x:c>
      <x:c r="D122" s="1350">
        <x:v>0</x:v>
      </x:c>
      <x:c r="E122" s="344" t="s">
        <x:v>462</x:v>
      </x:c>
      <x:c r="F122" s="1055" t="e">
        <x:f t="shared" si="80"/>
        <x:v>#REF!</x:v>
      </x:c>
      <x:c r="G122" s="1055" t="e">
        <x:f t="shared" si="81"/>
        <x:v>#REF!</x:v>
      </x:c>
      <x:c r="H122" s="1055" t="e">
        <x:f t="shared" si="72"/>
        <x:v>#REF!</x:v>
      </x:c>
      <x:c r="I122" s="1056" t="e">
        <x:f t="shared" si="73"/>
        <x:v>#REF!</x:v>
      </x:c>
      <x:c r="J122" s="1055" t="e">
        <x:f t="shared" si="74"/>
        <x:v>#REF!</x:v>
      </x:c>
      <x:c r="K122" s="1063" t="e">
        <x:f t="shared" si="75"/>
        <x:v>#REF!</x:v>
      </x:c>
      <x:c r="L122" s="941">
        <x:f t="shared" ca="1" si="76"/>
        <x:v>24.223250891746513</x:v>
      </x:c>
      <x:c r="M122" s="1072">
        <x:f t="shared" ca="1" si="77"/>
        <x:v>53.403063380962195</x:v>
      </x:c>
      <x:c r="N122" s="1068" t="e">
        <x:f>(-#REF!*COS($F$18*PI()/180)*$F$21)*$N$99*$C$25*1000/9.81/$O$47*$D$193*#REF!-$N$47/$O$47*$C$20*$F$21</x:f>
        <x:v>#REF!</x:v>
      </x:c>
      <x:c r="O122" s="164" t="e">
        <x:f>(SQRT(((-#REF!*SIN($F$18*PI()/180)*$F$21)*$C$25*1000)^2+(0.001*$C$25*1000*$F$21)^2)/$C$30+(-#REF!*COS($F$18*PI()/180)*$F$21)*$C$25*1000)/9.81*$O$99/$O$47*$F$193*#REF!-$N$47/$O$47*$C$20*$F$21</x:f>
        <x:v>#REF!</x:v>
      </x:c>
      <x:c r="P122" s="199" t="e">
        <x:f>(-#REF!*COS($F$18*PI()/180)*$F$21)*$P$99*$C$25*1000/9.81/$O$47*$D$193*#REF!-$N$47/$O$47*$C$20*$F$21</x:f>
        <x:v>#REF!</x:v>
      </x:c>
      <x:c r="Q122" s="164" t="e">
        <x:f>(SQRT(((-#REF!*SIN($F$18*PI()/180)*$F$21)*$C$25*1000)^2+(0.001*$C$25*1000*$F$21)^2)/$C$30+(-#REF!*COS($F$18*PI()/180)*$F$21)*$C$25*1000)/9.81*$Q$99/$O$47*$F$193*#REF!-$N$47/$O$47*$C$20*$F$21</x:f>
        <x:v>#REF!</x:v>
      </x:c>
      <x:c r="R122" s="199" t="e">
        <x:f>(-#REF!*COS($F$18*PI()/180)*$F$21)*$R$99*$C$25*1000/9.81/$O$47*$D$193*#REF!-$N$47/$O$47*$C$20*$F$21</x:f>
        <x:v>#REF!</x:v>
      </x:c>
      <x:c r="S122" s="164" t="e">
        <x:f>(SQRT(((-#REF!*SIN($F$18*PI()/180)*$F$21)*$C$25*1000)^2+(0.001*$C$25*1000*$F$21)^2)/$C$30+(-#REF!*COS($F$18*PI()/180)*$F$21)*$C$25*1000)/9.81*$S$99/$O$47*$F$193*#REF!-$N$47/$O$47*$C$20*$F$21</x:f>
        <x:v>#REF!</x:v>
      </x:c>
      <x:c r="T122" s="199" t="e">
        <x:f>(-#REF!*COS($F$18*PI()/180)*$F$21)*$T$99*$C$25*1000/9.81/$O$47*$D$193*#REF!-$N$47/$O$47*$C$20*$F$21</x:f>
        <x:v>#REF!</x:v>
      </x:c>
      <x:c r="U122" s="164" t="e">
        <x:f>(SQRT(((-#REF!*SIN($F$18*PI()/180)*$F$21)*$C$25*1000)^2+(0.001*$C$25*1000*$F$21)^2)/$C$30+(-#REF!*COS($F$18*PI()/180)*$F$21)*$C$25*1000)/9.81*$U$99/$O$47*$F$193*#REF!-$N$47/$O$47*$C$20*$F$21</x:f>
        <x:v>#REF!</x:v>
      </x:c>
      <x:c r="V122" s="199" t="e">
        <x:f>(-#REF!*COS($F$18*PI()/180)*$F$21)*$V$99*$C$25*1000/9.81/$O$47*$D$193*#REF!-$N$47/$O$47*$C$20*$F$21</x:f>
        <x:v>#REF!</x:v>
      </x:c>
      <x:c r="W122" s="164" t="e">
        <x:f>(SQRT(((-#REF!*SIN($F$18*PI()/180)*$F$21)*$C$25*1000)^2+(0.001*$C$25*1000*$F$21)^2)/$C$30+(-#REF!*COS($F$18*PI()/180)*$F$21)*$C$25*1000)/9.81*$W$99/$O$47*$F$193*#REF!-$N$47/$O$47*$C$20*$F$21</x:f>
        <x:v>#REF!</x:v>
      </x:c>
      <x:c r="X122" s="199" t="e">
        <x:f>(-#REF!*COS($F$18*PI()/180)*$F$21)*$X$99*$C$25*1000/9.81/$O$47*$D$193*#REF!-$N$47/$O$47*$C$20*$F$21</x:f>
        <x:v>#REF!</x:v>
      </x:c>
      <x:c r="Y122" s="164" t="e">
        <x:f>(SQRT(((-#REF!*SIN($F$18*PI()/180)*$F$21)*$C$25*1000)^2+(0.001*$C$25*1000*$F$21)^2)/$C$30+(-#REF!*COS($F$18*PI()/180)*$F$21)*$C$25*1000)/9.81*$Y$99/$O$47*$F$193*#REF!-$N$47/$O$47*$C$20*$F$21</x:f>
        <x:v>#REF!</x:v>
      </x:c>
      <x:c r="Z122" s="199">
        <x:f ca="1">(-'int. presets cp_10d'!K27*COS($F$18*PI()/180)*$F$21)*$Z$99*$C$25*1000/9.81/$O$47*$D$193*'int. presets cp_10d'!$K$214-$N$47/$O$47*$C$20*$F$21</x:f>
        <x:v>24.223250891746513</x:v>
      </x:c>
      <x:c r="AA122" s="1028">
        <x:f ca="1">(SQRT(((-'int. presets cp_10d'!F27*SIN($F$18*PI()/180)*$F$21)*$C$25*1000)^2+(0.001*$C$25*1000*$F$21)^2)/$C$30+(-'int. presets cp_10d'!F27*COS($F$18*PI()/180)*$F$21)*$C$25*1000)/9.81*$AA$99/$O$47*$F$193*'int. presets cp_10d'!$F$214-$N$47/$O$47*$C$20*$F$21</x:f>
        <x:v>13.444432528507459</x:v>
      </x:c>
    </x:row>
    <x:row r="123" spans="2:133" ht="12.75" customHeight="1" x14ac:dyDescent="0.2">
      <x:c r="B123" s="1345" t="s">
        <x:v>463</x:v>
      </x:c>
      <x:c r="C123" s="1346">
        <x:v>0</x:v>
      </x:c>
      <x:c r="D123" s="1347" t="s">
        <x:v>463</x:v>
      </x:c>
      <x:c r="E123" s="348" t="s">
        <x:v>461</x:v>
      </x:c>
      <x:c r="F123" s="1057" t="e">
        <x:f t="shared" si="80"/>
        <x:v>#REF!</x:v>
      </x:c>
      <x:c r="G123" s="1057" t="e">
        <x:f t="shared" si="81"/>
        <x:v>#REF!</x:v>
      </x:c>
      <x:c r="H123" s="1057" t="e">
        <x:f t="shared" si="72"/>
        <x:v>#REF!</x:v>
      </x:c>
      <x:c r="I123" s="1054" t="e">
        <x:f t="shared" si="73"/>
        <x:v>#REF!</x:v>
      </x:c>
      <x:c r="J123" s="1057" t="e">
        <x:f t="shared" si="74"/>
        <x:v>#REF!</x:v>
      </x:c>
      <x:c r="K123" s="1064" t="e">
        <x:f t="shared" si="75"/>
        <x:v>#REF!</x:v>
      </x:c>
      <x:c r="L123" s="940">
        <x:f t="shared" ca="1" si="76"/>
        <x:v>13.444432528507459</x:v>
      </x:c>
      <x:c r="M123" s="1073">
        <x:f t="shared" ca="1" si="77"/>
        <x:v>29.639864840998111</x:v>
      </x:c>
      <x:c r="N123" s="1069" t="e">
        <x:f>(-#REF!*COS($F$18*PI()/180)*$F$21)*$N$99*$C$25*1000/9.81/$O$47*$D$193*#REF!-$N$47/$O$47*$C$20*$F$21</x:f>
        <x:v>#REF!</x:v>
      </x:c>
      <x:c r="O123" s="162" t="e">
        <x:f>(SQRT(((-#REF!*SIN($F$18*PI()/180)*$F$21)*$C$25*1000)^2+(0.001*$C$25*1000*$F$21)^2)/$C$30+(-#REF!*COS($F$18*PI()/180)*$F$21)*$C$25*1000)/9.81*$O$99/$O$47*$F$193*#REF!-$N$47/$O$47*$C$20*$F$21</x:f>
        <x:v>#REF!</x:v>
      </x:c>
      <x:c r="P123" s="161" t="e">
        <x:f>(-#REF!*COS($F$18*PI()/180)*$F$21)*$P$99*$C$25*1000/9.81/$O$47*$D$193*#REF!-$N$47/$O$47*$C$20*$F$21</x:f>
        <x:v>#REF!</x:v>
      </x:c>
      <x:c r="Q123" s="162" t="e">
        <x:f>(SQRT(((-#REF!*SIN($F$18*PI()/180)*$F$21)*$C$25*1000)^2+(0.001*$C$25*1000*$F$21)^2)/$C$30+(-#REF!*COS($F$18*PI()/180)*$F$21)*$C$25*1000)/9.81*$Q$99/$O$47*$F$193*#REF!-$N$47/$O$47*$C$20*$F$21</x:f>
        <x:v>#REF!</x:v>
      </x:c>
      <x:c r="R123" s="161" t="e">
        <x:f>(-#REF!*COS($F$18*PI()/180)*$F$21)*$R$99*$C$25*1000/9.81/$O$47*$D$193*#REF!-$N$47/$O$47*$C$20*$F$21</x:f>
        <x:v>#REF!</x:v>
      </x:c>
      <x:c r="S123" s="162" t="e">
        <x:f>(SQRT(((-#REF!*SIN($F$18*PI()/180)*$F$21)*$C$25*1000)^2+(0.001*$C$25*1000*$F$21)^2)/$C$30+(-#REF!*COS($F$18*PI()/180)*$F$21)*$C$25*1000)/9.81*$S$99/$O$47*$F$193*#REF!-$N$47/$O$47*$C$20*$F$21</x:f>
        <x:v>#REF!</x:v>
      </x:c>
      <x:c r="T123" s="161" t="e">
        <x:f>(-#REF!*COS($F$18*PI()/180)*$F$21)*$T$99*$C$25*1000/9.81/$O$47*$D$193*#REF!-$N$47/$O$47*$C$20*$F$21</x:f>
        <x:v>#REF!</x:v>
      </x:c>
      <x:c r="U123" s="162" t="e">
        <x:f>(SQRT(((-#REF!*SIN($F$18*PI()/180)*$F$21)*$C$25*1000)^2+(0.001*$C$25*1000*$F$21)^2)/$C$30+(-#REF!*COS($F$18*PI()/180)*$F$21)*$C$25*1000)/9.81*$U$99/$O$47*$F$193*#REF!-$N$47/$O$47*$C$20*$F$21</x:f>
        <x:v>#REF!</x:v>
      </x:c>
      <x:c r="V123" s="161" t="e">
        <x:f>(-#REF!*COS($F$18*PI()/180)*$F$21)*$V$99*$C$25*1000/9.81/$O$47*$D$193*#REF!-$N$47/$O$47*$C$20*$F$21</x:f>
        <x:v>#REF!</x:v>
      </x:c>
      <x:c r="W123" s="162" t="e">
        <x:f>(SQRT(((-#REF!*SIN($F$18*PI()/180)*$F$21)*$C$25*1000)^2+(0.001*$C$25*1000*$F$21)^2)/$C$30+(-#REF!*COS($F$18*PI()/180)*$F$21)*$C$25*1000)/9.81*$W$99/$O$47*$F$193*#REF!-$N$47/$O$47*$C$20*$F$21</x:f>
        <x:v>#REF!</x:v>
      </x:c>
      <x:c r="X123" s="161" t="e">
        <x:f>(-#REF!*COS($F$18*PI()/180)*$F$21)*$X$99*$C$25*1000/9.81/$O$47*$D$193*#REF!-$N$47/$O$47*$C$20*$F$21</x:f>
        <x:v>#REF!</x:v>
      </x:c>
      <x:c r="Y123" s="162" t="e">
        <x:f>(SQRT(((-#REF!*SIN($F$18*PI()/180)*$F$21)*$C$25*1000)^2+(0.001*$C$25*1000*$F$21)^2)/$C$30+(-#REF!*COS($F$18*PI()/180)*$F$21)*$C$25*1000)/9.81*$Y$99/$O$47*$F$193*#REF!-$N$47/$O$47*$C$20*$F$21</x:f>
        <x:v>#REF!</x:v>
      </x:c>
      <x:c r="Z123" s="161">
        <x:f ca="1">(-'int. presets cp_10d'!K28*COS($F$18*PI()/180)*$F$21)*$Z$99*$C$25*1000/9.81/$O$47*$D$193*'int. presets cp_10d'!$K$214-$N$47/$O$47*$C$20*$F$21</x:f>
        <x:v>8.2505512244029795</x:v>
      </x:c>
      <x:c r="AA123" s="1030">
        <x:f ca="1">(SQRT(((-'int. presets cp_10d'!F28*SIN($F$18*PI()/180)*$F$21)*$C$25*1000)^2+(0.001*$C$25*1000*$F$21)^2)/$C$30+(-'int. presets cp_10d'!F28*COS($F$18*PI()/180)*$F$21)*$C$25*1000)/9.81*$AA$99/$O$47*$F$193*'int. presets cp_10d'!$F$214-$N$47/$O$47*$C$20*$F$21</x:f>
        <x:v>13.444432528507459</x:v>
      </x:c>
    </x:row>
    <x:row r="124" spans="2:133" ht="13.5" thickBot="1" x14ac:dyDescent="0.25">
      <x:c r="B124" s="1348" t="e">
        <x:v>#REF!</x:v>
      </x:c>
      <x:c r="C124" s="1349">
        <x:v>0</x:v>
      </x:c>
      <x:c r="D124" s="1350">
        <x:v>0</x:v>
      </x:c>
      <x:c r="E124" s="344" t="s">
        <x:v>462</x:v>
      </x:c>
      <x:c r="F124" s="1055" t="e">
        <x:f t="shared" si="80"/>
        <x:v>#REF!</x:v>
      </x:c>
      <x:c r="G124" s="1055" t="e">
        <x:f t="shared" si="81"/>
        <x:v>#REF!</x:v>
      </x:c>
      <x:c r="H124" s="1055" t="e">
        <x:f t="shared" si="72"/>
        <x:v>#REF!</x:v>
      </x:c>
      <x:c r="I124" s="1056" t="e">
        <x:f t="shared" si="73"/>
        <x:v>#REF!</x:v>
      </x:c>
      <x:c r="J124" s="1055" t="e">
        <x:f t="shared" si="74"/>
        <x:v>#REF!</x:v>
      </x:c>
      <x:c r="K124" s="1063" t="e">
        <x:f t="shared" si="75"/>
        <x:v>#REF!</x:v>
      </x:c>
      <x:c r="L124" s="941">
        <x:f t="shared" ca="1" si="76"/>
        <x:v>13.444432528507459</x:v>
      </x:c>
      <x:c r="M124" s="1072">
        <x:f t="shared" ca="1" si="77"/>
        <x:v>29.639864840998111</x:v>
      </x:c>
      <x:c r="N124" s="1068" t="e">
        <x:f>(-#REF!*COS($F$18*PI()/180)*$F$21)*$N$99*$C$25*1000/9.81/$O$47*$D$193*#REF!-$N$47/$O$47*$C$20*$F$21</x:f>
        <x:v>#REF!</x:v>
      </x:c>
      <x:c r="O124" s="164" t="e">
        <x:f>(SQRT(((-#REF!*SIN($F$18*PI()/180)*$F$21)*$C$25*1000)^2+(0.001*$C$25*1000*$F$21)^2)/$C$30+(-#REF!*COS($F$18*PI()/180)*$F$21)*$C$25*1000)/9.81*$O$99/$O$47*$F$193*#REF!-$N$47/$O$47*$C$20*$F$21</x:f>
        <x:v>#REF!</x:v>
      </x:c>
      <x:c r="P124" s="199" t="e">
        <x:f>(-#REF!*COS($F$18*PI()/180)*$F$21)*$P$99*$C$25*1000/9.81/$O$47*$D$193*#REF!-$N$47/$O$47*$C$20*$F$21</x:f>
        <x:v>#REF!</x:v>
      </x:c>
      <x:c r="Q124" s="164" t="e">
        <x:f>(SQRT(((-#REF!*SIN($F$18*PI()/180)*$F$21)*$C$25*1000)^2+(0.001*$C$25*1000*$F$21)^2)/$C$30+(-#REF!*COS($F$18*PI()/180)*$F$21)*$C$25*1000)/9.81*$Q$99/$O$47*$F$193*#REF!-$N$47/$O$47*$C$20*$F$21</x:f>
        <x:v>#REF!</x:v>
      </x:c>
      <x:c r="R124" s="199" t="e">
        <x:f>(-#REF!*COS($F$18*PI()/180)*$F$21)*$R$99*$C$25*1000/9.81/$O$47*$D$193*#REF!-$N$47/$O$47*$C$20*$F$21</x:f>
        <x:v>#REF!</x:v>
      </x:c>
      <x:c r="S124" s="164" t="e">
        <x:f>(SQRT(((-#REF!*SIN($F$18*PI()/180)*$F$21)*$C$25*1000)^2+(0.001*$C$25*1000*$F$21)^2)/$C$30+(-#REF!*COS($F$18*PI()/180)*$F$21)*$C$25*1000)/9.81*$S$99/$O$47*$F$193*#REF!-$N$47/$O$47*$C$20*$F$21</x:f>
        <x:v>#REF!</x:v>
      </x:c>
      <x:c r="T124" s="199" t="e">
        <x:f>(-#REF!*COS($F$18*PI()/180)*$F$21)*$T$99*$C$25*1000/9.81/$O$47*$D$193*#REF!-$N$47/$O$47*$C$20*$F$21</x:f>
        <x:v>#REF!</x:v>
      </x:c>
      <x:c r="U124" s="164" t="e">
        <x:f>(SQRT(((-#REF!*SIN($F$18*PI()/180)*$F$21)*$C$25*1000)^2+(0.001*$C$25*1000*$F$21)^2)/$C$30+(-#REF!*COS($F$18*PI()/180)*$F$21)*$C$25*1000)/9.81*$U$99/$O$47*$F$193*#REF!-$N$47/$O$47*$C$20*$F$21</x:f>
        <x:v>#REF!</x:v>
      </x:c>
      <x:c r="V124" s="199" t="e">
        <x:f>(-#REF!*COS($F$18*PI()/180)*$F$21)*$V$99*$C$25*1000/9.81/$O$47*$D$193*#REF!-$N$47/$O$47*$C$20*$F$21</x:f>
        <x:v>#REF!</x:v>
      </x:c>
      <x:c r="W124" s="164" t="e">
        <x:f>(SQRT(((-#REF!*SIN($F$18*PI()/180)*$F$21)*$C$25*1000)^2+(0.001*$C$25*1000*$F$21)^2)/$C$30+(-#REF!*COS($F$18*PI()/180)*$F$21)*$C$25*1000)/9.81*$W$99/$O$47*$F$193*#REF!-$N$47/$O$47*$C$20*$F$21</x:f>
        <x:v>#REF!</x:v>
      </x:c>
      <x:c r="X124" s="199" t="e">
        <x:f>(-#REF!*COS($F$18*PI()/180)*$F$21)*$X$99*$C$25*1000/9.81/$O$47*$D$193*#REF!-$N$47/$O$47*$C$20*$F$21</x:f>
        <x:v>#REF!</x:v>
      </x:c>
      <x:c r="Y124" s="164" t="e">
        <x:f>(SQRT(((-#REF!*SIN($F$18*PI()/180)*$F$21)*$C$25*1000)^2+(0.001*$C$25*1000*$F$21)^2)/$C$30+(-#REF!*COS($F$18*PI()/180)*$F$21)*$C$25*1000)/9.81*$Y$99/$O$47*$F$193*#REF!-$N$47/$O$47*$C$20*$F$21</x:f>
        <x:v>#REF!</x:v>
      </x:c>
      <x:c r="Z124" s="199">
        <x:f ca="1">(-'int. presets cp_10d'!K29*COS($F$18*PI()/180)*$F$21)*$Z$99*$C$25*1000/9.81/$O$47*$D$193*'int. presets cp_10d'!$K$214-$N$47/$O$47*$C$20*$F$21</x:f>
        <x:v>-1.4673474214425362</x:v>
      </x:c>
      <x:c r="AA124" s="1028">
        <x:f ca="1">(SQRT(((-'int. presets cp_10d'!F29*SIN($F$18*PI()/180)*$F$21)*$C$25*1000)^2+(0.001*$C$25*1000*$F$21)^2)/$C$30+(-'int. presets cp_10d'!F29*COS($F$18*PI()/180)*$F$21)*$C$25*1000)/9.81*$AA$99/$O$47*$F$193*'int. presets cp_10d'!$F$214-$N$47/$O$47*$C$20*$F$21</x:f>
        <x:v>13.444432528507459</x:v>
      </x:c>
    </x:row>
    <x:row r="125" spans="2:133" ht="12.75" customHeight="1" x14ac:dyDescent="0.2">
      <x:c r="B125" s="1345" t="s">
        <x:v>464</x:v>
      </x:c>
      <x:c r="C125" s="1346">
        <x:v>0</x:v>
      </x:c>
      <x:c r="D125" s="1347" t="s">
        <x:v>464</x:v>
      </x:c>
      <x:c r="E125" s="348" t="s">
        <x:v>461</x:v>
      </x:c>
      <x:c r="F125" s="1057" t="e">
        <x:f t="shared" si="80"/>
        <x:v>#REF!</x:v>
      </x:c>
      <x:c r="G125" s="1057" t="e">
        <x:f t="shared" si="81"/>
        <x:v>#REF!</x:v>
      </x:c>
      <x:c r="H125" s="1057" t="e">
        <x:f t="shared" si="72"/>
        <x:v>#REF!</x:v>
      </x:c>
      <x:c r="I125" s="1054" t="e">
        <x:f t="shared" si="73"/>
        <x:v>#REF!</x:v>
      </x:c>
      <x:c r="J125" s="1057" t="e">
        <x:f t="shared" si="74"/>
        <x:v>#REF!</x:v>
      </x:c>
      <x:c r="K125" s="1064" t="e">
        <x:f t="shared" si="75"/>
        <x:v>#REF!</x:v>
      </x:c>
      <x:c r="L125" s="940">
        <x:f t="shared" ca="1" si="76"/>
        <x:v>18.697112534374636</x:v>
      </x:c>
      <x:c r="M125" s="1073">
        <x:f t="shared" ca="1" si="77"/>
        <x:v>41.220028235533007</x:v>
      </x:c>
      <x:c r="N125" s="1069" t="e">
        <x:f>(-#REF!*COS($F$18*PI()/180)*$F$21)*$N$99*$C$25*1000/9.81/$O$47*$D$193*#REF!-$N$47/$O$47*$C$20*$F$21</x:f>
        <x:v>#REF!</x:v>
      </x:c>
      <x:c r="O125" s="162" t="e">
        <x:f>(SQRT(((-#REF!*SIN($F$18*PI()/180)*$F$21)*$C$25*1000)^2+(0.001*$C$25*1000*$F$21)^2)/$C$30+(-#REF!*COS($F$18*PI()/180)*$F$21)*$C$25*1000)/9.81*$O$99/$O$47*$F$193*#REF!-$N$47/$O$47*$C$20*$F$21</x:f>
        <x:v>#REF!</x:v>
      </x:c>
      <x:c r="P125" s="161" t="e">
        <x:f>(-#REF!*COS($F$18*PI()/180)*$F$21)*$P$99*$C$25*1000/9.81/$O$47*$D$193*#REF!-$N$47/$O$47*$C$20*$F$21</x:f>
        <x:v>#REF!</x:v>
      </x:c>
      <x:c r="Q125" s="162" t="e">
        <x:f>(SQRT(((-#REF!*SIN($F$18*PI()/180)*$F$21)*$C$25*1000)^2+(0.001*$C$25*1000*$F$21)^2)/$C$30+(-#REF!*COS($F$18*PI()/180)*$F$21)*$C$25*1000)/9.81*$Q$99/$O$47*$F$193*#REF!-$N$47/$O$47*$C$20*$F$21</x:f>
        <x:v>#REF!</x:v>
      </x:c>
      <x:c r="R125" s="161" t="e">
        <x:f>(-#REF!*COS($F$18*PI()/180)*$F$21)*$R$99*$C$25*1000/9.81/$O$47*$D$193*#REF!-$N$47/$O$47*$C$20*$F$21</x:f>
        <x:v>#REF!</x:v>
      </x:c>
      <x:c r="S125" s="162" t="e">
        <x:f>(SQRT(((-#REF!*SIN($F$18*PI()/180)*$F$21)*$C$25*1000)^2+(0.001*$C$25*1000*$F$21)^2)/$C$30+(-#REF!*COS($F$18*PI()/180)*$F$21)*$C$25*1000)/9.81*$S$99/$O$47*$F$193*#REF!-$N$47/$O$47*$C$20*$F$21</x:f>
        <x:v>#REF!</x:v>
      </x:c>
      <x:c r="T125" s="161" t="e">
        <x:f>(-#REF!*COS($F$18*PI()/180)*$F$21)*$T$99*$C$25*1000/9.81/$O$47*$D$193*#REF!-$N$47/$O$47*$C$20*$F$21</x:f>
        <x:v>#REF!</x:v>
      </x:c>
      <x:c r="U125" s="162" t="e">
        <x:f>(SQRT(((-#REF!*SIN($F$18*PI()/180)*$F$21)*$C$25*1000)^2+(0.001*$C$25*1000*$F$21)^2)/$C$30+(-#REF!*COS($F$18*PI()/180)*$F$21)*$C$25*1000)/9.81*$U$99/$O$47*$F$193*#REF!-$N$47/$O$47*$C$20*$F$21</x:f>
        <x:v>#REF!</x:v>
      </x:c>
      <x:c r="V125" s="161" t="e">
        <x:f>(-#REF!*COS($F$18*PI()/180)*$F$21)*$V$99*$C$25*1000/9.81/$O$47*$D$193*#REF!-$N$47/$O$47*$C$20*$F$21</x:f>
        <x:v>#REF!</x:v>
      </x:c>
      <x:c r="W125" s="162" t="e">
        <x:f>(SQRT(((-#REF!*SIN($F$18*PI()/180)*$F$21)*$C$25*1000)^2+(0.001*$C$25*1000*$F$21)^2)/$C$30+(-#REF!*COS($F$18*PI()/180)*$F$21)*$C$25*1000)/9.81*$W$99/$O$47*$F$193*#REF!-$N$47/$O$47*$C$20*$F$21</x:f>
        <x:v>#REF!</x:v>
      </x:c>
      <x:c r="X125" s="161" t="e">
        <x:f>(-#REF!*COS($F$18*PI()/180)*$F$21)*$X$99*$C$25*1000/9.81/$O$47*$D$193*#REF!-$N$47/$O$47*$C$20*$F$21</x:f>
        <x:v>#REF!</x:v>
      </x:c>
      <x:c r="Y125" s="162" t="e">
        <x:f>(SQRT(((-#REF!*SIN($F$18*PI()/180)*$F$21)*$C$25*1000)^2+(0.001*$C$25*1000*$F$21)^2)/$C$30+(-#REF!*COS($F$18*PI()/180)*$F$21)*$C$25*1000)/9.81*$Y$99/$O$47*$F$193*#REF!-$N$47/$O$47*$C$20*$F$21</x:f>
        <x:v>#REF!</x:v>
      </x:c>
      <x:c r="Z125" s="161">
        <x:f ca="1">(-'int. presets cp_10d'!K30*COS($F$18*PI()/180)*$F$21)*$Z$99*$C$25*1000/9.81/$O$47*$D$193*'int. presets cp_10d'!$K$214-$N$47/$O$47*$C$20*$F$21</x:f>
        <x:v>18.697112534374636</x:v>
      </x:c>
      <x:c r="AA125" s="1030">
        <x:f ca="1">(SQRT(((-'int. presets cp_10d'!F30*SIN($F$18*PI()/180)*$F$21)*$C$25*1000)^2+(0.001*$C$25*1000*$F$21)^2)/$C$30+(-'int. presets cp_10d'!F30*COS($F$18*PI()/180)*$F$21)*$C$25*1000)/9.81*$AA$99/$O$47*$F$193*'int. presets cp_10d'!$F$214-$N$47/$O$47*$C$20*$F$21</x:f>
        <x:v>13.444432528507459</x:v>
      </x:c>
    </x:row>
    <x:row r="126" spans="2:133" ht="13.5" customHeight="1" thickBot="1" x14ac:dyDescent="0.25">
      <x:c r="B126" s="1348" t="e">
        <x:v>#REF!</x:v>
      </x:c>
      <x:c r="C126" s="1349">
        <x:v>0</x:v>
      </x:c>
      <x:c r="D126" s="1350">
        <x:v>0</x:v>
      </x:c>
      <x:c r="E126" s="344" t="s">
        <x:v>462</x:v>
      </x:c>
      <x:c r="F126" s="1055" t="e">
        <x:f t="shared" si="80"/>
        <x:v>#REF!</x:v>
      </x:c>
      <x:c r="G126" s="1055" t="e">
        <x:f t="shared" si="81"/>
        <x:v>#REF!</x:v>
      </x:c>
      <x:c r="H126" s="1055" t="e">
        <x:f t="shared" si="72"/>
        <x:v>#REF!</x:v>
      </x:c>
      <x:c r="I126" s="1056" t="e">
        <x:f t="shared" si="73"/>
        <x:v>#REF!</x:v>
      </x:c>
      <x:c r="J126" s="1055" t="e">
        <x:f t="shared" si="74"/>
        <x:v>#REF!</x:v>
      </x:c>
      <x:c r="K126" s="1063" t="e">
        <x:f t="shared" si="75"/>
        <x:v>#REF!</x:v>
      </x:c>
      <x:c r="L126" s="941">
        <x:f t="shared" ca="1" si="76"/>
        <x:v>13.444432528507459</x:v>
      </x:c>
      <x:c r="M126" s="1072">
        <x:f t="shared" ca="1" si="77"/>
        <x:v>29.639864840998111</x:v>
      </x:c>
      <x:c r="N126" s="1068" t="e">
        <x:f>(-#REF!*COS($F$18*PI()/180)*$F$21)*$N$99*$C$25*1000/9.81/$O$47*$D$193*#REF!-$N$47/$O$47*$C$20*$F$21</x:f>
        <x:v>#REF!</x:v>
      </x:c>
      <x:c r="O126" s="164" t="e">
        <x:f>(SQRT(((-#REF!*SIN($F$18*PI()/180)*$F$21)*$C$25*1000)^2+(0.001*$C$25*1000*$F$21)^2)/$C$30+(-#REF!*COS($F$18*PI()/180)*$F$21)*$C$25*1000)/9.81*$O$99/$O$47*$F$193*#REF!-$N$47/$O$47*$C$20*$F$21</x:f>
        <x:v>#REF!</x:v>
      </x:c>
      <x:c r="P126" s="199" t="e">
        <x:f>(-#REF!*COS($F$18*PI()/180)*$F$21)*$P$99*$C$25*1000/9.81/$O$47*$D$193*#REF!-$N$47/$O$47*$C$20*$F$21</x:f>
        <x:v>#REF!</x:v>
      </x:c>
      <x:c r="Q126" s="164" t="e">
        <x:f>(SQRT(((-#REF!*SIN($F$18*PI()/180)*$F$21)*$C$25*1000)^2+(0.001*$C$25*1000*$F$21)^2)/$C$30+(-#REF!*COS($F$18*PI()/180)*$F$21)*$C$25*1000)/9.81*$Q$99/$O$47*$F$193*#REF!-$N$47/$O$47*$C$20*$F$21</x:f>
        <x:v>#REF!</x:v>
      </x:c>
      <x:c r="R126" s="199" t="e">
        <x:f>(-#REF!*COS($F$18*PI()/180)*$F$21)*$R$99*$C$25*1000/9.81/$O$47*$D$193*#REF!-$N$47/$O$47*$C$20*$F$21</x:f>
        <x:v>#REF!</x:v>
      </x:c>
      <x:c r="S126" s="164" t="e">
        <x:f>(SQRT(((-#REF!*SIN($F$18*PI()/180)*$F$21)*$C$25*1000)^2+(0.001*$C$25*1000*$F$21)^2)/$C$30+(-#REF!*COS($F$18*PI()/180)*$F$21)*$C$25*1000)/9.81*$S$99/$O$47*$F$193*#REF!-$N$47/$O$47*$C$20*$F$21</x:f>
        <x:v>#REF!</x:v>
      </x:c>
      <x:c r="T126" s="199" t="e">
        <x:f>(-#REF!*COS($F$18*PI()/180)*$F$21)*$T$99*$C$25*1000/9.81/$O$47*$D$193*#REF!-$N$47/$O$47*$C$20*$F$21</x:f>
        <x:v>#REF!</x:v>
      </x:c>
      <x:c r="U126" s="164" t="e">
        <x:f>(SQRT(((-#REF!*SIN($F$18*PI()/180)*$F$21)*$C$25*1000)^2+(0.001*$C$25*1000*$F$21)^2)/$C$30+(-#REF!*COS($F$18*PI()/180)*$F$21)*$C$25*1000)/9.81*$U$99/$O$47*$F$193*#REF!-$N$47/$O$47*$C$20*$F$21</x:f>
        <x:v>#REF!</x:v>
      </x:c>
      <x:c r="V126" s="199" t="e">
        <x:f>(-#REF!*COS($F$18*PI()/180)*$F$21)*$V$99*$C$25*1000/9.81/$O$47*$D$193*#REF!-$N$47/$O$47*$C$20*$F$21</x:f>
        <x:v>#REF!</x:v>
      </x:c>
      <x:c r="W126" s="164" t="e">
        <x:f>(SQRT(((-#REF!*SIN($F$18*PI()/180)*$F$21)*$C$25*1000)^2+(0.001*$C$25*1000*$F$21)^2)/$C$30+(-#REF!*COS($F$18*PI()/180)*$F$21)*$C$25*1000)/9.81*$W$99/$O$47*$F$193*#REF!-$N$47/$O$47*$C$20*$F$21</x:f>
        <x:v>#REF!</x:v>
      </x:c>
      <x:c r="X126" s="199" t="e">
        <x:f>(-#REF!*COS($F$18*PI()/180)*$F$21)*$X$99*$C$25*1000/9.81/$O$47*$D$193*#REF!-$N$47/$O$47*$C$20*$F$21</x:f>
        <x:v>#REF!</x:v>
      </x:c>
      <x:c r="Y126" s="164" t="e">
        <x:f>(SQRT(((-#REF!*SIN($F$18*PI()/180)*$F$21)*$C$25*1000)^2+(0.001*$C$25*1000*$F$21)^2)/$C$30+(-#REF!*COS($F$18*PI()/180)*$F$21)*$C$25*1000)/9.81*$Y$99/$O$47*$F$193*#REF!-$N$47/$O$47*$C$20*$F$21</x:f>
        <x:v>#REF!</x:v>
      </x:c>
      <x:c r="Z126" s="199">
        <x:f ca="1">(-'int. presets cp_10d'!K31*COS($F$18*PI()/180)*$F$21)*$Z$99*$C$25*1000/9.81/$O$47*$D$193*'int. presets cp_10d'!$K$214-$N$47/$O$47*$C$20*$F$21</x:f>
        <x:v>5.4524659507235178</x:v>
      </x:c>
      <x:c r="AA126" s="1028">
        <x:f ca="1">(SQRT(((-'int. presets cp_10d'!F31*SIN($F$18*PI()/180)*$F$21)*$C$25*1000)^2+(0.001*$C$25*1000*$F$21)^2)/$C$30+(-'int. presets cp_10d'!F31*COS($F$18*PI()/180)*$F$21)*$C$25*1000)/9.81*$AA$99/$O$47*$F$193*'int. presets cp_10d'!$F$214-$N$47/$O$47*$C$20*$F$21</x:f>
        <x:v>13.444432528507459</x:v>
      </x:c>
    </x:row>
    <x:row r="127" spans="2:133" x14ac:dyDescent="0.2">
      <x:c r="B127" s="1345" t="s">
        <x:v>465</x:v>
      </x:c>
      <x:c r="C127" s="1346">
        <x:v>0</x:v>
      </x:c>
      <x:c r="D127" s="1347" t="s">
        <x:v>465</x:v>
      </x:c>
      <x:c r="E127" s="348" t="s">
        <x:v>461</x:v>
      </x:c>
      <x:c r="F127" s="1057" t="e">
        <x:f t="shared" si="80"/>
        <x:v>#REF!</x:v>
      </x:c>
      <x:c r="G127" s="1057" t="e">
        <x:f t="shared" si="81"/>
        <x:v>#REF!</x:v>
      </x:c>
      <x:c r="H127" s="1057" t="e">
        <x:f t="shared" si="72"/>
        <x:v>#REF!</x:v>
      </x:c>
      <x:c r="I127" s="1054" t="e">
        <x:f t="shared" si="73"/>
        <x:v>#REF!</x:v>
      </x:c>
      <x:c r="J127" s="1057" t="e">
        <x:f t="shared" si="74"/>
        <x:v>#REF!</x:v>
      </x:c>
      <x:c r="K127" s="1064" t="e">
        <x:f t="shared" si="75"/>
        <x:v>#REF!</x:v>
      </x:c>
      <x:c r="L127" s="940">
        <x:f t="shared" ca="1" si="76"/>
        <x:v>13.444432528507459</x:v>
      </x:c>
      <x:c r="M127" s="1073">
        <x:f t="shared" ca="1" si="77"/>
        <x:v>29.639864840998111</x:v>
      </x:c>
      <x:c r="N127" s="1069" t="e">
        <x:f>(-#REF!*COS($F$18*PI()/180)*$F$21)*$N$99*$C$25*1000/9.81/$O$47*$D$193*#REF!-$N$47/$O$47*$C$20*$F$21</x:f>
        <x:v>#REF!</x:v>
      </x:c>
      <x:c r="O127" s="198" t="e">
        <x:f>(SQRT(((-#REF!*SIN($F$18*PI()/180)*$F$21)*$C$25*1000)^2+(0.001*$C$25*1000*$F$21)^2)/$C$30+(-#REF!*COS($F$18*PI()/180)*$F$21)*$C$25*1000)/9.81*$O$99/$O$47*$F$193*#REF!-$N$47/$O$47*$C$20*$F$21</x:f>
        <x:v>#REF!</x:v>
      </x:c>
      <x:c r="P127" s="161" t="e">
        <x:f>(-#REF!*COS($F$18*PI()/180)*$F$21)*$P$99*$C$25*1000/9.81/$O$47*$D$193*#REF!-$N$47/$O$47*$C$20*$F$21</x:f>
        <x:v>#REF!</x:v>
      </x:c>
      <x:c r="Q127" s="198" t="e">
        <x:f>(SQRT(((-#REF!*SIN($F$18*PI()/180)*$F$21)*$C$25*1000)^2+(0.001*$C$25*1000*$F$21)^2)/$C$30+(-#REF!*COS($F$18*PI()/180)*$F$21)*$C$25*1000)/9.81*$Q$99/$O$47*$F$193*#REF!-$N$47/$O$47*$C$20*$F$21</x:f>
        <x:v>#REF!</x:v>
      </x:c>
      <x:c r="R127" s="161" t="e">
        <x:f>(-#REF!*COS($F$18*PI()/180)*$F$21)*$R$99*$C$25*1000/9.81/$O$47*$D$193*#REF!-$N$47/$O$47*$C$20*$F$21</x:f>
        <x:v>#REF!</x:v>
      </x:c>
      <x:c r="S127" s="198" t="e">
        <x:f>(SQRT(((-#REF!*SIN($F$18*PI()/180)*$F$21)*$C$25*1000)^2+(0.001*$C$25*1000*$F$21)^2)/$C$30+(-#REF!*COS($F$18*PI()/180)*$F$21)*$C$25*1000)/9.81*$S$99/$O$47*$F$193*#REF!-$N$47/$O$47*$C$20*$F$21</x:f>
        <x:v>#REF!</x:v>
      </x:c>
      <x:c r="T127" s="161" t="e">
        <x:f>(-#REF!*COS($F$18*PI()/180)*$F$21)*$T$99*$C$25*1000/9.81/$O$47*$D$193*#REF!-$N$47/$O$47*$C$20*$F$21</x:f>
        <x:v>#REF!</x:v>
      </x:c>
      <x:c r="U127" s="198" t="e">
        <x:f>(SQRT(((-#REF!*SIN($F$18*PI()/180)*$F$21)*$C$25*1000)^2+(0.001*$C$25*1000*$F$21)^2)/$C$30+(-#REF!*COS($F$18*PI()/180)*$F$21)*$C$25*1000)/9.81*$U$99/$O$47*$F$193*#REF!-$N$47/$O$47*$C$20*$F$21</x:f>
        <x:v>#REF!</x:v>
      </x:c>
      <x:c r="V127" s="161" t="e">
        <x:f>(-#REF!*COS($F$18*PI()/180)*$F$21)*$V$99*$C$25*1000/9.81/$O$47*$D$193*#REF!-$N$47/$O$47*$C$20*$F$21</x:f>
        <x:v>#REF!</x:v>
      </x:c>
      <x:c r="W127" s="198" t="e">
        <x:f>(SQRT(((-#REF!*SIN($F$18*PI()/180)*$F$21)*$C$25*1000)^2+(0.001*$C$25*1000*$F$21)^2)/$C$30+(-#REF!*COS($F$18*PI()/180)*$F$21)*$C$25*1000)/9.81*$W$99/$O$47*$F$193*#REF!-$N$47/$O$47*$C$20*$F$21</x:f>
        <x:v>#REF!</x:v>
      </x:c>
      <x:c r="X127" s="161" t="e">
        <x:f>(-#REF!*COS($F$18*PI()/180)*$F$21)*$X$99*$C$25*1000/9.81/$O$47*$D$193*#REF!-$N$47/$O$47*$C$20*$F$21</x:f>
        <x:v>#REF!</x:v>
      </x:c>
      <x:c r="Y127" s="198" t="e">
        <x:f>(SQRT(((-#REF!*SIN($F$18*PI()/180)*$F$21)*$C$25*1000)^2+(0.001*$C$25*1000*$F$21)^2)/$C$30+(-#REF!*COS($F$18*PI()/180)*$F$21)*$C$25*1000)/9.81*$Y$99/$O$47*$F$193*#REF!-$N$47/$O$47*$C$20*$F$21</x:f>
        <x:v>#REF!</x:v>
      </x:c>
      <x:c r="Z127" s="161">
        <x:f ca="1">(-'int. presets cp_10d'!K32*COS($F$18*PI()/180)*$F$21)*$Z$99*$C$25*1000/9.81/$O$47*$D$193*'int. presets cp_10d'!$K$214-$N$47/$O$47*$C$20*$F$21</x:f>
        <x:v>9.6342124876283783</x:v>
      </x:c>
      <x:c r="AA127" s="1026">
        <x:f ca="1">(SQRT(((-'int. presets cp_10d'!F32*SIN($F$18*PI()/180)*$F$21)*$C$25*1000)^2+(0.001*$C$25*1000*$F$21)^2)/$C$30+(-'int. presets cp_10d'!F32*COS($F$18*PI()/180)*$F$21)*$C$25*1000)/9.81*$AA$99/$O$47*$F$193*'int. presets cp_10d'!$F$214-$N$47/$O$47*$C$20*$F$21</x:f>
        <x:v>13.444432528507459</x:v>
      </x:c>
    </x:row>
    <x:row r="128" spans="2:133" ht="13.5" customHeight="1" thickBot="1" x14ac:dyDescent="0.25">
      <x:c r="B128" s="1351" t="e">
        <x:v>#REF!</x:v>
      </x:c>
      <x:c r="C128" s="1352">
        <x:v>0</x:v>
      </x:c>
      <x:c r="D128" s="1353">
        <x:v>0</x:v>
      </x:c>
      <x:c r="E128" s="992" t="s">
        <x:v>462</x:v>
      </x:c>
      <x:c r="F128" s="1055" t="e">
        <x:f t="shared" si="80"/>
        <x:v>#REF!</x:v>
      </x:c>
      <x:c r="G128" s="1055" t="e">
        <x:f t="shared" si="81"/>
        <x:v>#REF!</x:v>
      </x:c>
      <x:c r="H128" s="1055" t="e">
        <x:f t="shared" si="72"/>
        <x:v>#REF!</x:v>
      </x:c>
      <x:c r="I128" s="1056" t="e">
        <x:f t="shared" si="73"/>
        <x:v>#REF!</x:v>
      </x:c>
      <x:c r="J128" s="1055" t="e">
        <x:f t="shared" si="74"/>
        <x:v>#REF!</x:v>
      </x:c>
      <x:c r="K128" s="1063" t="e">
        <x:f t="shared" si="75"/>
        <x:v>#REF!</x:v>
      </x:c>
      <x:c r="L128" s="990">
        <x:f t="shared" ca="1" si="76"/>
        <x:v>13.444432528507459</x:v>
      </x:c>
      <x:c r="M128" s="1072">
        <x:f t="shared" ca="1" si="77"/>
        <x:v>29.639864840998111</x:v>
      </x:c>
      <x:c r="N128" s="1069" t="e">
        <x:f>(-#REF!*COS($F$18*PI()/180)*$F$21)*$N$99*$C$25*1000/9.81/$O$47*$D$193*#REF!-$N$47/$O$47*$C$20*$F$21</x:f>
        <x:v>#REF!</x:v>
      </x:c>
      <x:c r="O128" s="162" t="e">
        <x:f>(SQRT(((-#REF!*SIN($F$18*PI()/180)*$F$21)*$C$25*1000)^2+(0.001*$C$25*1000*$F$21)^2)/$C$30+(-#REF!*COS($F$18*PI()/180)*$F$21)*$C$25*1000)/9.81*$O$99/$O$47*$F$193*#REF!-$N$47/$O$47*$C$20*$F$21</x:f>
        <x:v>#REF!</x:v>
      </x:c>
      <x:c r="P128" s="161" t="e">
        <x:f>(-#REF!*COS($F$18*PI()/180)*$F$21)*$P$99*$C$25*1000/9.81/$O$47*$D$193*#REF!-$N$47/$O$47*$C$20*$F$21</x:f>
        <x:v>#REF!</x:v>
      </x:c>
      <x:c r="Q128" s="162" t="e">
        <x:f>(SQRT(((-#REF!*SIN($F$18*PI()/180)*$F$21)*$C$25*1000)^2+(0.001*$C$25*1000*$F$21)^2)/$C$30+(-#REF!*COS($F$18*PI()/180)*$F$21)*$C$25*1000)/9.81*$Q$99/$O$47*$F$193*#REF!-$N$47/$O$47*$C$20*$F$21</x:f>
        <x:v>#REF!</x:v>
      </x:c>
      <x:c r="R128" s="161" t="e">
        <x:f>(-#REF!*COS($F$18*PI()/180)*$F$21)*$R$99*$C$25*1000/9.81/$O$47*$D$193*#REF!-$N$47/$O$47*$C$20*$F$21</x:f>
        <x:v>#REF!</x:v>
      </x:c>
      <x:c r="S128" s="162" t="e">
        <x:f>(SQRT(((-#REF!*SIN($F$18*PI()/180)*$F$21)*$C$25*1000)^2+(0.001*$C$25*1000*$F$21)^2)/$C$30+(-#REF!*COS($F$18*PI()/180)*$F$21)*$C$25*1000)/9.81*$S$99/$O$47*$F$193*#REF!-$N$47/$O$47*$C$20*$F$21</x:f>
        <x:v>#REF!</x:v>
      </x:c>
      <x:c r="T128" s="161" t="e">
        <x:f>(-#REF!*COS($F$18*PI()/180)*$F$21)*$T$99*$C$25*1000/9.81/$O$47*$D$193*#REF!-$N$47/$O$47*$C$20*$F$21</x:f>
        <x:v>#REF!</x:v>
      </x:c>
      <x:c r="U128" s="162" t="e">
        <x:f>(SQRT(((-#REF!*SIN($F$18*PI()/180)*$F$21)*$C$25*1000)^2+(0.001*$C$25*1000*$F$21)^2)/$C$30+(-#REF!*COS($F$18*PI()/180)*$F$21)*$C$25*1000)/9.81*$U$99/$O$47*$F$193*#REF!-$N$47/$O$47*$C$20*$F$21</x:f>
        <x:v>#REF!</x:v>
      </x:c>
      <x:c r="V128" s="161" t="e">
        <x:f>(-#REF!*COS($F$18*PI()/180)*$F$21)*$V$99*$C$25*1000/9.81/$O$47*$D$193*#REF!-$N$47/$O$47*$C$20*$F$21</x:f>
        <x:v>#REF!</x:v>
      </x:c>
      <x:c r="W128" s="162" t="e">
        <x:f>(SQRT(((-#REF!*SIN($F$18*PI()/180)*$F$21)*$C$25*1000)^2+(0.001*$C$25*1000*$F$21)^2)/$C$30+(-#REF!*COS($F$18*PI()/180)*$F$21)*$C$25*1000)/9.81*$W$99/$O$47*$F$193*#REF!-$N$47/$O$47*$C$20*$F$21</x:f>
        <x:v>#REF!</x:v>
      </x:c>
      <x:c r="X128" s="161" t="e">
        <x:f>(-#REF!*COS($F$18*PI()/180)*$F$21)*$X$99*$C$25*1000/9.81/$O$47*$D$193*#REF!-$N$47/$O$47*$C$20*$F$21</x:f>
        <x:v>#REF!</x:v>
      </x:c>
      <x:c r="Y128" s="162" t="e">
        <x:f>(SQRT(((-#REF!*SIN($F$18*PI()/180)*$F$21)*$C$25*1000)^2+(0.001*$C$25*1000*$F$21)^2)/$C$30+(-#REF!*COS($F$18*PI()/180)*$F$21)*$C$25*1000)/9.81*$Y$99/$O$47*$F$193*#REF!-$N$47/$O$47*$C$20*$F$21</x:f>
        <x:v>#REF!</x:v>
      </x:c>
      <x:c r="Z128" s="161">
        <x:f ca="1">(-'int. presets cp_10d'!K33*COS($F$18*PI()/180)*$F$21)*$Z$99*$C$25*1000/9.81/$O$47*$D$193*'int. presets cp_10d'!$K$214-$N$47/$O$47*$C$20*$F$21</x:f>
        <x:v>0.56504869044432127</x:v>
      </x:c>
      <x:c r="AA128" s="1030">
        <x:f ca="1">(SQRT(((-'int. presets cp_10d'!F33*SIN($F$18*PI()/180)*$F$21)*$C$25*1000)^2+(0.001*$C$25*1000*$F$21)^2)/$C$30+(-'int. presets cp_10d'!F33*COS($F$18*PI()/180)*$F$21)*$C$25*1000)/9.81*$AA$99/$O$47*$F$193*'int. presets cp_10d'!$F$214-$N$47/$O$47*$C$20*$F$21</x:f>
        <x:v>13.444432528507459</x:v>
      </x:c>
    </x:row>
    <x:row r="129" spans="2:27" ht="16.5" customHeight="1" thickTop="1" thickBot="1" x14ac:dyDescent="0.25">
      <x:c r="B129" s="1380" t="s">
        <x:v>342</x:v>
      </x:c>
      <x:c r="C129" s="1381"/>
      <x:c r="D129" s="1381"/>
      <x:c r="E129" s="1381"/>
      <x:c r="F129" s="1381"/>
      <x:c r="G129" s="1381"/>
      <x:c r="H129" s="1381"/>
      <x:c r="I129" s="1381"/>
      <x:c r="J129" s="1381"/>
      <x:c r="K129" s="1381"/>
      <x:c r="L129" s="1382"/>
      <x:c r="M129" s="1067"/>
      <x:c r="N129" s="1006"/>
      <x:c r="O129" s="1007"/>
      <x:c r="P129" s="1007"/>
      <x:c r="Q129" s="1007"/>
      <x:c r="R129" s="1007"/>
      <x:c r="S129" s="1007"/>
      <x:c r="T129" s="1007"/>
      <x:c r="U129" s="1007"/>
      <x:c r="V129" s="1007"/>
      <x:c r="W129" s="1007"/>
      <x:c r="X129" s="1007"/>
      <x:c r="Y129" s="1007"/>
      <x:c r="Z129" s="1007"/>
      <x:c r="AA129" s="1010"/>
    </x:row>
    <x:row r="130" spans="2:27" x14ac:dyDescent="0.2">
      <x:c r="B130" s="1345" t="s">
        <x:v>460</x:v>
      </x:c>
      <x:c r="C130" s="1346">
        <x:v>0</x:v>
      </x:c>
      <x:c r="D130" s="1347">
        <x:v>0</x:v>
      </x:c>
      <x:c r="E130" s="545" t="s">
        <x:v>461</x:v>
      </x:c>
      <x:c r="F130" s="1053" t="e">
        <x:f t="shared" ref="F130:F137" si="82">MAX(N130,O130)</x:f>
        <x:v>#REF!</x:v>
      </x:c>
      <x:c r="G130" s="1053" t="e">
        <x:f t="shared" ref="G130:G137" si="83">MAX(P130,Q130)</x:f>
        <x:v>#REF!</x:v>
      </x:c>
      <x:c r="H130" s="1053" t="e">
        <x:f t="shared" si="72"/>
        <x:v>#REF!</x:v>
      </x:c>
      <x:c r="I130" s="1061" t="e">
        <x:f t="shared" si="73"/>
        <x:v>#REF!</x:v>
      </x:c>
      <x:c r="J130" s="1053" t="e">
        <x:f t="shared" si="74"/>
        <x:v>#REF!</x:v>
      </x:c>
      <x:c r="K130" s="1062" t="e">
        <x:f t="shared" si="75"/>
        <x:v>#REF!</x:v>
      </x:c>
      <x:c r="L130" s="940">
        <x:f t="shared" ca="1" si="76"/>
        <x:v>31.914582583775374</x:v>
      </x:c>
      <x:c r="M130" s="1071">
        <x:f t="shared" ca="1" si="77"/>
        <x:v>70.359527055842861</x:v>
      </x:c>
      <x:c r="N130" s="497" t="e">
        <x:f>(-#REF!*COS($F$18*PI()/180)*$F$21)*$N$99*$C$25*1000/9.81/$O$47*$D$193*#REF!-$N$47/$O$47*$C$20*$F$21</x:f>
        <x:v>#REF!</x:v>
      </x:c>
      <x:c r="O130" s="198" t="e">
        <x:f>(SQRT(((-#REF!*SIN($F$18*PI()/180)*$F$21)*$C$25*1000)^2+(0.001*$C$25*1000*$F$21)^2)/$C$30+(-#REF!*COS($F$18*PI()/180)*$F$21)*$C$25*1000)/9.81*$O$99/$O$47*$F$193*#REF!-$N$47/$O$47*$C$20*$F$21</x:f>
        <x:v>#REF!</x:v>
      </x:c>
      <x:c r="P130" s="181" t="e">
        <x:f>(-#REF!*COS($F$18*PI()/180)*$F$21)*$P$99*$C$25*1000/9.81/$O$47*$D$193*#REF!-$N$47/$O$47*$C$20*$F$21</x:f>
        <x:v>#REF!</x:v>
      </x:c>
      <x:c r="Q130" s="198" t="e">
        <x:f>(SQRT(((-#REF!*SIN($F$18*PI()/180)*$F$21)*$C$25*1000)^2+(0.001*$C$25*1000*$F$21)^2)/$C$30+(-#REF!*COS($F$18*PI()/180)*$F$21)*$C$25*1000)/9.81*$Q$99/$O$47*$F$193*#REF!-$N$47/$O$47*$C$20*$F$21</x:f>
        <x:v>#REF!</x:v>
      </x:c>
      <x:c r="R130" s="181" t="e">
        <x:f>(-#REF!*COS($F$18*PI()/180)*$F$21)*$R$99*$C$25*1000/9.81/$O$47*$D$193*#REF!-$N$47/$O$47*$C$20*$F$21</x:f>
        <x:v>#REF!</x:v>
      </x:c>
      <x:c r="S130" s="198" t="e">
        <x:f>(SQRT(((-#REF!*SIN($F$18*PI()/180)*$F$21)*$C$25*1000)^2+(0.001*$C$25*1000*$F$21)^2)/$C$30+(-#REF!*COS($F$18*PI()/180)*$F$21)*$C$25*1000)/9.81*$S$99/$O$47*$F$193*#REF!-$N$47/$O$47*$C$20*$F$21</x:f>
        <x:v>#REF!</x:v>
      </x:c>
      <x:c r="T130" s="181" t="e">
        <x:f>(-#REF!*COS($F$18*PI()/180)*$F$21)*$T$99*$C$25*1000/9.81/$O$47*$D$193*#REF!-$N$47/$O$47*$C$20*$F$21</x:f>
        <x:v>#REF!</x:v>
      </x:c>
      <x:c r="U130" s="198" t="e">
        <x:f>(SQRT(((-#REF!*SIN($F$18*PI()/180)*$F$21)*$C$25*1000)^2+(0.001*$C$25*1000*$F$21)^2)/$C$30+(-#REF!*COS($F$18*PI()/180)*$F$21)*$C$25*1000)/9.81*$U$99/$O$47*$F$193*#REF!-$N$47/$O$47*$C$20*$F$21</x:f>
        <x:v>#REF!</x:v>
      </x:c>
      <x:c r="V130" s="181" t="e">
        <x:f>(-#REF!*COS($F$18*PI()/180)*$F$21)*$V$99*$C$25*1000/9.81/$O$47*$D$193*#REF!-$N$47/$O$47*$C$20*$F$21</x:f>
        <x:v>#REF!</x:v>
      </x:c>
      <x:c r="W130" s="198" t="e">
        <x:f>(SQRT(((-#REF!*SIN($F$18*PI()/180)*$F$21)*$C$25*1000)^2+(0.001*$C$25*1000*$F$21)^2)/$C$30+(-#REF!*COS($F$18*PI()/180)*$F$21)*$C$25*1000)/9.81*$W$99/$O$47*$F$193*#REF!-$N$47/$O$47*$C$20*$F$21</x:f>
        <x:v>#REF!</x:v>
      </x:c>
      <x:c r="X130" s="181" t="e">
        <x:f>(-#REF!*COS($F$18*PI()/180)*$F$21)*$X$99*$C$25*1000/9.81/$O$47*$D$193*#REF!-$N$47/$O$47*$C$20*$F$21</x:f>
        <x:v>#REF!</x:v>
      </x:c>
      <x:c r="Y130" s="198" t="e">
        <x:f>(SQRT(((-#REF!*SIN($F$18*PI()/180)*$F$21)*$C$25*1000)^2+(0.001*$C$25*1000*$F$21)^2)/$C$30+(-#REF!*COS($F$18*PI()/180)*$F$21)*$C$25*1000)/9.81*$Y$99/$O$47*$F$193*#REF!-$N$47/$O$47*$C$20*$F$21</x:f>
        <x:v>#REF!</x:v>
      </x:c>
      <x:c r="Z130" s="181">
        <x:f ca="1">(-'int. presets cp_10d'!L26*COS($F$18*PI()/180)*$F$21)*$Z$99*$C$25*1000/9.81/$O$47*$D$193*'int. presets cp_10d'!$L$214-$N$47/$O$47*$C$20*$F$21</x:f>
        <x:v>31.914582583775374</x:v>
      </x:c>
      <x:c r="AA130" s="1026">
        <x:f ca="1">(SQRT(((-'int. presets cp_10d'!G26*SIN($F$18*PI()/180)*$F$21)*$C$25*1000)^2+(0.001*$C$25*1000*$F$21)^2)/$C$30+(-'int. presets cp_10d'!G26*COS($F$18*PI()/180)*$F$21)*$C$25*1000)/9.81*$AA$99/$O$47*$F$193*'int. presets cp_10d'!$G$214-$N$47/$O$47*$C$20*$F$21</x:f>
        <x:v>10.481207779137069</x:v>
      </x:c>
    </x:row>
    <x:row r="131" spans="2:27" ht="13.5" thickBot="1" x14ac:dyDescent="0.25">
      <x:c r="B131" s="1348">
        <x:v>0</x:v>
      </x:c>
      <x:c r="C131" s="1349">
        <x:v>0</x:v>
      </x:c>
      <x:c r="D131" s="1350">
        <x:v>0</x:v>
      </x:c>
      <x:c r="E131" s="547" t="s">
        <x:v>462</x:v>
      </x:c>
      <x:c r="F131" s="1055" t="e">
        <x:f t="shared" si="82"/>
        <x:v>#REF!</x:v>
      </x:c>
      <x:c r="G131" s="1055" t="e">
        <x:f t="shared" si="83"/>
        <x:v>#REF!</x:v>
      </x:c>
      <x:c r="H131" s="1055" t="e">
        <x:f t="shared" si="72"/>
        <x:v>#REF!</x:v>
      </x:c>
      <x:c r="I131" s="1056" t="e">
        <x:f t="shared" si="73"/>
        <x:v>#REF!</x:v>
      </x:c>
      <x:c r="J131" s="1055" t="e">
        <x:f t="shared" si="74"/>
        <x:v>#REF!</x:v>
      </x:c>
      <x:c r="K131" s="1063" t="e">
        <x:f t="shared" si="75"/>
        <x:v>#REF!</x:v>
      </x:c>
      <x:c r="L131" s="941">
        <x:f t="shared" ca="1" si="76"/>
        <x:v>29.880273884463161</x:v>
      </x:c>
      <x:c r="M131" s="1072">
        <x:f t="shared" ca="1" si="77"/>
        <x:v>65.874649411165166</x:v>
      </x:c>
      <x:c r="N131" s="1068" t="e">
        <x:f>(-#REF!*COS($F$18*PI()/180)*$F$21)*$N$99*$C$25*1000/9.81/$O$47*$D$193*#REF!-$N$47/$O$47*$C$20*$F$21</x:f>
        <x:v>#REF!</x:v>
      </x:c>
      <x:c r="O131" s="164" t="e">
        <x:f>(SQRT(((-#REF!*SIN($F$18*PI()/180)*$F$21)*$C$25*1000)^2+(0.001*$C$25*1000*$F$21)^2)/$C$30+(-#REF!*COS($F$18*PI()/180)*$F$21)*$C$25*1000)/9.81*$O$99/$O$47*$F$193*#REF!-$N$47/$O$47*$C$20*$F$21</x:f>
        <x:v>#REF!</x:v>
      </x:c>
      <x:c r="P131" s="199" t="e">
        <x:f>(-#REF!*COS($F$18*PI()/180)*$F$21)*$P$99*$C$25*1000/9.81/$O$47*$D$193*#REF!-$N$47/$O$47*$C$20*$F$21</x:f>
        <x:v>#REF!</x:v>
      </x:c>
      <x:c r="Q131" s="164" t="e">
        <x:f>(SQRT(((-#REF!*SIN($F$18*PI()/180)*$F$21)*$C$25*1000)^2+(0.001*$C$25*1000*$F$21)^2)/$C$30+(-#REF!*COS($F$18*PI()/180)*$F$21)*$C$25*1000)/9.81*$Q$99/$O$47*$F$193*#REF!-$N$47/$O$47*$C$20*$F$21</x:f>
        <x:v>#REF!</x:v>
      </x:c>
      <x:c r="R131" s="199" t="e">
        <x:f>(-#REF!*COS($F$18*PI()/180)*$F$21)*$R$99*$C$25*1000/9.81/$O$47*$D$193*#REF!-$N$47/$O$47*$C$20*$F$21</x:f>
        <x:v>#REF!</x:v>
      </x:c>
      <x:c r="S131" s="164" t="e">
        <x:f>(SQRT(((-#REF!*SIN($F$18*PI()/180)*$F$21)*$C$25*1000)^2+(0.001*$C$25*1000*$F$21)^2)/$C$30+(-#REF!*COS($F$18*PI()/180)*$F$21)*$C$25*1000)/9.81*$S$99/$O$47*$F$193*#REF!-$N$47/$O$47*$C$20*$F$21</x:f>
        <x:v>#REF!</x:v>
      </x:c>
      <x:c r="T131" s="199" t="e">
        <x:f>(-#REF!*COS($F$18*PI()/180)*$F$21)*$T$99*$C$25*1000/9.81/$O$47*$D$193*#REF!-$N$47/$O$47*$C$20*$F$21</x:f>
        <x:v>#REF!</x:v>
      </x:c>
      <x:c r="U131" s="164" t="e">
        <x:f>(SQRT(((-#REF!*SIN($F$18*PI()/180)*$F$21)*$C$25*1000)^2+(0.001*$C$25*1000*$F$21)^2)/$C$30+(-#REF!*COS($F$18*PI()/180)*$F$21)*$C$25*1000)/9.81*$U$99/$O$47*$F$193*#REF!-$N$47/$O$47*$C$20*$F$21</x:f>
        <x:v>#REF!</x:v>
      </x:c>
      <x:c r="V131" s="199" t="e">
        <x:f>(-#REF!*COS($F$18*PI()/180)*$F$21)*$V$99*$C$25*1000/9.81/$O$47*$D$193*#REF!-$N$47/$O$47*$C$20*$F$21</x:f>
        <x:v>#REF!</x:v>
      </x:c>
      <x:c r="W131" s="164" t="e">
        <x:f>(SQRT(((-#REF!*SIN($F$18*PI()/180)*$F$21)*$C$25*1000)^2+(0.001*$C$25*1000*$F$21)^2)/$C$30+(-#REF!*COS($F$18*PI()/180)*$F$21)*$C$25*1000)/9.81*$W$99/$O$47*$F$193*#REF!-$N$47/$O$47*$C$20*$F$21</x:f>
        <x:v>#REF!</x:v>
      </x:c>
      <x:c r="X131" s="199" t="e">
        <x:f>(-#REF!*COS($F$18*PI()/180)*$F$21)*$X$99*$C$25*1000/9.81/$O$47*$D$193*#REF!-$N$47/$O$47*$C$20*$F$21</x:f>
        <x:v>#REF!</x:v>
      </x:c>
      <x:c r="Y131" s="164" t="e">
        <x:f>(SQRT(((-#REF!*SIN($F$18*PI()/180)*$F$21)*$C$25*1000)^2+(0.001*$C$25*1000*$F$21)^2)/$C$30+(-#REF!*COS($F$18*PI()/180)*$F$21)*$C$25*1000)/9.81*$Y$99/$O$47*$F$193*#REF!-$N$47/$O$47*$C$20*$F$21</x:f>
        <x:v>#REF!</x:v>
      </x:c>
      <x:c r="Z131" s="199">
        <x:f ca="1">(-'int. presets cp_10d'!L27*COS($F$18*PI()/180)*$F$21)*$Z$99*$C$25*1000/9.81/$O$47*$D$193*'int. presets cp_10d'!$L$214-$N$47/$O$47*$C$20*$F$21</x:f>
        <x:v>29.880273884463161</x:v>
      </x:c>
      <x:c r="AA131" s="1028">
        <x:f ca="1">(SQRT(((-'int. presets cp_10d'!G27*SIN($F$18*PI()/180)*$F$21)*$C$25*1000)^2+(0.001*$C$25*1000*$F$21)^2)/$C$30+(-'int. presets cp_10d'!G27*COS($F$18*PI()/180)*$F$21)*$C$25*1000)/9.81*$AA$99/$O$47*$F$193*'int. presets cp_10d'!$G$214-$N$47/$O$47*$C$20*$F$21</x:f>
        <x:v>10.481207779137069</x:v>
      </x:c>
    </x:row>
    <x:row r="132" spans="2:27" ht="12.75" customHeight="1" x14ac:dyDescent="0.2">
      <x:c r="B132" s="1345" t="s">
        <x:v>463</x:v>
      </x:c>
      <x:c r="C132" s="1346">
        <x:v>0</x:v>
      </x:c>
      <x:c r="D132" s="1347" t="s">
        <x:v>463</x:v>
      </x:c>
      <x:c r="E132" s="546" t="s">
        <x:v>461</x:v>
      </x:c>
      <x:c r="F132" s="1057" t="e">
        <x:f t="shared" si="82"/>
        <x:v>#REF!</x:v>
      </x:c>
      <x:c r="G132" s="1057" t="e">
        <x:f t="shared" si="83"/>
        <x:v>#REF!</x:v>
      </x:c>
      <x:c r="H132" s="1057" t="e">
        <x:f t="shared" si="72"/>
        <x:v>#REF!</x:v>
      </x:c>
      <x:c r="I132" s="1054" t="e">
        <x:f t="shared" si="73"/>
        <x:v>#REF!</x:v>
      </x:c>
      <x:c r="J132" s="1057" t="e">
        <x:f t="shared" si="74"/>
        <x:v>#REF!</x:v>
      </x:c>
      <x:c r="K132" s="1064" t="e">
        <x:f t="shared" si="75"/>
        <x:v>#REF!</x:v>
      </x:c>
      <x:c r="L132" s="940">
        <x:f ca="1">MAX(Z132,AA132)</x:f>
        <x:v>10.481207779137069</x:v>
      </x:c>
      <x:c r="M132" s="1073">
        <x:f t="shared" ca="1" si="77"/>
        <x:v>23.107080294041165</x:v>
      </x:c>
      <x:c r="N132" s="1069" t="e">
        <x:f>(-#REF!*COS($F$18*PI()/180)*$F$21)*$N$99*$C$25*1000/9.81/$O$47*$D$193*#REF!-$N$47/$O$47*$C$20*$F$21</x:f>
        <x:v>#REF!</x:v>
      </x:c>
      <x:c r="O132" s="162" t="e">
        <x:f>(SQRT(((-#REF!*SIN($F$18*PI()/180)*$F$21)*$C$25*1000)^2+(0.001*$C$25*1000*$F$21)^2)/$C$30+(-#REF!*COS($F$18*PI()/180)*$F$21)*$C$25*1000)/9.81*$O$99/$O$47*$F$193*#REF!-$N$47/$O$47*$C$20*$F$21</x:f>
        <x:v>#REF!</x:v>
      </x:c>
      <x:c r="P132" s="161" t="e">
        <x:f>(-#REF!*COS($F$18*PI()/180)*$F$21)*$P$99*$C$25*1000/9.81/$O$47*$D$193*#REF!-$N$47/$O$47*$C$20*$F$21</x:f>
        <x:v>#REF!</x:v>
      </x:c>
      <x:c r="Q132" s="162" t="e">
        <x:f>(SQRT(((-#REF!*SIN($F$18*PI()/180)*$F$21)*$C$25*1000)^2+(0.001*$C$25*1000*$F$21)^2)/$C$30+(-#REF!*COS($F$18*PI()/180)*$F$21)*$C$25*1000)/9.81*$Q$99/$O$47*$F$193*#REF!-$N$47/$O$47*$C$20*$F$21</x:f>
        <x:v>#REF!</x:v>
      </x:c>
      <x:c r="R132" s="161" t="e">
        <x:f>(-#REF!*COS($F$18*PI()/180)*$F$21)*$R$99*$C$25*1000/9.81/$O$47*$D$193*#REF!-$N$47/$O$47*$C$20*$F$21</x:f>
        <x:v>#REF!</x:v>
      </x:c>
      <x:c r="S132" s="162" t="e">
        <x:f>(SQRT(((-#REF!*SIN($F$18*PI()/180)*$F$21)*$C$25*1000)^2+(0.001*$C$25*1000*$F$21)^2)/$C$30+(-#REF!*COS($F$18*PI()/180)*$F$21)*$C$25*1000)/9.81*$S$99/$O$47*$F$193*#REF!-$N$47/$O$47*$C$20*$F$21</x:f>
        <x:v>#REF!</x:v>
      </x:c>
      <x:c r="T132" s="161" t="e">
        <x:f>(-#REF!*COS($F$18*PI()/180)*$F$21)*$T$99*$C$25*1000/9.81/$O$47*$D$193*#REF!-$N$47/$O$47*$C$20*$F$21</x:f>
        <x:v>#REF!</x:v>
      </x:c>
      <x:c r="U132" s="162" t="e">
        <x:f>(SQRT(((-#REF!*SIN($F$18*PI()/180)*$F$21)*$C$25*1000)^2+(0.001*$C$25*1000*$F$21)^2)/$C$30+(-#REF!*COS($F$18*PI()/180)*$F$21)*$C$25*1000)/9.81*$U$99/$O$47*$F$193*#REF!-$N$47/$O$47*$C$20*$F$21</x:f>
        <x:v>#REF!</x:v>
      </x:c>
      <x:c r="V132" s="161" t="e">
        <x:f>(-#REF!*COS($F$18*PI()/180)*$F$21)*$V$99*$C$25*1000/9.81/$O$47*$D$193*#REF!-$N$47/$O$47*$C$20*$F$21</x:f>
        <x:v>#REF!</x:v>
      </x:c>
      <x:c r="W132" s="162" t="e">
        <x:f>(SQRT(((-#REF!*SIN($F$18*PI()/180)*$F$21)*$C$25*1000)^2+(0.001*$C$25*1000*$F$21)^2)/$C$30+(-#REF!*COS($F$18*PI()/180)*$F$21)*$C$25*1000)/9.81*$W$99/$O$47*$F$193*#REF!-$N$47/$O$47*$C$20*$F$21</x:f>
        <x:v>#REF!</x:v>
      </x:c>
      <x:c r="X132" s="161" t="e">
        <x:f>(-#REF!*COS($F$18*PI()/180)*$F$21)*$X$99*$C$25*1000/9.81/$O$47*$D$193*#REF!-$N$47/$O$47*$C$20*$F$21</x:f>
        <x:v>#REF!</x:v>
      </x:c>
      <x:c r="Y132" s="162" t="e">
        <x:f>(SQRT(((-#REF!*SIN($F$18*PI()/180)*$F$21)*$C$25*1000)^2+(0.001*$C$25*1000*$F$21)^2)/$C$30+(-#REF!*COS($F$18*PI()/180)*$F$21)*$C$25*1000)/9.81*$Y$99/$O$47*$F$193*#REF!-$N$47/$O$47*$C$20*$F$21</x:f>
        <x:v>#REF!</x:v>
      </x:c>
      <x:c r="Z132" s="161">
        <x:f ca="1">(-'int. presets cp_10d'!L28*COS($F$18*PI()/180)*$F$21)*$Z$99*$C$25*1000/9.81/$O$47*$D$193*'int. presets cp_10d'!$L$214-$N$47/$O$47*$C$20*$F$21</x:f>
        <x:v>-0.45050752637822455</x:v>
      </x:c>
      <x:c r="AA132" s="1030">
        <x:f ca="1">(SQRT(((-'int. presets cp_10d'!G28*SIN($F$18*PI()/180)*$F$21)*$C$25*1000)^2+(0.001*$C$25*1000*$F$21)^2)/$C$30+(-'int. presets cp_10d'!G28*COS($F$18*PI()/180)*$F$21)*$C$25*1000)/9.81*$AA$99/$O$47*$F$193*'int. presets cp_10d'!$G$214-$N$47/$O$47*$C$20*$F$21</x:f>
        <x:v>10.481207779137069</x:v>
      </x:c>
    </x:row>
    <x:row r="133" spans="2:27" ht="13.5" thickBot="1" x14ac:dyDescent="0.25">
      <x:c r="B133" s="1348" t="e">
        <x:v>#REF!</x:v>
      </x:c>
      <x:c r="C133" s="1349">
        <x:v>0</x:v>
      </x:c>
      <x:c r="D133" s="1350">
        <x:v>0</x:v>
      </x:c>
      <x:c r="E133" s="547" t="s">
        <x:v>462</x:v>
      </x:c>
      <x:c r="F133" s="1055" t="e">
        <x:f t="shared" si="82"/>
        <x:v>#REF!</x:v>
      </x:c>
      <x:c r="G133" s="1055" t="e">
        <x:f t="shared" si="83"/>
        <x:v>#REF!</x:v>
      </x:c>
      <x:c r="H133" s="1055" t="e">
        <x:f t="shared" si="72"/>
        <x:v>#REF!</x:v>
      </x:c>
      <x:c r="I133" s="1056" t="e">
        <x:f t="shared" si="73"/>
        <x:v>#REF!</x:v>
      </x:c>
      <x:c r="J133" s="1055" t="e">
        <x:f t="shared" si="74"/>
        <x:v>#REF!</x:v>
      </x:c>
      <x:c r="K133" s="1063" t="e">
        <x:f t="shared" si="75"/>
        <x:v>#REF!</x:v>
      </x:c>
      <x:c r="L133" s="941">
        <x:f t="shared" ca="1" si="76"/>
        <x:v>10.481207779137069</x:v>
      </x:c>
      <x:c r="M133" s="1072">
        <x:f t="shared" ca="1" si="77"/>
        <x:v>23.107080294041165</x:v>
      </x:c>
      <x:c r="N133" s="1068" t="e">
        <x:f>(-#REF!*COS($F$18*PI()/180)*$F$21)*$N$99*$C$25*1000/9.81/$O$47*$D$193*#REF!-$N$47/$O$47*$C$20*$F$21</x:f>
        <x:v>#REF!</x:v>
      </x:c>
      <x:c r="O133" s="164" t="e">
        <x:f>(SQRT(((-#REF!*SIN($F$18*PI()/180)*$F$21)*$C$25*1000)^2+(0.001*$C$25*1000*$F$21)^2)/$C$30+(-#REF!*COS($F$18*PI()/180)*$F$21)*$C$25*1000)/9.81*$O$99/$O$47*$F$193*#REF!-$N$47/$O$47*$C$20*$F$21</x:f>
        <x:v>#REF!</x:v>
      </x:c>
      <x:c r="P133" s="199" t="e">
        <x:f>(-#REF!*COS($F$18*PI()/180)*$F$21)*$P$99*$C$25*1000/9.81/$O$47*$D$193*#REF!-$N$47/$O$47*$C$20*$F$21</x:f>
        <x:v>#REF!</x:v>
      </x:c>
      <x:c r="Q133" s="164" t="e">
        <x:f>(SQRT(((-#REF!*SIN($F$18*PI()/180)*$F$21)*$C$25*1000)^2+(0.001*$C$25*1000*$F$21)^2)/$C$30+(-#REF!*COS($F$18*PI()/180)*$F$21)*$C$25*1000)/9.81*$Q$99/$O$47*$F$193*#REF!-$N$47/$O$47*$C$20*$F$21</x:f>
        <x:v>#REF!</x:v>
      </x:c>
      <x:c r="R133" s="199" t="e">
        <x:f>(-#REF!*COS($F$18*PI()/180)*$F$21)*$R$99*$C$25*1000/9.81/$O$47*$D$193*#REF!-$N$47/$O$47*$C$20*$F$21</x:f>
        <x:v>#REF!</x:v>
      </x:c>
      <x:c r="S133" s="164" t="e">
        <x:f>(SQRT(((-#REF!*SIN($F$18*PI()/180)*$F$21)*$C$25*1000)^2+(0.001*$C$25*1000*$F$21)^2)/$C$30+(-#REF!*COS($F$18*PI()/180)*$F$21)*$C$25*1000)/9.81*$S$99/$O$47*$F$193*#REF!-$N$47/$O$47*$C$20*$F$21</x:f>
        <x:v>#REF!</x:v>
      </x:c>
      <x:c r="T133" s="199" t="e">
        <x:f>(-#REF!*COS($F$18*PI()/180)*$F$21)*$T$99*$C$25*1000/9.81/$O$47*$D$193*#REF!-$N$47/$O$47*$C$20*$F$21</x:f>
        <x:v>#REF!</x:v>
      </x:c>
      <x:c r="U133" s="164" t="e">
        <x:f>(SQRT(((-#REF!*SIN($F$18*PI()/180)*$F$21)*$C$25*1000)^2+(0.001*$C$25*1000*$F$21)^2)/$C$30+(-#REF!*COS($F$18*PI()/180)*$F$21)*$C$25*1000)/9.81*$U$99/$O$47*$F$193*#REF!-$N$47/$O$47*$C$20*$F$21</x:f>
        <x:v>#REF!</x:v>
      </x:c>
      <x:c r="V133" s="199" t="e">
        <x:f>(-#REF!*COS($F$18*PI()/180)*$F$21)*$V$99*$C$25*1000/9.81/$O$47*$D$193*#REF!-$N$47/$O$47*$C$20*$F$21</x:f>
        <x:v>#REF!</x:v>
      </x:c>
      <x:c r="W133" s="164" t="e">
        <x:f>(SQRT(((-#REF!*SIN($F$18*PI()/180)*$F$21)*$C$25*1000)^2+(0.001*$C$25*1000*$F$21)^2)/$C$30+(-#REF!*COS($F$18*PI()/180)*$F$21)*$C$25*1000)/9.81*$W$99/$O$47*$F$193*#REF!-$N$47/$O$47*$C$20*$F$21</x:f>
        <x:v>#REF!</x:v>
      </x:c>
      <x:c r="X133" s="199" t="e">
        <x:f>(-#REF!*COS($F$18*PI()/180)*$F$21)*$X$99*$C$25*1000/9.81/$O$47*$D$193*#REF!-$N$47/$O$47*$C$20*$F$21</x:f>
        <x:v>#REF!</x:v>
      </x:c>
      <x:c r="Y133" s="164" t="e">
        <x:f>(SQRT(((-#REF!*SIN($F$18*PI()/180)*$F$21)*$C$25*1000)^2+(0.001*$C$25*1000*$F$21)^2)/$C$30+(-#REF!*COS($F$18*PI()/180)*$F$21)*$C$25*1000)/9.81*$Y$99/$O$47*$F$193*#REF!-$N$47/$O$47*$C$20*$F$21</x:f>
        <x:v>#REF!</x:v>
      </x:c>
      <x:c r="Z133" s="199">
        <x:f ca="1">(-'int. presets cp_10d'!L29*COS($F$18*PI()/180)*$F$21)*$Z$99*$C$25*1000/9.81/$O$47*$D$193*'int. presets cp_10d'!$L$214-$N$47/$O$47*$C$20*$F$21</x:f>
        <x:v>-1.9617210493227795</x:v>
      </x:c>
      <x:c r="AA133" s="1028">
        <x:f ca="1">(SQRT(((-'int. presets cp_10d'!G29*SIN($F$18*PI()/180)*$F$21)*$C$25*1000)^2+(0.001*$C$25*1000*$F$21)^2)/$C$30+(-'int. presets cp_10d'!G29*COS($F$18*PI()/180)*$F$21)*$C$25*1000)/9.81*$AA$99/$O$47*$F$193*'int. presets cp_10d'!$G$214-$N$47/$O$47*$C$20*$F$21</x:f>
        <x:v>10.481207779137069</x:v>
      </x:c>
    </x:row>
    <x:row r="134" spans="2:27" ht="12.75" customHeight="1" x14ac:dyDescent="0.2">
      <x:c r="B134" s="1345" t="s">
        <x:v>464</x:v>
      </x:c>
      <x:c r="C134" s="1346">
        <x:v>0</x:v>
      </x:c>
      <x:c r="D134" s="1347" t="s">
        <x:v>464</x:v>
      </x:c>
      <x:c r="E134" s="546" t="s">
        <x:v>461</x:v>
      </x:c>
      <x:c r="F134" s="1057" t="e">
        <x:f t="shared" si="82"/>
        <x:v>#REF!</x:v>
      </x:c>
      <x:c r="G134" s="1057" t="e">
        <x:f t="shared" si="83"/>
        <x:v>#REF!</x:v>
      </x:c>
      <x:c r="H134" s="1057" t="e">
        <x:f t="shared" si="72"/>
        <x:v>#REF!</x:v>
      </x:c>
      <x:c r="I134" s="1054" t="e">
        <x:f t="shared" si="73"/>
        <x:v>#REF!</x:v>
      </x:c>
      <x:c r="J134" s="1057" t="e">
        <x:f t="shared" si="74"/>
        <x:v>#REF!</x:v>
      </x:c>
      <x:c r="K134" s="1064" t="e">
        <x:f t="shared" si="75"/>
        <x:v>#REF!</x:v>
      </x:c>
      <x:c r="L134" s="940">
        <x:f t="shared" ca="1" si="76"/>
        <x:v>10.481207779137069</x:v>
      </x:c>
      <x:c r="M134" s="1073">
        <x:f t="shared" ca="1" si="77"/>
        <x:v>23.107080294041165</x:v>
      </x:c>
      <x:c r="N134" s="1069" t="e">
        <x:f>(-#REF!*COS($F$18*PI()/180)*$F$21)*$N$99*$C$25*1000/9.81/$O$47*$D$193*#REF!-$N$47/$O$47*$C$20*$F$21</x:f>
        <x:v>#REF!</x:v>
      </x:c>
      <x:c r="O134" s="162" t="e">
        <x:f>(SQRT(((-#REF!*SIN($F$18*PI()/180)*$F$21)*$C$25*1000)^2+(0.001*$C$25*1000*$F$21)^2)/$C$30+(-#REF!*COS($F$18*PI()/180)*$F$21)*$C$25*1000)/9.81*$O$99/$O$47*$F$193*#REF!-$N$47/$O$47*$C$20*$F$21</x:f>
        <x:v>#REF!</x:v>
      </x:c>
      <x:c r="P134" s="161" t="e">
        <x:f>(-#REF!*COS($F$18*PI()/180)*$F$21)*$P$99*$C$25*1000/9.81/$O$47*$D$193*#REF!-$N$47/$O$47*$C$20*$F$21</x:f>
        <x:v>#REF!</x:v>
      </x:c>
      <x:c r="Q134" s="162" t="e">
        <x:f>(SQRT(((-#REF!*SIN($F$18*PI()/180)*$F$21)*$C$25*1000)^2+(0.001*$C$25*1000*$F$21)^2)/$C$30+(-#REF!*COS($F$18*PI()/180)*$F$21)*$C$25*1000)/9.81*$Q$99/$O$47*$F$193*#REF!-$N$47/$O$47*$C$20*$F$21</x:f>
        <x:v>#REF!</x:v>
      </x:c>
      <x:c r="R134" s="161" t="e">
        <x:f>(-#REF!*COS($F$18*PI()/180)*$F$21)*$R$99*$C$25*1000/9.81/$O$47*$D$193*#REF!-$N$47/$O$47*$C$20*$F$21</x:f>
        <x:v>#REF!</x:v>
      </x:c>
      <x:c r="S134" s="162" t="e">
        <x:f>(SQRT(((-#REF!*SIN($F$18*PI()/180)*$F$21)*$C$25*1000)^2+(0.001*$C$25*1000*$F$21)^2)/$C$30+(-#REF!*COS($F$18*PI()/180)*$F$21)*$C$25*1000)/9.81*$S$99/$O$47*$F$193*#REF!-$N$47/$O$47*$C$20*$F$21</x:f>
        <x:v>#REF!</x:v>
      </x:c>
      <x:c r="T134" s="161" t="e">
        <x:f>(-#REF!*COS($F$18*PI()/180)*$F$21)*$T$99*$C$25*1000/9.81/$O$47*$D$193*#REF!-$N$47/$O$47*$C$20*$F$21</x:f>
        <x:v>#REF!</x:v>
      </x:c>
      <x:c r="U134" s="162" t="e">
        <x:f>(SQRT(((-#REF!*SIN($F$18*PI()/180)*$F$21)*$C$25*1000)^2+(0.001*$C$25*1000*$F$21)^2)/$C$30+(-#REF!*COS($F$18*PI()/180)*$F$21)*$C$25*1000)/9.81*$U$99/$O$47*$F$193*#REF!-$N$47/$O$47*$C$20*$F$21</x:f>
        <x:v>#REF!</x:v>
      </x:c>
      <x:c r="V134" s="161" t="e">
        <x:f>(-#REF!*COS($F$18*PI()/180)*$F$21)*$V$99*$C$25*1000/9.81/$O$47*$D$193*#REF!-$N$47/$O$47*$C$20*$F$21</x:f>
        <x:v>#REF!</x:v>
      </x:c>
      <x:c r="W134" s="162" t="e">
        <x:f>(SQRT(((-#REF!*SIN($F$18*PI()/180)*$F$21)*$C$25*1000)^2+(0.001*$C$25*1000*$F$21)^2)/$C$30+(-#REF!*COS($F$18*PI()/180)*$F$21)*$C$25*1000)/9.81*$W$99/$O$47*$F$193*#REF!-$N$47/$O$47*$C$20*$F$21</x:f>
        <x:v>#REF!</x:v>
      </x:c>
      <x:c r="X134" s="161" t="e">
        <x:f>(-#REF!*COS($F$18*PI()/180)*$F$21)*$X$99*$C$25*1000/9.81/$O$47*$D$193*#REF!-$N$47/$O$47*$C$20*$F$21</x:f>
        <x:v>#REF!</x:v>
      </x:c>
      <x:c r="Y134" s="162" t="e">
        <x:f>(SQRT(((-#REF!*SIN($F$18*PI()/180)*$F$21)*$C$25*1000)^2+(0.001*$C$25*1000*$F$21)^2)/$C$30+(-#REF!*COS($F$18*PI()/180)*$F$21)*$C$25*1000)/9.81*$Y$99/$O$47*$F$193*#REF!-$N$47/$O$47*$C$20*$F$21</x:f>
        <x:v>#REF!</x:v>
      </x:c>
      <x:c r="Z134" s="161">
        <x:f ca="1">(-'int. presets cp_10d'!L30*COS($F$18*PI()/180)*$F$21)*$Z$99*$C$25*1000/9.81/$O$47*$D$193*'int. presets cp_10d'!$L$214-$N$47/$O$47*$C$20*$F$21</x:f>
        <x:v>4.8044634366396686</x:v>
      </x:c>
      <x:c r="AA134" s="1030">
        <x:f ca="1">(SQRT(((-'int. presets cp_10d'!G30*SIN($F$18*PI()/180)*$F$21)*$C$25*1000)^2+(0.001*$C$25*1000*$F$21)^2)/$C$30+(-'int. presets cp_10d'!G30*COS($F$18*PI()/180)*$F$21)*$C$25*1000)/9.81*$AA$99/$O$47*$F$193*'int. presets cp_10d'!$G$214-$N$47/$O$47*$C$20*$F$21</x:f>
        <x:v>10.481207779137069</x:v>
      </x:c>
    </x:row>
    <x:row r="135" spans="2:27" ht="13.5" customHeight="1" thickBot="1" x14ac:dyDescent="0.25">
      <x:c r="B135" s="1348" t="e">
        <x:v>#REF!</x:v>
      </x:c>
      <x:c r="C135" s="1349">
        <x:v>0</x:v>
      </x:c>
      <x:c r="D135" s="1350">
        <x:v>0</x:v>
      </x:c>
      <x:c r="E135" s="547" t="s">
        <x:v>462</x:v>
      </x:c>
      <x:c r="F135" s="1055" t="e">
        <x:f t="shared" si="82"/>
        <x:v>#REF!</x:v>
      </x:c>
      <x:c r="G135" s="1055" t="e">
        <x:f t="shared" si="83"/>
        <x:v>#REF!</x:v>
      </x:c>
      <x:c r="H135" s="1055" t="e">
        <x:f t="shared" si="72"/>
        <x:v>#REF!</x:v>
      </x:c>
      <x:c r="I135" s="1056" t="e">
        <x:f t="shared" si="73"/>
        <x:v>#REF!</x:v>
      </x:c>
      <x:c r="J135" s="1055" t="e">
        <x:f t="shared" si="74"/>
        <x:v>#REF!</x:v>
      </x:c>
      <x:c r="K135" s="1063" t="e">
        <x:f t="shared" si="75"/>
        <x:v>#REF!</x:v>
      </x:c>
      <x:c r="L135" s="941">
        <x:f t="shared" ca="1" si="76"/>
        <x:v>10.481207779137069</x:v>
      </x:c>
      <x:c r="M135" s="1072">
        <x:f t="shared" ca="1" si="77"/>
        <x:v>23.107080294041165</x:v>
      </x:c>
      <x:c r="N135" s="1068" t="e">
        <x:f>(-#REF!*COS($F$18*PI()/180)*$F$21)*$N$99*$C$25*1000/9.81/$O$47*$D$193*#REF!-$N$47/$O$47*$C$20*$F$21</x:f>
        <x:v>#REF!</x:v>
      </x:c>
      <x:c r="O135" s="164" t="e">
        <x:f>(SQRT(((-#REF!*SIN($F$18*PI()/180)*$F$21)*$C$25*1000)^2+(0.001*$C$25*1000*$F$21)^2)/$C$30+(-#REF!*COS($F$18*PI()/180)*$F$21)*$C$25*1000)/9.81*$O$99/$O$47*$F$193*#REF!-$N$47/$O$47*$C$20*$F$21</x:f>
        <x:v>#REF!</x:v>
      </x:c>
      <x:c r="P135" s="199" t="e">
        <x:f>(-#REF!*COS($F$18*PI()/180)*$F$21)*$P$99*$C$25*1000/9.81/$O$47*$D$193*#REF!-$N$47/$O$47*$C$20*$F$21</x:f>
        <x:v>#REF!</x:v>
      </x:c>
      <x:c r="Q135" s="164" t="e">
        <x:f>(SQRT(((-#REF!*SIN($F$18*PI()/180)*$F$21)*$C$25*1000)^2+(0.001*$C$25*1000*$F$21)^2)/$C$30+(-#REF!*COS($F$18*PI()/180)*$F$21)*$C$25*1000)/9.81*$Q$99/$O$47*$F$193*#REF!-$N$47/$O$47*$C$20*$F$21</x:f>
        <x:v>#REF!</x:v>
      </x:c>
      <x:c r="R135" s="199" t="e">
        <x:f>(-#REF!*COS($F$18*PI()/180)*$F$21)*$R$99*$C$25*1000/9.81/$O$47*$D$193*#REF!-$N$47/$O$47*$C$20*$F$21</x:f>
        <x:v>#REF!</x:v>
      </x:c>
      <x:c r="S135" s="164" t="e">
        <x:f>(SQRT(((-#REF!*SIN($F$18*PI()/180)*$F$21)*$C$25*1000)^2+(0.001*$C$25*1000*$F$21)^2)/$C$30+(-#REF!*COS($F$18*PI()/180)*$F$21)*$C$25*1000)/9.81*$S$99/$O$47*$F$193*#REF!-$N$47/$O$47*$C$20*$F$21</x:f>
        <x:v>#REF!</x:v>
      </x:c>
      <x:c r="T135" s="199" t="e">
        <x:f>(-#REF!*COS($F$18*PI()/180)*$F$21)*$T$99*$C$25*1000/9.81/$O$47*$D$193*#REF!-$N$47/$O$47*$C$20*$F$21</x:f>
        <x:v>#REF!</x:v>
      </x:c>
      <x:c r="U135" s="164" t="e">
        <x:f>(SQRT(((-#REF!*SIN($F$18*PI()/180)*$F$21)*$C$25*1000)^2+(0.001*$C$25*1000*$F$21)^2)/$C$30+(-#REF!*COS($F$18*PI()/180)*$F$21)*$C$25*1000)/9.81*$U$99/$O$47*$F$193*#REF!-$N$47/$O$47*$C$20*$F$21</x:f>
        <x:v>#REF!</x:v>
      </x:c>
      <x:c r="V135" s="199" t="e">
        <x:f>(-#REF!*COS($F$18*PI()/180)*$F$21)*$V$99*$C$25*1000/9.81/$O$47*$D$193*#REF!-$N$47/$O$47*$C$20*$F$21</x:f>
        <x:v>#REF!</x:v>
      </x:c>
      <x:c r="W135" s="164" t="e">
        <x:f>(SQRT(((-#REF!*SIN($F$18*PI()/180)*$F$21)*$C$25*1000)^2+(0.001*$C$25*1000*$F$21)^2)/$C$30+(-#REF!*COS($F$18*PI()/180)*$F$21)*$C$25*1000)/9.81*$W$99/$O$47*$F$193*#REF!-$N$47/$O$47*$C$20*$F$21</x:f>
        <x:v>#REF!</x:v>
      </x:c>
      <x:c r="X135" s="199" t="e">
        <x:f>(-#REF!*COS($F$18*PI()/180)*$F$21)*$X$99*$C$25*1000/9.81/$O$47*$D$193*#REF!-$N$47/$O$47*$C$20*$F$21</x:f>
        <x:v>#REF!</x:v>
      </x:c>
      <x:c r="Y135" s="164" t="e">
        <x:f>(SQRT(((-#REF!*SIN($F$18*PI()/180)*$F$21)*$C$25*1000)^2+(0.001*$C$25*1000*$F$21)^2)/$C$30+(-#REF!*COS($F$18*PI()/180)*$F$21)*$C$25*1000)/9.81*$Y$99/$O$47*$F$193*#REF!-$N$47/$O$47*$C$20*$F$21</x:f>
        <x:v>#REF!</x:v>
      </x:c>
      <x:c r="Z135" s="199">
        <x:f ca="1">(-'int. presets cp_10d'!L31*COS($F$18*PI()/180)*$F$21)*$Z$99*$C$25*1000/9.81/$O$47*$D$193*'int. presets cp_10d'!$L$214-$N$47/$O$47*$C$20*$F$21</x:f>
        <x:v>3.8486428586713402</x:v>
      </x:c>
      <x:c r="AA135" s="1028">
        <x:f ca="1">(SQRT(((-'int. presets cp_10d'!G31*SIN($F$18*PI()/180)*$F$21)*$C$25*1000)^2+(0.001*$C$25*1000*$F$21)^2)/$C$30+(-'int. presets cp_10d'!G31*COS($F$18*PI()/180)*$F$21)*$C$25*1000)/9.81*$AA$99/$O$47*$F$193*'int. presets cp_10d'!$G$214-$N$47/$O$47*$C$20*$F$21</x:f>
        <x:v>10.481207779137069</x:v>
      </x:c>
    </x:row>
    <x:row r="136" spans="2:27" x14ac:dyDescent="0.2">
      <x:c r="B136" s="1345" t="s">
        <x:v>465</x:v>
      </x:c>
      <x:c r="C136" s="1346">
        <x:v>0</x:v>
      </x:c>
      <x:c r="D136" s="1347" t="s">
        <x:v>465</x:v>
      </x:c>
      <x:c r="E136" s="546" t="s">
        <x:v>461</x:v>
      </x:c>
      <x:c r="F136" s="1057" t="e">
        <x:f t="shared" si="82"/>
        <x:v>#REF!</x:v>
      </x:c>
      <x:c r="G136" s="1057" t="e">
        <x:f t="shared" si="83"/>
        <x:v>#REF!</x:v>
      </x:c>
      <x:c r="H136" s="1057" t="e">
        <x:f t="shared" si="72"/>
        <x:v>#REF!</x:v>
      </x:c>
      <x:c r="I136" s="1054" t="e">
        <x:f t="shared" si="73"/>
        <x:v>#REF!</x:v>
      </x:c>
      <x:c r="J136" s="1057" t="e">
        <x:f t="shared" si="74"/>
        <x:v>#REF!</x:v>
      </x:c>
      <x:c r="K136" s="1064" t="e">
        <x:f t="shared" si="75"/>
        <x:v>#REF!</x:v>
      </x:c>
      <x:c r="L136" s="940">
        <x:f t="shared" ca="1" si="76"/>
        <x:v>10.481207779137069</x:v>
      </x:c>
      <x:c r="M136" s="1073">
        <x:f t="shared" ca="1" si="77"/>
        <x:v>23.107080294041165</x:v>
      </x:c>
      <x:c r="N136" s="1069" t="e">
        <x:f>(-#REF!*COS($F$18*PI()/180)*$F$21)*$N$99*$C$25*1000/9.81/$O$47*$D$193*#REF!-$N$47/$O$47*$C$20*$F$21</x:f>
        <x:v>#REF!</x:v>
      </x:c>
      <x:c r="O136" s="198" t="e">
        <x:f>(SQRT(((-#REF!*SIN($F$18*PI()/180)*$F$21)*$C$25*1000)^2+(0.001*$C$25*1000*$F$21)^2)/$C$30+(-#REF!*COS($F$18*PI()/180)*$F$21)*$C$25*1000)/9.81*$O$99/$O$47*$F$193*#REF!-$N$47/$O$47*$C$20*$F$21</x:f>
        <x:v>#REF!</x:v>
      </x:c>
      <x:c r="P136" s="161" t="e">
        <x:f>(-#REF!*COS($F$18*PI()/180)*$F$21)*$P$99*$C$25*1000/9.81/$O$47*$D$193*#REF!-$N$47/$O$47*$C$20*$F$21</x:f>
        <x:v>#REF!</x:v>
      </x:c>
      <x:c r="Q136" s="198" t="e">
        <x:f>(SQRT(((-#REF!*SIN($F$18*PI()/180)*$F$21)*$C$25*1000)^2+(0.001*$C$25*1000*$F$21)^2)/$C$30+(-#REF!*COS($F$18*PI()/180)*$F$21)*$C$25*1000)/9.81*$Q$99/$O$47*$F$193*#REF!-$N$47/$O$47*$C$20*$F$21</x:f>
        <x:v>#REF!</x:v>
      </x:c>
      <x:c r="R136" s="161" t="e">
        <x:f>(-#REF!*COS($F$18*PI()/180)*$F$21)*$R$99*$C$25*1000/9.81/$O$47*$D$193*#REF!-$N$47/$O$47*$C$20*$F$21</x:f>
        <x:v>#REF!</x:v>
      </x:c>
      <x:c r="S136" s="198" t="e">
        <x:f>(SQRT(((-#REF!*SIN($F$18*PI()/180)*$F$21)*$C$25*1000)^2+(0.001*$C$25*1000*$F$21)^2)/$C$30+(-#REF!*COS($F$18*PI()/180)*$F$21)*$C$25*1000)/9.81*$S$99/$O$47*$F$193*#REF!-$N$47/$O$47*$C$20*$F$21</x:f>
        <x:v>#REF!</x:v>
      </x:c>
      <x:c r="T136" s="161" t="e">
        <x:f>(-#REF!*COS($F$18*PI()/180)*$F$21)*$T$99*$C$25*1000/9.81/$O$47*$D$193*#REF!-$N$47/$O$47*$C$20*$F$21</x:f>
        <x:v>#REF!</x:v>
      </x:c>
      <x:c r="U136" s="198" t="e">
        <x:f>(SQRT(((-#REF!*SIN($F$18*PI()/180)*$F$21)*$C$25*1000)^2+(0.001*$C$25*1000*$F$21)^2)/$C$30+(-#REF!*COS($F$18*PI()/180)*$F$21)*$C$25*1000)/9.81*$U$99/$O$47*$F$193*#REF!-$N$47/$O$47*$C$20*$F$21</x:f>
        <x:v>#REF!</x:v>
      </x:c>
      <x:c r="V136" s="161" t="e">
        <x:f>(-#REF!*COS($F$18*PI()/180)*$F$21)*$V$99*$C$25*1000/9.81/$O$47*$D$193*#REF!-$N$47/$O$47*$C$20*$F$21</x:f>
        <x:v>#REF!</x:v>
      </x:c>
      <x:c r="W136" s="198" t="e">
        <x:f>(SQRT(((-#REF!*SIN($F$18*PI()/180)*$F$21)*$C$25*1000)^2+(0.001*$C$25*1000*$F$21)^2)/$C$30+(-#REF!*COS($F$18*PI()/180)*$F$21)*$C$25*1000)/9.81*$W$99/$O$47*$F$193*#REF!-$N$47/$O$47*$C$20*$F$21</x:f>
        <x:v>#REF!</x:v>
      </x:c>
      <x:c r="X136" s="161" t="e">
        <x:f>(-#REF!*COS($F$18*PI()/180)*$F$21)*$X$99*$C$25*1000/9.81/$O$47*$D$193*#REF!-$N$47/$O$47*$C$20*$F$21</x:f>
        <x:v>#REF!</x:v>
      </x:c>
      <x:c r="Y136" s="198" t="e">
        <x:f>(SQRT(((-#REF!*SIN($F$18*PI()/180)*$F$21)*$C$25*1000)^2+(0.001*$C$25*1000*$F$21)^2)/$C$30+(-#REF!*COS($F$18*PI()/180)*$F$21)*$C$25*1000)/9.81*$Y$99/$O$47*$F$193*#REF!-$N$47/$O$47*$C$20*$F$21</x:f>
        <x:v>#REF!</x:v>
      </x:c>
      <x:c r="Z136" s="161">
        <x:f ca="1">(-'int. presets cp_10d'!L32*COS($F$18*PI()/180)*$F$21)*$Z$99*$C$25*1000/9.81/$O$47*$D$193*'int. presets cp_10d'!$L$214-$N$47/$O$47*$C$20*$F$21</x:f>
        <x:v>-3.4729345722673379</x:v>
      </x:c>
      <x:c r="AA136" s="1026">
        <x:f ca="1">(SQRT(((-'int. presets cp_10d'!G32*SIN($F$18*PI()/180)*$F$21)*$C$25*1000)^2+(0.001*$C$25*1000*$F$21)^2)/$C$30+(-'int. presets cp_10d'!G32*COS($F$18*PI()/180)*$F$21)*$C$25*1000)/9.81*$AA$99/$O$47*$F$193*'int. presets cp_10d'!$G$214-$N$47/$O$47*$C$20*$F$21</x:f>
        <x:v>10.481207779137069</x:v>
      </x:c>
    </x:row>
    <x:row r="137" spans="2:27" ht="13.5" customHeight="1" thickBot="1" x14ac:dyDescent="0.25">
      <x:c r="B137" s="1351" t="e">
        <x:v>#REF!</x:v>
      </x:c>
      <x:c r="C137" s="1352">
        <x:v>0</x:v>
      </x:c>
      <x:c r="D137" s="1353">
        <x:v>0</x:v>
      </x:c>
      <x:c r="E137" s="993" t="s">
        <x:v>462</x:v>
      </x:c>
      <x:c r="F137" s="1055" t="e">
        <x:f t="shared" si="82"/>
        <x:v>#REF!</x:v>
      </x:c>
      <x:c r="G137" s="1055" t="e">
        <x:f t="shared" si="83"/>
        <x:v>#REF!</x:v>
      </x:c>
      <x:c r="H137" s="1055" t="e">
        <x:f t="shared" si="72"/>
        <x:v>#REF!</x:v>
      </x:c>
      <x:c r="I137" s="1056" t="e">
        <x:f t="shared" si="73"/>
        <x:v>#REF!</x:v>
      </x:c>
      <x:c r="J137" s="1055" t="e">
        <x:f t="shared" si="74"/>
        <x:v>#REF!</x:v>
      </x:c>
      <x:c r="K137" s="1063" t="e">
        <x:f t="shared" si="75"/>
        <x:v>#REF!</x:v>
      </x:c>
      <x:c r="L137" s="990">
        <x:f t="shared" ca="1" si="76"/>
        <x:v>10.481207779137069</x:v>
      </x:c>
      <x:c r="M137" s="1072">
        <x:f t="shared" ca="1" si="77"/>
        <x:v>23.107080294041165</x:v>
      </x:c>
      <x:c r="N137" s="1069" t="e">
        <x:f>(-#REF!*COS($F$18*PI()/180)*$F$21)*$N$99*$C$25*1000/9.81/$O$47*$D$193*#REF!-$N$47/$O$47*$C$20*$F$21</x:f>
        <x:v>#REF!</x:v>
      </x:c>
      <x:c r="O137" s="162" t="e">
        <x:f>(SQRT(((-#REF!*SIN($F$18*PI()/180)*$F$21)*$C$25*1000)^2+(0.001*$C$25*1000*$F$21)^2)/$C$30+(-#REF!*COS($F$18*PI()/180)*$F$21)*$C$25*1000)/9.81*$O$99/$O$47*$F$193*#REF!-$N$47/$O$47*$C$20*$F$21</x:f>
        <x:v>#REF!</x:v>
      </x:c>
      <x:c r="P137" s="161" t="e">
        <x:f>(-#REF!*COS($F$18*PI()/180)*$F$21)*$P$99*$C$25*1000/9.81/$O$47*$D$193*#REF!-$N$47/$O$47*$C$20*$F$21</x:f>
        <x:v>#REF!</x:v>
      </x:c>
      <x:c r="Q137" s="162" t="e">
        <x:f>(SQRT(((-#REF!*SIN($F$18*PI()/180)*$F$21)*$C$25*1000)^2+(0.001*$C$25*1000*$F$21)^2)/$C$30+(-#REF!*COS($F$18*PI()/180)*$F$21)*$C$25*1000)/9.81*$Q$99/$O$47*$F$193*#REF!-$N$47/$O$47*$C$20*$F$21</x:f>
        <x:v>#REF!</x:v>
      </x:c>
      <x:c r="R137" s="161" t="e">
        <x:f>(-#REF!*COS($F$18*PI()/180)*$F$21)*$R$99*$C$25*1000/9.81/$O$47*$D$193*#REF!-$N$47/$O$47*$C$20*$F$21</x:f>
        <x:v>#REF!</x:v>
      </x:c>
      <x:c r="S137" s="162" t="e">
        <x:f>(SQRT(((-#REF!*SIN($F$18*PI()/180)*$F$21)*$C$25*1000)^2+(0.001*$C$25*1000*$F$21)^2)/$C$30+(-#REF!*COS($F$18*PI()/180)*$F$21)*$C$25*1000)/9.81*$S$99/$O$47*$F$193*#REF!-$N$47/$O$47*$C$20*$F$21</x:f>
        <x:v>#REF!</x:v>
      </x:c>
      <x:c r="T137" s="161" t="e">
        <x:f>(-#REF!*COS($F$18*PI()/180)*$F$21)*$T$99*$C$25*1000/9.81/$O$47*$D$193*#REF!-$N$47/$O$47*$C$20*$F$21</x:f>
        <x:v>#REF!</x:v>
      </x:c>
      <x:c r="U137" s="162" t="e">
        <x:f>(SQRT(((-#REF!*SIN($F$18*PI()/180)*$F$21)*$C$25*1000)^2+(0.001*$C$25*1000*$F$21)^2)/$C$30+(-#REF!*COS($F$18*PI()/180)*$F$21)*$C$25*1000)/9.81*$U$99/$O$47*$F$193*#REF!-$N$47/$O$47*$C$20*$F$21</x:f>
        <x:v>#REF!</x:v>
      </x:c>
      <x:c r="V137" s="161" t="e">
        <x:f>(-#REF!*COS($F$18*PI()/180)*$F$21)*$V$99*$C$25*1000/9.81/$O$47*$D$193*#REF!-$N$47/$O$47*$C$20*$F$21</x:f>
        <x:v>#REF!</x:v>
      </x:c>
      <x:c r="W137" s="162" t="e">
        <x:f>(SQRT(((-#REF!*SIN($F$18*PI()/180)*$F$21)*$C$25*1000)^2+(0.001*$C$25*1000*$F$21)^2)/$C$30+(-#REF!*COS($F$18*PI()/180)*$F$21)*$C$25*1000)/9.81*$W$99/$O$47*$F$193*#REF!-$N$47/$O$47*$C$20*$F$21</x:f>
        <x:v>#REF!</x:v>
      </x:c>
      <x:c r="X137" s="161" t="e">
        <x:f>(-#REF!*COS($F$18*PI()/180)*$F$21)*$X$99*$C$25*1000/9.81/$O$47*$D$193*#REF!-$N$47/$O$47*$C$20*$F$21</x:f>
        <x:v>#REF!</x:v>
      </x:c>
      <x:c r="Y137" s="162" t="e">
        <x:f>(SQRT(((-#REF!*SIN($F$18*PI()/180)*$F$21)*$C$25*1000)^2+(0.001*$C$25*1000*$F$21)^2)/$C$30+(-#REF!*COS($F$18*PI()/180)*$F$21)*$C$25*1000)/9.81*$Y$99/$O$47*$F$193*#REF!-$N$47/$O$47*$C$20*$F$21</x:f>
        <x:v>#REF!</x:v>
      </x:c>
      <x:c r="Z137" s="161">
        <x:f ca="1">(-'int. presets cp_10d'!L33*COS($F$18*PI()/180)*$F$21)*$Z$99*$C$25*1000/9.81/$O$47*$D$193*'int. presets cp_10d'!$L$214-$N$47/$O$47*$C$20*$F$21</x:f>
        <x:v>-3.4729345722673379</x:v>
      </x:c>
      <x:c r="AA137" s="1030">
        <x:f ca="1">(SQRT(((-'int. presets cp_10d'!G33*SIN($F$18*PI()/180)*$F$21)*$C$25*1000)^2+(0.001*$C$25*1000*$F$21)^2)/$C$30+(-'int. presets cp_10d'!G33*COS($F$18*PI()/180)*$F$21)*$C$25*1000)/9.81*$AA$99/$O$47*$F$193*'int. presets cp_10d'!$G$214-$N$47/$O$47*$C$20*$F$21</x:f>
        <x:v>10.481207779137069</x:v>
      </x:c>
    </x:row>
    <x:row r="138" spans="2:27" ht="16.5" customHeight="1" thickTop="1" thickBot="1" x14ac:dyDescent="0.25">
      <x:c r="B138" s="1380" t="s">
        <x:v>343</x:v>
      </x:c>
      <x:c r="C138" s="1381"/>
      <x:c r="D138" s="1381"/>
      <x:c r="E138" s="1381"/>
      <x:c r="F138" s="1381"/>
      <x:c r="G138" s="1381"/>
      <x:c r="H138" s="1381"/>
      <x:c r="I138" s="1381"/>
      <x:c r="J138" s="1381"/>
      <x:c r="K138" s="1381"/>
      <x:c r="L138" s="1382"/>
      <x:c r="M138" s="1067"/>
      <x:c r="N138" s="1006"/>
      <x:c r="O138" s="1007"/>
      <x:c r="P138" s="1007"/>
      <x:c r="Q138" s="1007"/>
      <x:c r="R138" s="1007"/>
      <x:c r="S138" s="1007"/>
      <x:c r="T138" s="1007"/>
      <x:c r="U138" s="1007"/>
      <x:c r="V138" s="1007"/>
      <x:c r="W138" s="1007"/>
      <x:c r="X138" s="1007"/>
      <x:c r="Y138" s="1007"/>
      <x:c r="Z138" s="1007"/>
      <x:c r="AA138" s="1010"/>
    </x:row>
    <x:row r="139" spans="2:27" x14ac:dyDescent="0.2">
      <x:c r="B139" s="1345" t="s">
        <x:v>460</x:v>
      </x:c>
      <x:c r="C139" s="1346"/>
      <x:c r="D139" s="1347"/>
      <x:c r="E139" s="351" t="s">
        <x:v>461</x:v>
      </x:c>
      <x:c r="F139" s="1053" t="e">
        <x:f t="shared" ref="F139:F146" si="84">MAX(N139,O139)</x:f>
        <x:v>#REF!</x:v>
      </x:c>
      <x:c r="G139" s="1053" t="e">
        <x:f t="shared" ref="G139:G146" si="85">MAX(P139,Q139)</x:f>
        <x:v>#REF!</x:v>
      </x:c>
      <x:c r="H139" s="1053" t="e">
        <x:f t="shared" si="72"/>
        <x:v>#REF!</x:v>
      </x:c>
      <x:c r="I139" s="1061" t="e">
        <x:f t="shared" si="73"/>
        <x:v>#REF!</x:v>
      </x:c>
      <x:c r="J139" s="1053" t="e">
        <x:f t="shared" si="74"/>
        <x:v>#REF!</x:v>
      </x:c>
      <x:c r="K139" s="1062" t="e">
        <x:f t="shared" si="75"/>
        <x:v>#REF!</x:v>
      </x:c>
      <x:c r="L139" s="940">
        <x:f t="shared" ca="1" si="76"/>
        <x:v>30.676164273904103</x:v>
      </x:c>
      <x:c r="M139" s="1071">
        <x:f t="shared" ca="1" si="77"/>
        <x:v>67.62928528153445</x:v>
      </x:c>
      <x:c r="N139" s="497" t="e">
        <x:f>(-#REF!*COS($F$18*PI()/180)*$F$21)*$N$99*$C$25*1000/9.81/$O$47*$D$193*#REF!-$N$47/$O$47*$C$20*$F$21</x:f>
        <x:v>#REF!</x:v>
      </x:c>
      <x:c r="O139" s="198" t="e">
        <x:f>(SQRT(((-#REF!*SIN($F$18*PI()/180)*$F$21)*$C$25*1000)^2+(0.001*$C$25*1000*$F$21)^2)/$C$30+(-#REF!*COS($F$18*PI()/180)*$F$21)*$C$25*1000)/9.81*$O$99/$O$47*$F$193*#REF!-$N$47/$O$47*$C$20*$F$21</x:f>
        <x:v>#REF!</x:v>
      </x:c>
      <x:c r="P139" s="181" t="e">
        <x:f>(-#REF!*COS($F$18*PI()/180)*$F$21)*$P$99*$C$25*1000/9.81/$O$47*$D$193*#REF!-$N$47/$O$47*$C$20*$F$21</x:f>
        <x:v>#REF!</x:v>
      </x:c>
      <x:c r="Q139" s="198" t="e">
        <x:f>(SQRT(((-#REF!*SIN($F$18*PI()/180)*$F$21)*$C$25*1000)^2+(0.001*$C$25*1000*$F$21)^2)/$C$30+(-#REF!*COS($F$18*PI()/180)*$F$21)*$C$25*1000)/9.81*$Q$99/$O$47*$F$193*#REF!-$N$47/$O$47*$C$20*$F$21</x:f>
        <x:v>#REF!</x:v>
      </x:c>
      <x:c r="R139" s="181" t="e">
        <x:f>(-#REF!*COS($F$18*PI()/180)*$F$21)*$R$99*$C$25*1000/9.81/$O$47*$D$193*#REF!-$N$47/$O$47*$C$20*$F$21</x:f>
        <x:v>#REF!</x:v>
      </x:c>
      <x:c r="S139" s="198" t="e">
        <x:f>(SQRT(((-#REF!*SIN($F$18*PI()/180)*$F$21)*$C$25*1000)^2+(0.001*$C$25*1000*$F$21)^2)/$C$30+(-#REF!*COS($F$18*PI()/180)*$F$21)*$C$25*1000)/9.81*$S$99/$O$47*$F$193*#REF!-$N$47/$O$47*$C$20*$F$21</x:f>
        <x:v>#REF!</x:v>
      </x:c>
      <x:c r="T139" s="181" t="e">
        <x:f>(-#REF!*COS($F$18*PI()/180)*$F$21)*$T$99*$C$25*1000/9.81/$O$47*$D$193*#REF!-$N$47/$O$47*$C$20*$F$21</x:f>
        <x:v>#REF!</x:v>
      </x:c>
      <x:c r="U139" s="198" t="e">
        <x:f>(SQRT(((-#REF!*SIN($F$18*PI()/180)*$F$21)*$C$25*1000)^2+(0.001*$C$25*1000*$F$21)^2)/$C$30+(-#REF!*COS($F$18*PI()/180)*$F$21)*$C$25*1000)/9.81*$U$99/$O$47*$F$193*#REF!-$N$47/$O$47*$C$20*$F$21</x:f>
        <x:v>#REF!</x:v>
      </x:c>
      <x:c r="V139" s="181" t="e">
        <x:f>(-#REF!*COS($F$18*PI()/180)*$F$21)*$V$99*$C$25*1000/9.81/$O$47*$D$193*#REF!-$N$47/$O$47*$C$20*$F$21</x:f>
        <x:v>#REF!</x:v>
      </x:c>
      <x:c r="W139" s="198" t="e">
        <x:f>(SQRT(((-#REF!*SIN($F$18*PI()/180)*$F$21)*$C$25*1000)^2+(0.001*$C$25*1000*$F$21)^2)/$C$30+(-#REF!*COS($F$18*PI()/180)*$F$21)*$C$25*1000)/9.81*$W$99/$O$47*$F$193*#REF!-$N$47/$O$47*$C$20*$F$21</x:f>
        <x:v>#REF!</x:v>
      </x:c>
      <x:c r="X139" s="181" t="e">
        <x:f>(-#REF!*COS($F$18*PI()/180)*$F$21)*$X$99*$C$25*1000/9.81/$O$47*$D$193*#REF!-$N$47/$O$47*$C$20*$F$21</x:f>
        <x:v>#REF!</x:v>
      </x:c>
      <x:c r="Y139" s="198" t="e">
        <x:f>(SQRT(((-#REF!*SIN($F$18*PI()/180)*$F$21)*$C$25*1000)^2+(0.001*$C$25*1000*$F$21)^2)/$C$30+(-#REF!*COS($F$18*PI()/180)*$F$21)*$C$25*1000)/9.81*$Y$99/$O$47*$F$193*#REF!-$N$47/$O$47*$C$20*$F$21</x:f>
        <x:v>#REF!</x:v>
      </x:c>
      <x:c r="Z139" s="181">
        <x:f ca="1">(-'int. presets cp_10d'!M26*COS($F$18*PI()/180)*$F$21)*$Z$99*$C$25*1000/9.81/$O$47*$D$193*'int. presets cp_10d'!$M$214-$N$47/$O$47*$C$20*$F$21</x:f>
        <x:v>30.676164273904103</x:v>
      </x:c>
      <x:c r="AA139" s="1026">
        <x:f ca="1">(SQRT(((-'int. presets cp_10d'!H26*SIN($F$18*PI()/180)*$F$21)*$C$25*1000)^2+(0.001*$C$25*1000*$F$21)^2)/$C$30+(-'int. presets cp_10d'!H26*COS($F$18*PI()/180)*$F$21)*$C$25*1000)/9.81*$AA$99/$O$47*$F$193*'int. presets cp_10d'!$H$214-$N$47/$O$47*$C$20*$F$21</x:f>
        <x:v>5.9512036143511331</x:v>
      </x:c>
    </x:row>
    <x:row r="140" spans="2:27" ht="13.5" thickBot="1" x14ac:dyDescent="0.25">
      <x:c r="B140" s="1348"/>
      <x:c r="C140" s="1349"/>
      <x:c r="D140" s="1350"/>
      <x:c r="E140" s="345" t="s">
        <x:v>462</x:v>
      </x:c>
      <x:c r="F140" s="1055" t="e">
        <x:f t="shared" si="84"/>
        <x:v>#REF!</x:v>
      </x:c>
      <x:c r="G140" s="1055" t="e">
        <x:f t="shared" si="85"/>
        <x:v>#REF!</x:v>
      </x:c>
      <x:c r="H140" s="1055" t="e">
        <x:f t="shared" si="72"/>
        <x:v>#REF!</x:v>
      </x:c>
      <x:c r="I140" s="1056" t="e">
        <x:f t="shared" si="73"/>
        <x:v>#REF!</x:v>
      </x:c>
      <x:c r="J140" s="1055" t="e">
        <x:f t="shared" si="74"/>
        <x:v>#REF!</x:v>
      </x:c>
      <x:c r="K140" s="1063" t="e">
        <x:f t="shared" si="75"/>
        <x:v>#REF!</x:v>
      </x:c>
      <x:c r="L140" s="941">
        <x:f t="shared" ca="1" si="76"/>
        <x:v>31.774415910551401</x:v>
      </x:c>
      <x:c r="M140" s="1072">
        <x:f t="shared" ca="1" si="77"/>
        <x:v>70.05051280471983</x:v>
      </x:c>
      <x:c r="N140" s="1068" t="e">
        <x:f>(-#REF!*COS($F$18*PI()/180)*$F$21)*$N$99*$C$25*1000/9.81/$O$47*$D$193*#REF!-$N$47/$O$47*$C$20*$F$21</x:f>
        <x:v>#REF!</x:v>
      </x:c>
      <x:c r="O140" s="164" t="e">
        <x:f>(SQRT(((-#REF!*SIN($F$18*PI()/180)*$F$21)*$C$25*1000)^2+(0.001*$C$25*1000*$F$21)^2)/$C$30+(-#REF!*COS($F$18*PI()/180)*$F$21)*$C$25*1000)/9.81*$O$99/$O$47*$F$193*#REF!-$N$47/$O$47*$C$20*$F$21</x:f>
        <x:v>#REF!</x:v>
      </x:c>
      <x:c r="P140" s="199" t="e">
        <x:f>(-#REF!*COS($F$18*PI()/180)*$F$21)*$P$99*$C$25*1000/9.81/$O$47*$D$193*#REF!-$N$47/$O$47*$C$20*$F$21</x:f>
        <x:v>#REF!</x:v>
      </x:c>
      <x:c r="Q140" s="164" t="e">
        <x:f>(SQRT(((-#REF!*SIN($F$18*PI()/180)*$F$21)*$C$25*1000)^2+(0.001*$C$25*1000*$F$21)^2)/$C$30+(-#REF!*COS($F$18*PI()/180)*$F$21)*$C$25*1000)/9.81*$Q$99/$O$47*$F$193*#REF!-$N$47/$O$47*$C$20*$F$21</x:f>
        <x:v>#REF!</x:v>
      </x:c>
      <x:c r="R140" s="199" t="e">
        <x:f>(-#REF!*COS($F$18*PI()/180)*$F$21)*$R$99*$C$25*1000/9.81/$O$47*$D$193*#REF!-$N$47/$O$47*$C$20*$F$21</x:f>
        <x:v>#REF!</x:v>
      </x:c>
      <x:c r="S140" s="164" t="e">
        <x:f>(SQRT(((-#REF!*SIN($F$18*PI()/180)*$F$21)*$C$25*1000)^2+(0.001*$C$25*1000*$F$21)^2)/$C$30+(-#REF!*COS($F$18*PI()/180)*$F$21)*$C$25*1000)/9.81*$S$99/$O$47*$F$193*#REF!-$N$47/$O$47*$C$20*$F$21</x:f>
        <x:v>#REF!</x:v>
      </x:c>
      <x:c r="T140" s="199" t="e">
        <x:f>(-#REF!*COS($F$18*PI()/180)*$F$21)*$T$99*$C$25*1000/9.81/$O$47*$D$193*#REF!-$N$47/$O$47*$C$20*$F$21</x:f>
        <x:v>#REF!</x:v>
      </x:c>
      <x:c r="U140" s="164" t="e">
        <x:f>(SQRT(((-#REF!*SIN($F$18*PI()/180)*$F$21)*$C$25*1000)^2+(0.001*$C$25*1000*$F$21)^2)/$C$30+(-#REF!*COS($F$18*PI()/180)*$F$21)*$C$25*1000)/9.81*$U$99/$O$47*$F$193*#REF!-$N$47/$O$47*$C$20*$F$21</x:f>
        <x:v>#REF!</x:v>
      </x:c>
      <x:c r="V140" s="199" t="e">
        <x:f>(-#REF!*COS($F$18*PI()/180)*$F$21)*$V$99*$C$25*1000/9.81/$O$47*$D$193*#REF!-$N$47/$O$47*$C$20*$F$21</x:f>
        <x:v>#REF!</x:v>
      </x:c>
      <x:c r="W140" s="164" t="e">
        <x:f>(SQRT(((-#REF!*SIN($F$18*PI()/180)*$F$21)*$C$25*1000)^2+(0.001*$C$25*1000*$F$21)^2)/$C$30+(-#REF!*COS($F$18*PI()/180)*$F$21)*$C$25*1000)/9.81*$W$99/$O$47*$F$193*#REF!-$N$47/$O$47*$C$20*$F$21</x:f>
        <x:v>#REF!</x:v>
      </x:c>
      <x:c r="X140" s="199" t="e">
        <x:f>(-#REF!*COS($F$18*PI()/180)*$F$21)*$X$99*$C$25*1000/9.81/$O$47*$D$193*#REF!-$N$47/$O$47*$C$20*$F$21</x:f>
        <x:v>#REF!</x:v>
      </x:c>
      <x:c r="Y140" s="164" t="e">
        <x:f>(SQRT(((-#REF!*SIN($F$18*PI()/180)*$F$21)*$C$25*1000)^2+(0.001*$C$25*1000*$F$21)^2)/$C$30+(-#REF!*COS($F$18*PI()/180)*$F$21)*$C$25*1000)/9.81*$Y$99/$O$47*$F$193*#REF!-$N$47/$O$47*$C$20*$F$21</x:f>
        <x:v>#REF!</x:v>
      </x:c>
      <x:c r="Z140" s="199">
        <x:f ca="1">(-'int. presets cp_10d'!M27*COS($F$18*PI()/180)*$F$21)*$Z$99*$C$25*1000/9.81/$O$47*$D$193*'int. presets cp_10d'!$M$214-$N$47/$O$47*$C$20*$F$21</x:f>
        <x:v>31.774415910551401</x:v>
      </x:c>
      <x:c r="AA140" s="1028">
        <x:f ca="1">(SQRT(((-'int. presets cp_10d'!H27*SIN($F$18*PI()/180)*$F$21)*$C$25*1000)^2+(0.001*$C$25*1000*$F$21)^2)/$C$30+(-'int. presets cp_10d'!H27*COS($F$18*PI()/180)*$F$21)*$C$25*1000)/9.81*$AA$99/$O$47*$F$193*'int. presets cp_10d'!$H$214-$N$47/$O$47*$C$20*$F$21</x:f>
        <x:v>5.9512036143511331</x:v>
      </x:c>
    </x:row>
    <x:row r="141" spans="2:27" x14ac:dyDescent="0.2">
      <x:c r="B141" s="1345" t="s">
        <x:v>463</x:v>
      </x:c>
      <x:c r="C141" s="1346"/>
      <x:c r="D141" s="1347"/>
      <x:c r="E141" s="347" t="s">
        <x:v>461</x:v>
      </x:c>
      <x:c r="F141" s="1057" t="e">
        <x:f t="shared" si="84"/>
        <x:v>#REF!</x:v>
      </x:c>
      <x:c r="G141" s="1057" t="e">
        <x:f t="shared" si="85"/>
        <x:v>#REF!</x:v>
      </x:c>
      <x:c r="H141" s="1057" t="e">
        <x:f t="shared" si="72"/>
        <x:v>#REF!</x:v>
      </x:c>
      <x:c r="I141" s="1054" t="e">
        <x:f t="shared" si="73"/>
        <x:v>#REF!</x:v>
      </x:c>
      <x:c r="J141" s="1057" t="e">
        <x:f t="shared" si="74"/>
        <x:v>#REF!</x:v>
      </x:c>
      <x:c r="K141" s="1064" t="e">
        <x:f t="shared" si="75"/>
        <x:v>#REF!</x:v>
      </x:c>
      <x:c r="L141" s="940">
        <x:f t="shared" ca="1" si="76"/>
        <x:v>5.9512036143511331</x:v>
      </x:c>
      <x:c r="M141" s="1073">
        <x:f t="shared" ca="1" si="77"/>
        <x:v>13.120142512270794</x:v>
      </x:c>
      <x:c r="N141" s="1069" t="e">
        <x:f>(-#REF!*COS($F$18*PI()/180)*$F$21)*$N$99*$C$25*1000/9.81/$O$47*$D$193*#REF!-$N$47/$O$47*$C$20*$F$21</x:f>
        <x:v>#REF!</x:v>
      </x:c>
      <x:c r="O141" s="162" t="e">
        <x:f>(SQRT(((-#REF!*SIN($F$18*PI()/180)*$F$21)*$C$25*1000)^2+(0.001*$C$25*1000*$F$21)^2)/$C$30+(-#REF!*COS($F$18*PI()/180)*$F$21)*$C$25*1000)/9.81*$O$99/$O$47*$F$193*#REF!-$N$47/$O$47*$C$20*$F$21</x:f>
        <x:v>#REF!</x:v>
      </x:c>
      <x:c r="P141" s="161" t="e">
        <x:f>(-#REF!*COS($F$18*PI()/180)*$F$21)*$P$99*$C$25*1000/9.81/$O$47*$D$193*#REF!-$N$47/$O$47*$C$20*$F$21</x:f>
        <x:v>#REF!</x:v>
      </x:c>
      <x:c r="Q141" s="162" t="e">
        <x:f>(SQRT(((-#REF!*SIN($F$18*PI()/180)*$F$21)*$C$25*1000)^2+(0.001*$C$25*1000*$F$21)^2)/$C$30+(-#REF!*COS($F$18*PI()/180)*$F$21)*$C$25*1000)/9.81*$Q$99/$O$47*$F$193*#REF!-$N$47/$O$47*$C$20*$F$21</x:f>
        <x:v>#REF!</x:v>
      </x:c>
      <x:c r="R141" s="161" t="e">
        <x:f>(-#REF!*COS($F$18*PI()/180)*$F$21)*$R$99*$C$25*1000/9.81/$O$47*$D$193*#REF!-$N$47/$O$47*$C$20*$F$21</x:f>
        <x:v>#REF!</x:v>
      </x:c>
      <x:c r="S141" s="162" t="e">
        <x:f>(SQRT(((-#REF!*SIN($F$18*PI()/180)*$F$21)*$C$25*1000)^2+(0.001*$C$25*1000*$F$21)^2)/$C$30+(-#REF!*COS($F$18*PI()/180)*$F$21)*$C$25*1000)/9.81*$S$99/$O$47*$F$193*#REF!-$N$47/$O$47*$C$20*$F$21</x:f>
        <x:v>#REF!</x:v>
      </x:c>
      <x:c r="T141" s="161" t="e">
        <x:f>(-#REF!*COS($F$18*PI()/180)*$F$21)*$T$99*$C$25*1000/9.81/$O$47*$D$193*#REF!-$N$47/$O$47*$C$20*$F$21</x:f>
        <x:v>#REF!</x:v>
      </x:c>
      <x:c r="U141" s="162" t="e">
        <x:f>(SQRT(((-#REF!*SIN($F$18*PI()/180)*$F$21)*$C$25*1000)^2+(0.001*$C$25*1000*$F$21)^2)/$C$30+(-#REF!*COS($F$18*PI()/180)*$F$21)*$C$25*1000)/9.81*$U$99/$O$47*$F$193*#REF!-$N$47/$O$47*$C$20*$F$21</x:f>
        <x:v>#REF!</x:v>
      </x:c>
      <x:c r="V141" s="161" t="e">
        <x:f>(-#REF!*COS($F$18*PI()/180)*$F$21)*$V$99*$C$25*1000/9.81/$O$47*$D$193*#REF!-$N$47/$O$47*$C$20*$F$21</x:f>
        <x:v>#REF!</x:v>
      </x:c>
      <x:c r="W141" s="162" t="e">
        <x:f>(SQRT(((-#REF!*SIN($F$18*PI()/180)*$F$21)*$C$25*1000)^2+(0.001*$C$25*1000*$F$21)^2)/$C$30+(-#REF!*COS($F$18*PI()/180)*$F$21)*$C$25*1000)/9.81*$W$99/$O$47*$F$193*#REF!-$N$47/$O$47*$C$20*$F$21</x:f>
        <x:v>#REF!</x:v>
      </x:c>
      <x:c r="X141" s="161" t="e">
        <x:f>(-#REF!*COS($F$18*PI()/180)*$F$21)*$X$99*$C$25*1000/9.81/$O$47*$D$193*#REF!-$N$47/$O$47*$C$20*$F$21</x:f>
        <x:v>#REF!</x:v>
      </x:c>
      <x:c r="Y141" s="162" t="e">
        <x:f>(SQRT(((-#REF!*SIN($F$18*PI()/180)*$F$21)*$C$25*1000)^2+(0.001*$C$25*1000*$F$21)^2)/$C$30+(-#REF!*COS($F$18*PI()/180)*$F$21)*$C$25*1000)/9.81*$Y$99/$O$47*$F$193*#REF!-$N$47/$O$47*$C$20*$F$21</x:f>
        <x:v>#REF!</x:v>
      </x:c>
      <x:c r="Z141" s="161">
        <x:f ca="1">(-'int. presets cp_10d'!M28*COS($F$18*PI()/180)*$F$21)*$Z$99*$C$25*1000/9.81/$O$47*$D$193*'int. presets cp_10d'!$M$214-$N$47/$O$47*$C$20*$F$21</x:f>
        <x:v>-4.4356164046632465</x:v>
      </x:c>
      <x:c r="AA141" s="1030">
        <x:f ca="1">(SQRT(((-'int. presets cp_10d'!H28*SIN($F$18*PI()/180)*$F$21)*$C$25*1000)^2+(0.001*$C$25*1000*$F$21)^2)/$C$30+(-'int. presets cp_10d'!H28*COS($F$18*PI()/180)*$F$21)*$C$25*1000)/9.81*$AA$99/$O$47*$F$193*'int. presets cp_10d'!$H$214-$N$47/$O$47*$C$20*$F$21</x:f>
        <x:v>5.9512036143511331</x:v>
      </x:c>
    </x:row>
    <x:row r="142" spans="2:27" ht="13.5" thickBot="1" x14ac:dyDescent="0.25">
      <x:c r="B142" s="1348"/>
      <x:c r="C142" s="1349"/>
      <x:c r="D142" s="1350"/>
      <x:c r="E142" s="345" t="s">
        <x:v>462</x:v>
      </x:c>
      <x:c r="F142" s="1055" t="e">
        <x:f t="shared" si="84"/>
        <x:v>#REF!</x:v>
      </x:c>
      <x:c r="G142" s="1055" t="e">
        <x:f t="shared" si="85"/>
        <x:v>#REF!</x:v>
      </x:c>
      <x:c r="H142" s="1055" t="e">
        <x:f t="shared" si="72"/>
        <x:v>#REF!</x:v>
      </x:c>
      <x:c r="I142" s="1056" t="e">
        <x:f t="shared" si="73"/>
        <x:v>#REF!</x:v>
      </x:c>
      <x:c r="J142" s="1055" t="e">
        <x:f t="shared" si="74"/>
        <x:v>#REF!</x:v>
      </x:c>
      <x:c r="K142" s="1063" t="e">
        <x:f t="shared" si="75"/>
        <x:v>#REF!</x:v>
      </x:c>
      <x:c r="L142" s="941">
        <x:f t="shared" ca="1" si="76"/>
        <x:v>5.9512036143511331</x:v>
      </x:c>
      <x:c r="M142" s="1072">
        <x:f t="shared" ca="1" si="77"/>
        <x:v>13.120142512270794</x:v>
      </x:c>
      <x:c r="N142" s="1068" t="e">
        <x:f>(-#REF!*COS($F$18*PI()/180)*$F$21)*$N$99*$C$25*1000/9.81/$O$47*$D$193*#REF!-$N$47/$O$47*$C$20*$F$21</x:f>
        <x:v>#REF!</x:v>
      </x:c>
      <x:c r="O142" s="164" t="e">
        <x:f>(SQRT(((-#REF!*SIN($F$18*PI()/180)*$F$21)*$C$25*1000)^2+(0.001*$C$25*1000*$F$21)^2)/$C$30+(-#REF!*COS($F$18*PI()/180)*$F$21)*$C$25*1000)/9.81*$O$99/$O$47*$F$193*#REF!-$N$47/$O$47*$C$20*$F$21</x:f>
        <x:v>#REF!</x:v>
      </x:c>
      <x:c r="P142" s="199" t="e">
        <x:f>(-#REF!*COS($F$18*PI()/180)*$F$21)*$P$99*$C$25*1000/9.81/$O$47*$D$193*#REF!-$N$47/$O$47*$C$20*$F$21</x:f>
        <x:v>#REF!</x:v>
      </x:c>
      <x:c r="Q142" s="164" t="e">
        <x:f>(SQRT(((-#REF!*SIN($F$18*PI()/180)*$F$21)*$C$25*1000)^2+(0.001*$C$25*1000*$F$21)^2)/$C$30+(-#REF!*COS($F$18*PI()/180)*$F$21)*$C$25*1000)/9.81*$Q$99/$O$47*$F$193*#REF!-$N$47/$O$47*$C$20*$F$21</x:f>
        <x:v>#REF!</x:v>
      </x:c>
      <x:c r="R142" s="199" t="e">
        <x:f>(-#REF!*COS($F$18*PI()/180)*$F$21)*$R$99*$C$25*1000/9.81/$O$47*$D$193*#REF!-$N$47/$O$47*$C$20*$F$21</x:f>
        <x:v>#REF!</x:v>
      </x:c>
      <x:c r="S142" s="164" t="e">
        <x:f>(SQRT(((-#REF!*SIN($F$18*PI()/180)*$F$21)*$C$25*1000)^2+(0.001*$C$25*1000*$F$21)^2)/$C$30+(-#REF!*COS($F$18*PI()/180)*$F$21)*$C$25*1000)/9.81*$S$99/$O$47*$F$193*#REF!-$N$47/$O$47*$C$20*$F$21</x:f>
        <x:v>#REF!</x:v>
      </x:c>
      <x:c r="T142" s="199" t="e">
        <x:f>(-#REF!*COS($F$18*PI()/180)*$F$21)*$T$99*$C$25*1000/9.81/$O$47*$D$193*#REF!-$N$47/$O$47*$C$20*$F$21</x:f>
        <x:v>#REF!</x:v>
      </x:c>
      <x:c r="U142" s="164" t="e">
        <x:f>(SQRT(((-#REF!*SIN($F$18*PI()/180)*$F$21)*$C$25*1000)^2+(0.001*$C$25*1000*$F$21)^2)/$C$30+(-#REF!*COS($F$18*PI()/180)*$F$21)*$C$25*1000)/9.81*$U$99/$O$47*$F$193*#REF!-$N$47/$O$47*$C$20*$F$21</x:f>
        <x:v>#REF!</x:v>
      </x:c>
      <x:c r="V142" s="199" t="e">
        <x:f>(-#REF!*COS($F$18*PI()/180)*$F$21)*$V$99*$C$25*1000/9.81/$O$47*$D$193*#REF!-$N$47/$O$47*$C$20*$F$21</x:f>
        <x:v>#REF!</x:v>
      </x:c>
      <x:c r="W142" s="164" t="e">
        <x:f>(SQRT(((-#REF!*SIN($F$18*PI()/180)*$F$21)*$C$25*1000)^2+(0.001*$C$25*1000*$F$21)^2)/$C$30+(-#REF!*COS($F$18*PI()/180)*$F$21)*$C$25*1000)/9.81*$W$99/$O$47*$F$193*#REF!-$N$47/$O$47*$C$20*$F$21</x:f>
        <x:v>#REF!</x:v>
      </x:c>
      <x:c r="X142" s="199" t="e">
        <x:f>(-#REF!*COS($F$18*PI()/180)*$F$21)*$X$99*$C$25*1000/9.81/$O$47*$D$193*#REF!-$N$47/$O$47*$C$20*$F$21</x:f>
        <x:v>#REF!</x:v>
      </x:c>
      <x:c r="Y142" s="164" t="e">
        <x:f>(SQRT(((-#REF!*SIN($F$18*PI()/180)*$F$21)*$C$25*1000)^2+(0.001*$C$25*1000*$F$21)^2)/$C$30+(-#REF!*COS($F$18*PI()/180)*$F$21)*$C$25*1000)/9.81*$Y$99/$O$47*$F$193*#REF!-$N$47/$O$47*$C$20*$F$21</x:f>
        <x:v>#REF!</x:v>
      </x:c>
      <x:c r="Z142" s="199">
        <x:f ca="1">(-'int. presets cp_10d'!M29*COS($F$18*PI()/180)*$F$21)*$Z$99*$C$25*1000/9.81/$O$47*$D$193*'int. presets cp_10d'!$M$214-$N$47/$O$47*$C$20*$F$21</x:f>
        <x:v>-4.4356164046632465</x:v>
      </x:c>
      <x:c r="AA142" s="1028">
        <x:f ca="1">(SQRT(((-'int. presets cp_10d'!H29*SIN($F$18*PI()/180)*$F$21)*$C$25*1000)^2+(0.001*$C$25*1000*$F$21)^2)/$C$30+(-'int. presets cp_10d'!H29*COS($F$18*PI()/180)*$F$21)*$C$25*1000)/9.81*$AA$99/$O$47*$F$193*'int. presets cp_10d'!$H$214-$N$47/$O$47*$C$20*$F$21</x:f>
        <x:v>5.9512036143511331</x:v>
      </x:c>
    </x:row>
    <x:row r="143" spans="2:27" x14ac:dyDescent="0.2">
      <x:c r="B143" s="1345" t="s">
        <x:v>464</x:v>
      </x:c>
      <x:c r="C143" s="1346"/>
      <x:c r="D143" s="1347"/>
      <x:c r="E143" s="347" t="s">
        <x:v>461</x:v>
      </x:c>
      <x:c r="F143" s="1057" t="e">
        <x:f t="shared" si="84"/>
        <x:v>#REF!</x:v>
      </x:c>
      <x:c r="G143" s="1057" t="e">
        <x:f t="shared" si="85"/>
        <x:v>#REF!</x:v>
      </x:c>
      <x:c r="H143" s="1057" t="e">
        <x:f t="shared" si="72"/>
        <x:v>#REF!</x:v>
      </x:c>
      <x:c r="I143" s="1054" t="e">
        <x:f t="shared" si="73"/>
        <x:v>#REF!</x:v>
      </x:c>
      <x:c r="J143" s="1057" t="e">
        <x:f t="shared" si="74"/>
        <x:v>#REF!</x:v>
      </x:c>
      <x:c r="K143" s="1064" t="e">
        <x:f t="shared" si="75"/>
        <x:v>#REF!</x:v>
      </x:c>
      <x:c r="L143" s="940">
        <x:f t="shared" ca="1" si="76"/>
        <x:v>5.9512036143511331</x:v>
      </x:c>
      <x:c r="M143" s="1073">
        <x:f t="shared" ca="1" si="77"/>
        <x:v>13.120142512270794</x:v>
      </x:c>
      <x:c r="N143" s="1069" t="e">
        <x:f>(-#REF!*COS($F$18*PI()/180)*$F$21)*$N$99*$C$25*1000/9.81/$O$47*$D$193*#REF!-$N$47/$O$47*$C$20*$F$21</x:f>
        <x:v>#REF!</x:v>
      </x:c>
      <x:c r="O143" s="162" t="e">
        <x:f>(SQRT(((-#REF!*SIN($F$18*PI()/180)*$F$21)*$C$25*1000)^2+(0.001*$C$25*1000*$F$21)^2)/$C$30+(-#REF!*COS($F$18*PI()/180)*$F$21)*$C$25*1000)/9.81*$O$99/$O$47*$F$193*#REF!-$N$47/$O$47*$C$20*$F$21</x:f>
        <x:v>#REF!</x:v>
      </x:c>
      <x:c r="P143" s="161" t="e">
        <x:f>(-#REF!*COS($F$18*PI()/180)*$F$21)*$P$99*$C$25*1000/9.81/$O$47*$D$193*#REF!-$N$47/$O$47*$C$20*$F$21</x:f>
        <x:v>#REF!</x:v>
      </x:c>
      <x:c r="Q143" s="162" t="e">
        <x:f>(SQRT(((-#REF!*SIN($F$18*PI()/180)*$F$21)*$C$25*1000)^2+(0.001*$C$25*1000*$F$21)^2)/$C$30+(-#REF!*COS($F$18*PI()/180)*$F$21)*$C$25*1000)/9.81*$Q$99/$O$47*$F$193*#REF!-$N$47/$O$47*$C$20*$F$21</x:f>
        <x:v>#REF!</x:v>
      </x:c>
      <x:c r="R143" s="161" t="e">
        <x:f>(-#REF!*COS($F$18*PI()/180)*$F$21)*$R$99*$C$25*1000/9.81/$O$47*$D$193*#REF!-$N$47/$O$47*$C$20*$F$21</x:f>
        <x:v>#REF!</x:v>
      </x:c>
      <x:c r="S143" s="162" t="e">
        <x:f>(SQRT(((-#REF!*SIN($F$18*PI()/180)*$F$21)*$C$25*1000)^2+(0.001*$C$25*1000*$F$21)^2)/$C$30+(-#REF!*COS($F$18*PI()/180)*$F$21)*$C$25*1000)/9.81*$S$99/$O$47*$F$193*#REF!-$N$47/$O$47*$C$20*$F$21</x:f>
        <x:v>#REF!</x:v>
      </x:c>
      <x:c r="T143" s="161" t="e">
        <x:f>(-#REF!*COS($F$18*PI()/180)*$F$21)*$T$99*$C$25*1000/9.81/$O$47*$D$193*#REF!-$N$47/$O$47*$C$20*$F$21</x:f>
        <x:v>#REF!</x:v>
      </x:c>
      <x:c r="U143" s="162" t="e">
        <x:f>(SQRT(((-#REF!*SIN($F$18*PI()/180)*$F$21)*$C$25*1000)^2+(0.001*$C$25*1000*$F$21)^2)/$C$30+(-#REF!*COS($F$18*PI()/180)*$F$21)*$C$25*1000)/9.81*$U$99/$O$47*$F$193*#REF!-$N$47/$O$47*$C$20*$F$21</x:f>
        <x:v>#REF!</x:v>
      </x:c>
      <x:c r="V143" s="161" t="e">
        <x:f>(-#REF!*COS($F$18*PI()/180)*$F$21)*$V$99*$C$25*1000/9.81/$O$47*$D$193*#REF!-$N$47/$O$47*$C$20*$F$21</x:f>
        <x:v>#REF!</x:v>
      </x:c>
      <x:c r="W143" s="162" t="e">
        <x:f>(SQRT(((-#REF!*SIN($F$18*PI()/180)*$F$21)*$C$25*1000)^2+(0.001*$C$25*1000*$F$21)^2)/$C$30+(-#REF!*COS($F$18*PI()/180)*$F$21)*$C$25*1000)/9.81*$W$99/$O$47*$F$193*#REF!-$N$47/$O$47*$C$20*$F$21</x:f>
        <x:v>#REF!</x:v>
      </x:c>
      <x:c r="X143" s="161" t="e">
        <x:f>(-#REF!*COS($F$18*PI()/180)*$F$21)*$X$99*$C$25*1000/9.81/$O$47*$D$193*#REF!-$N$47/$O$47*$C$20*$F$21</x:f>
        <x:v>#REF!</x:v>
      </x:c>
      <x:c r="Y143" s="162" t="e">
        <x:f>(SQRT(((-#REF!*SIN($F$18*PI()/180)*$F$21)*$C$25*1000)^2+(0.001*$C$25*1000*$F$21)^2)/$C$30+(-#REF!*COS($F$18*PI()/180)*$F$21)*$C$25*1000)/9.81*$Y$99/$O$47*$F$193*#REF!-$N$47/$O$47*$C$20*$F$21</x:f>
        <x:v>#REF!</x:v>
      </x:c>
      <x:c r="Z143" s="161">
        <x:f ca="1">(-'int. presets cp_10d'!M30*COS($F$18*PI()/180)*$F$21)*$Z$99*$C$25*1000/9.81/$O$47*$D$193*'int. presets cp_10d'!$M$214-$N$47/$O$47*$C$20*$F$21</x:f>
        <x:v>3.5366902170785863</x:v>
      </x:c>
      <x:c r="AA143" s="1030">
        <x:f ca="1">(SQRT(((-'int. presets cp_10d'!H30*SIN($F$18*PI()/180)*$F$21)*$C$25*1000)^2+(0.001*$C$25*1000*$F$21)^2)/$C$30+(-'int. presets cp_10d'!H30*COS($F$18*PI()/180)*$F$21)*$C$25*1000)/9.81*$AA$99/$O$47*$F$193*'int. presets cp_10d'!$H$214-$N$47/$O$47*$C$20*$F$21</x:f>
        <x:v>5.9512036143511331</x:v>
      </x:c>
    </x:row>
    <x:row r="144" spans="2:27" ht="13.5" thickBot="1" x14ac:dyDescent="0.25">
      <x:c r="B144" s="1348"/>
      <x:c r="C144" s="1349"/>
      <x:c r="D144" s="1350"/>
      <x:c r="E144" s="345" t="s">
        <x:v>462</x:v>
      </x:c>
      <x:c r="F144" s="1055" t="e">
        <x:f t="shared" si="84"/>
        <x:v>#REF!</x:v>
      </x:c>
      <x:c r="G144" s="1055" t="e">
        <x:f t="shared" si="85"/>
        <x:v>#REF!</x:v>
      </x:c>
      <x:c r="H144" s="1055" t="e">
        <x:f t="shared" si="72"/>
        <x:v>#REF!</x:v>
      </x:c>
      <x:c r="I144" s="1056" t="e">
        <x:f t="shared" si="73"/>
        <x:v>#REF!</x:v>
      </x:c>
      <x:c r="J144" s="1055" t="e">
        <x:f t="shared" si="74"/>
        <x:v>#REF!</x:v>
      </x:c>
      <x:c r="K144" s="1063" t="e">
        <x:f t="shared" si="75"/>
        <x:v>#REF!</x:v>
      </x:c>
      <x:c r="L144" s="941">
        <x:f t="shared" ca="1" si="76"/>
        <x:v>5.9512036143511331</x:v>
      </x:c>
      <x:c r="M144" s="1072">
        <x:f t="shared" ca="1" si="77"/>
        <x:v>13.120142512270794</x:v>
      </x:c>
      <x:c r="N144" s="1068" t="e">
        <x:f>(-#REF!*COS($F$18*PI()/180)*$F$21)*$N$99*$C$25*1000/9.81/$O$47*$D$193*#REF!-$N$47/$O$47*$C$20*$F$21</x:f>
        <x:v>#REF!</x:v>
      </x:c>
      <x:c r="O144" s="164" t="e">
        <x:f>(SQRT(((-#REF!*SIN($F$18*PI()/180)*$F$21)*$C$25*1000)^2+(0.001*$C$25*1000*$F$21)^2)/$C$30+(-#REF!*COS($F$18*PI()/180)*$F$21)*$C$25*1000)/9.81*$O$99/$O$47*$F$193*#REF!-$N$47/$O$47*$C$20*$F$21</x:f>
        <x:v>#REF!</x:v>
      </x:c>
      <x:c r="P144" s="199" t="e">
        <x:f>(-#REF!*COS($F$18*PI()/180)*$F$21)*$P$99*$C$25*1000/9.81/$O$47*$D$193*#REF!-$N$47/$O$47*$C$20*$F$21</x:f>
        <x:v>#REF!</x:v>
      </x:c>
      <x:c r="Q144" s="164" t="e">
        <x:f>(SQRT(((-#REF!*SIN($F$18*PI()/180)*$F$21)*$C$25*1000)^2+(0.001*$C$25*1000*$F$21)^2)/$C$30+(-#REF!*COS($F$18*PI()/180)*$F$21)*$C$25*1000)/9.81*$Q$99/$O$47*$F$193*#REF!-$N$47/$O$47*$C$20*$F$21</x:f>
        <x:v>#REF!</x:v>
      </x:c>
      <x:c r="R144" s="199" t="e">
        <x:f>(-#REF!*COS($F$18*PI()/180)*$F$21)*$R$99*$C$25*1000/9.81/$O$47*$D$193*#REF!-$N$47/$O$47*$C$20*$F$21</x:f>
        <x:v>#REF!</x:v>
      </x:c>
      <x:c r="S144" s="164" t="e">
        <x:f>(SQRT(((-#REF!*SIN($F$18*PI()/180)*$F$21)*$C$25*1000)^2+(0.001*$C$25*1000*$F$21)^2)/$C$30+(-#REF!*COS($F$18*PI()/180)*$F$21)*$C$25*1000)/9.81*$S$99/$O$47*$F$193*#REF!-$N$47/$O$47*$C$20*$F$21</x:f>
        <x:v>#REF!</x:v>
      </x:c>
      <x:c r="T144" s="199" t="e">
        <x:f>(-#REF!*COS($F$18*PI()/180)*$F$21)*$T$99*$C$25*1000/9.81/$O$47*$D$193*#REF!-$N$47/$O$47*$C$20*$F$21</x:f>
        <x:v>#REF!</x:v>
      </x:c>
      <x:c r="U144" s="164" t="e">
        <x:f>(SQRT(((-#REF!*SIN($F$18*PI()/180)*$F$21)*$C$25*1000)^2+(0.001*$C$25*1000*$F$21)^2)/$C$30+(-#REF!*COS($F$18*PI()/180)*$F$21)*$C$25*1000)/9.81*$U$99/$O$47*$F$193*#REF!-$N$47/$O$47*$C$20*$F$21</x:f>
        <x:v>#REF!</x:v>
      </x:c>
      <x:c r="V144" s="199" t="e">
        <x:f>(-#REF!*COS($F$18*PI()/180)*$F$21)*$V$99*$C$25*1000/9.81/$O$47*$D$193*#REF!-$N$47/$O$47*$C$20*$F$21</x:f>
        <x:v>#REF!</x:v>
      </x:c>
      <x:c r="W144" s="164" t="e">
        <x:f>(SQRT(((-#REF!*SIN($F$18*PI()/180)*$F$21)*$C$25*1000)^2+(0.001*$C$25*1000*$F$21)^2)/$C$30+(-#REF!*COS($F$18*PI()/180)*$F$21)*$C$25*1000)/9.81*$W$99/$O$47*$F$193*#REF!-$N$47/$O$47*$C$20*$F$21</x:f>
        <x:v>#REF!</x:v>
      </x:c>
      <x:c r="X144" s="199" t="e">
        <x:f>(-#REF!*COS($F$18*PI()/180)*$F$21)*$X$99*$C$25*1000/9.81/$O$47*$D$193*#REF!-$N$47/$O$47*$C$20*$F$21</x:f>
        <x:v>#REF!</x:v>
      </x:c>
      <x:c r="Y144" s="164" t="e">
        <x:f>(SQRT(((-#REF!*SIN($F$18*PI()/180)*$F$21)*$C$25*1000)^2+(0.001*$C$25*1000*$F$21)^2)/$C$30+(-#REF!*COS($F$18*PI()/180)*$F$21)*$C$25*1000)/9.81*$Y$99/$O$47*$F$193*#REF!-$N$47/$O$47*$C$20*$F$21</x:f>
        <x:v>#REF!</x:v>
      </x:c>
      <x:c r="Z144" s="199">
        <x:f ca="1">(-'int. presets cp_10d'!M31*COS($F$18*PI()/180)*$F$21)*$Z$99*$C$25*1000/9.81/$O$47*$D$193*'int. presets cp_10d'!$M$214-$N$47/$O$47*$C$20*$F$21</x:f>
        <x:v>3.5366902170785863</x:v>
      </x:c>
      <x:c r="AA144" s="1028">
        <x:f ca="1">(SQRT(((-'int. presets cp_10d'!H31*SIN($F$18*PI()/180)*$F$21)*$C$25*1000)^2+(0.001*$C$25*1000*$F$21)^2)/$C$30+(-'int. presets cp_10d'!H31*COS($F$18*PI()/180)*$F$21)*$C$25*1000)/9.81*$AA$99/$O$47*$F$193*'int. presets cp_10d'!$H$214-$N$47/$O$47*$C$20*$F$21</x:f>
        <x:v>5.9512036143511331</x:v>
      </x:c>
    </x:row>
    <x:row r="145" spans="2:27" x14ac:dyDescent="0.2">
      <x:c r="B145" s="1345" t="s">
        <x:v>465</x:v>
      </x:c>
      <x:c r="C145" s="1346"/>
      <x:c r="D145" s="1347"/>
      <x:c r="E145" s="347" t="s">
        <x:v>461</x:v>
      </x:c>
      <x:c r="F145" s="1057" t="e">
        <x:f t="shared" si="84"/>
        <x:v>#REF!</x:v>
      </x:c>
      <x:c r="G145" s="1057" t="e">
        <x:f t="shared" si="85"/>
        <x:v>#REF!</x:v>
      </x:c>
      <x:c r="H145" s="1057" t="e">
        <x:f t="shared" si="72"/>
        <x:v>#REF!</x:v>
      </x:c>
      <x:c r="I145" s="1054" t="e">
        <x:f t="shared" si="73"/>
        <x:v>#REF!</x:v>
      </x:c>
      <x:c r="J145" s="1057" t="e">
        <x:f t="shared" si="74"/>
        <x:v>#REF!</x:v>
      </x:c>
      <x:c r="K145" s="1064" t="e">
        <x:f t="shared" si="75"/>
        <x:v>#REF!</x:v>
      </x:c>
      <x:c r="L145" s="940">
        <x:f t="shared" ca="1" si="76"/>
        <x:v>5.9512036143511331</x:v>
      </x:c>
      <x:c r="M145" s="1073">
        <x:f t="shared" ca="1" si="77"/>
        <x:v>13.120142512270794</x:v>
      </x:c>
      <x:c r="N145" s="1069" t="e">
        <x:f>(-#REF!*COS($F$18*PI()/180)*$F$21)*$N$99*$C$25*1000/9.81/$O$47*$D$193*#REF!-$N$47/$O$47*$C$20*$F$21</x:f>
        <x:v>#REF!</x:v>
      </x:c>
      <x:c r="O145" s="198" t="e">
        <x:f>(SQRT(((-#REF!*SIN($F$18*PI()/180)*$F$21)*$C$25*1000)^2+(0.001*$C$25*1000*$F$21)^2)/$C$30+(-#REF!*COS($F$18*PI()/180)*$F$21)*$C$25*1000)/9.81*$O$99/$O$47*$F$193*#REF!-$N$47/$O$47*$C$20*$F$21</x:f>
        <x:v>#REF!</x:v>
      </x:c>
      <x:c r="P145" s="161" t="e">
        <x:f>(-#REF!*COS($F$18*PI()/180)*$F$21)*$P$99*$C$25*1000/9.81/$O$47*$D$193*#REF!-$N$47/$O$47*$C$20*$F$21</x:f>
        <x:v>#REF!</x:v>
      </x:c>
      <x:c r="Q145" s="198" t="e">
        <x:f>(SQRT(((-#REF!*SIN($F$18*PI()/180)*$F$21)*$C$25*1000)^2+(0.001*$C$25*1000*$F$21)^2)/$C$30+(-#REF!*COS($F$18*PI()/180)*$F$21)*$C$25*1000)/9.81*$Q$99/$O$47*$F$193*#REF!-$N$47/$O$47*$C$20*$F$21</x:f>
        <x:v>#REF!</x:v>
      </x:c>
      <x:c r="R145" s="161" t="e">
        <x:f>(-#REF!*COS($F$18*PI()/180)*$F$21)*$R$99*$C$25*1000/9.81/$O$47*$D$193*#REF!-$N$47/$O$47*$C$20*$F$21</x:f>
        <x:v>#REF!</x:v>
      </x:c>
      <x:c r="S145" s="198" t="e">
        <x:f>(SQRT(((-#REF!*SIN($F$18*PI()/180)*$F$21)*$C$25*1000)^2+(0.001*$C$25*1000*$F$21)^2)/$C$30+(-#REF!*COS($F$18*PI()/180)*$F$21)*$C$25*1000)/9.81*$S$99/$O$47*$F$193*#REF!-$N$47/$O$47*$C$20*$F$21</x:f>
        <x:v>#REF!</x:v>
      </x:c>
      <x:c r="T145" s="161" t="e">
        <x:f>(-#REF!*COS($F$18*PI()/180)*$F$21)*$T$99*$C$25*1000/9.81/$O$47*$D$193*#REF!-$N$47/$O$47*$C$20*$F$21</x:f>
        <x:v>#REF!</x:v>
      </x:c>
      <x:c r="U145" s="198" t="e">
        <x:f>(SQRT(((-#REF!*SIN($F$18*PI()/180)*$F$21)*$C$25*1000)^2+(0.001*$C$25*1000*$F$21)^2)/$C$30+(-#REF!*COS($F$18*PI()/180)*$F$21)*$C$25*1000)/9.81*$U$99/$O$47*$F$193*#REF!-$N$47/$O$47*$C$20*$F$21</x:f>
        <x:v>#REF!</x:v>
      </x:c>
      <x:c r="V145" s="161" t="e">
        <x:f>(-#REF!*COS($F$18*PI()/180)*$F$21)*$V$99*$C$25*1000/9.81/$O$47*$D$193*#REF!-$N$47/$O$47*$C$20*$F$21</x:f>
        <x:v>#REF!</x:v>
      </x:c>
      <x:c r="W145" s="198" t="e">
        <x:f>(SQRT(((-#REF!*SIN($F$18*PI()/180)*$F$21)*$C$25*1000)^2+(0.001*$C$25*1000*$F$21)^2)/$C$30+(-#REF!*COS($F$18*PI()/180)*$F$21)*$C$25*1000)/9.81*$W$99/$O$47*$F$193*#REF!-$N$47/$O$47*$C$20*$F$21</x:f>
        <x:v>#REF!</x:v>
      </x:c>
      <x:c r="X145" s="161" t="e">
        <x:f>(-#REF!*COS($F$18*PI()/180)*$F$21)*$X$99*$C$25*1000/9.81/$O$47*$D$193*#REF!-$N$47/$O$47*$C$20*$F$21</x:f>
        <x:v>#REF!</x:v>
      </x:c>
      <x:c r="Y145" s="198" t="e">
        <x:f>(SQRT(((-#REF!*SIN($F$18*PI()/180)*$F$21)*$C$25*1000)^2+(0.001*$C$25*1000*$F$21)^2)/$C$30+(-#REF!*COS($F$18*PI()/180)*$F$21)*$C$25*1000)/9.81*$Y$99/$O$47*$F$193*#REF!-$N$47/$O$47*$C$20*$F$21</x:f>
        <x:v>#REF!</x:v>
      </x:c>
      <x:c r="Z145" s="161">
        <x:f ca="1">(-'int. presets cp_10d'!M32*COS($F$18*PI()/180)*$F$21)*$Z$99*$C$25*1000/9.81/$O$47*$D$193*'int. presets cp_10d'!$M$214-$N$47/$O$47*$C$20*$F$21</x:f>
        <x:v>-4.4356164046632465</x:v>
      </x:c>
      <x:c r="AA145" s="1026">
        <x:f ca="1">(SQRT(((-'int. presets cp_10d'!H32*SIN($F$18*PI()/180)*$F$21)*$C$25*1000)^2+(0.001*$C$25*1000*$F$21)^2)/$C$30+(-'int. presets cp_10d'!H32*COS($F$18*PI()/180)*$F$21)*$C$25*1000)/9.81*$AA$99/$O$47*$F$193*'int. presets cp_10d'!$H$214-$N$47/$O$47*$C$20*$F$21</x:f>
        <x:v>5.9512036143511331</x:v>
      </x:c>
    </x:row>
    <x:row r="146" spans="2:27" ht="13.5" thickBot="1" x14ac:dyDescent="0.25">
      <x:c r="B146" s="1351"/>
      <x:c r="C146" s="1352"/>
      <x:c r="D146" s="1353"/>
      <x:c r="E146" s="346" t="s">
        <x:v>462</x:v>
      </x:c>
      <x:c r="F146" s="1055" t="e">
        <x:f t="shared" si="84"/>
        <x:v>#REF!</x:v>
      </x:c>
      <x:c r="G146" s="1055" t="e">
        <x:f t="shared" si="85"/>
        <x:v>#REF!</x:v>
      </x:c>
      <x:c r="H146" s="1055" t="e">
        <x:f t="shared" si="72"/>
        <x:v>#REF!</x:v>
      </x:c>
      <x:c r="I146" s="1056" t="e">
        <x:f t="shared" si="73"/>
        <x:v>#REF!</x:v>
      </x:c>
      <x:c r="J146" s="1055" t="e">
        <x:f t="shared" si="74"/>
        <x:v>#REF!</x:v>
      </x:c>
      <x:c r="K146" s="1063" t="e">
        <x:f t="shared" si="75"/>
        <x:v>#REF!</x:v>
      </x:c>
      <x:c r="L146" s="942">
        <x:f t="shared" ca="1" si="76"/>
        <x:v>5.9512036143511331</x:v>
      </x:c>
      <x:c r="M146" s="1072">
        <x:f t="shared" ca="1" si="77"/>
        <x:v>13.120142512270794</x:v>
      </x:c>
      <x:c r="N146" s="1070" t="e">
        <x:f>(-#REF!*COS($F$18*PI()/180)*$F$21)*$N$99*$C$25*1000/9.81/$O$47*$D$193*#REF!-$N$47/$O$47*$C$20*$F$21</x:f>
        <x:v>#REF!</x:v>
      </x:c>
      <x:c r="O146" s="240" t="e">
        <x:f>(SQRT(((-#REF!*SIN($F$18*PI()/180)*$F$21)*$C$25*1000)^2+(0.001*$C$25*1000*$F$21)^2)/$C$30+(-#REF!*COS($F$18*PI()/180)*$F$21)*$C$25*1000)/9.81*$O$99/$O$47*$F$193*#REF!-$N$47/$O$47*$C$20*$F$21</x:f>
        <x:v>#REF!</x:v>
      </x:c>
      <x:c r="P146" s="239" t="e">
        <x:f>(-#REF!*COS($F$18*PI()/180)*$F$21)*$P$99*$C$25*1000/9.81/$O$47*$D$193*#REF!-$N$47/$O$47*$C$20*$F$21</x:f>
        <x:v>#REF!</x:v>
      </x:c>
      <x:c r="Q146" s="240" t="e">
        <x:f>(SQRT(((-#REF!*SIN($F$18*PI()/180)*$F$21)*$C$25*1000)^2+(0.001*$C$25*1000*$F$21)^2)/$C$30+(-#REF!*COS($F$18*PI()/180)*$F$21)*$C$25*1000)/9.81*$Q$99/$O$47*$F$193*#REF!-$N$47/$O$47*$C$20*$F$21</x:f>
        <x:v>#REF!</x:v>
      </x:c>
      <x:c r="R146" s="239" t="e">
        <x:f>(-#REF!*COS($F$18*PI()/180)*$F$21)*$R$99*$C$25*1000/9.81/$O$47*$D$193*#REF!-$N$47/$O$47*$C$20*$F$21</x:f>
        <x:v>#REF!</x:v>
      </x:c>
      <x:c r="S146" s="240" t="e">
        <x:f>(SQRT(((-#REF!*SIN($F$18*PI()/180)*$F$21)*$C$25*1000)^2+(0.001*$C$25*1000*$F$21)^2)/$C$30+(-#REF!*COS($F$18*PI()/180)*$F$21)*$C$25*1000)/9.81*$S$99/$O$47*$F$193*#REF!-$N$47/$O$47*$C$20*$F$21</x:f>
        <x:v>#REF!</x:v>
      </x:c>
      <x:c r="T146" s="239" t="e">
        <x:f>(-#REF!*COS($F$18*PI()/180)*$F$21)*$T$99*$C$25*1000/9.81/$O$47*$D$193*#REF!-$N$47/$O$47*$C$20*$F$21</x:f>
        <x:v>#REF!</x:v>
      </x:c>
      <x:c r="U146" s="240" t="e">
        <x:f>(SQRT(((-#REF!*SIN($F$18*PI()/180)*$F$21)*$C$25*1000)^2+(0.001*$C$25*1000*$F$21)^2)/$C$30+(-#REF!*COS($F$18*PI()/180)*$F$21)*$C$25*1000)/9.81*$U$99/$O$47*$F$193*#REF!-$N$47/$O$47*$C$20*$F$21</x:f>
        <x:v>#REF!</x:v>
      </x:c>
      <x:c r="V146" s="239" t="e">
        <x:f>(-#REF!*COS($F$18*PI()/180)*$F$21)*$V$99*$C$25*1000/9.81/$O$47*$D$193*#REF!-$N$47/$O$47*$C$20*$F$21</x:f>
        <x:v>#REF!</x:v>
      </x:c>
      <x:c r="W146" s="240" t="e">
        <x:f>(SQRT(((-#REF!*SIN($F$18*PI()/180)*$F$21)*$C$25*1000)^2+(0.001*$C$25*1000*$F$21)^2)/$C$30+(-#REF!*COS($F$18*PI()/180)*$F$21)*$C$25*1000)/9.81*$W$99/$O$47*$F$193*#REF!-$N$47/$O$47*$C$20*$F$21</x:f>
        <x:v>#REF!</x:v>
      </x:c>
      <x:c r="X146" s="239" t="e">
        <x:f>(-#REF!*COS($F$18*PI()/180)*$F$21)*$X$99*$C$25*1000/9.81/$O$47*$D$193*#REF!-$N$47/$O$47*$C$20*$F$21</x:f>
        <x:v>#REF!</x:v>
      </x:c>
      <x:c r="Y146" s="240" t="e">
        <x:f>(SQRT(((-#REF!*SIN($F$18*PI()/180)*$F$21)*$C$25*1000)^2+(0.001*$C$25*1000*$F$21)^2)/$C$30+(-#REF!*COS($F$18*PI()/180)*$F$21)*$C$25*1000)/9.81*$Y$99/$O$47*$F$193*#REF!-$N$47/$O$47*$C$20*$F$21</x:f>
        <x:v>#REF!</x:v>
      </x:c>
      <x:c r="Z146" s="239">
        <x:f ca="1">(-'int. presets cp_10d'!M33*COS($F$18*PI()/180)*$F$21)*$Z$99*$C$25*1000/9.81/$O$47*$D$193*'int. presets cp_10d'!$M$214-$N$47/$O$47*$C$20*$F$21</x:f>
        <x:v>-4.4356164046632465</x:v>
      </x:c>
      <x:c r="AA146" s="1032">
        <x:f ca="1">(SQRT(((-'int. presets cp_10d'!H33*SIN($F$18*PI()/180)*$F$21)*$C$25*1000)^2+(0.001*$C$25*1000*$F$21)^2)/$C$30+(-'int. presets cp_10d'!H33*COS($F$18*PI()/180)*$F$21)*$C$25*1000)/9.81*$AA$99/$O$47*$F$193*'int. presets cp_10d'!$H$214-$N$47/$O$47*$C$20*$F$21</x:f>
        <x:v>5.9512036143511331</x:v>
      </x:c>
    </x:row>
    <x:row r="147" spans="2:27" ht="13.5" thickTop="1" x14ac:dyDescent="0.2">
      <x:c r="I147" s="75"/>
      <x:c r="J147" s="75"/>
      <x:c r="K147" s="75"/>
      <x:c r="L147" s="75"/>
      <x:c r="M147" s="75"/>
      <x:c r="N147" s="75"/>
      <x:c r="O147" s="75"/>
      <x:c r="P147" s="75"/>
      <x:c r="Q147" s="75"/>
      <x:c r="R147" s="75"/>
      <x:c r="S147" s="75"/>
    </x:row>
    <x:row r="166" ht="12.75" customHeight="1" x14ac:dyDescent="0.2"/>
    <x:row r="171" ht="12.75" customHeight="1" x14ac:dyDescent="0.2"/>
    <x:row r="174" ht="14.25" customHeight="1" x14ac:dyDescent="0.2"/>
    <x:row r="179" spans="2:10" ht="13.5" customHeight="1" x14ac:dyDescent="0.2"/>
    <x:row r="182" spans="2:10" ht="12.75" customHeight="1" x14ac:dyDescent="0.2"/>
    <x:row r="184" spans="2:10" ht="12.75" customHeight="1" x14ac:dyDescent="0.2"/>
    <x:row r="185" spans="2:10" ht="12.75" customHeight="1" x14ac:dyDescent="0.2"/>
    <x:row r="187" spans="2:10" ht="12.75" customHeight="1" x14ac:dyDescent="0.2"/>
    <x:row r="188" spans="2:10" x14ac:dyDescent="0.2">
      <x:c r="B188" s="216" t="s">
        <x:v>433</x:v>
      </x:c>
      <x:c r="C188" s="75"/>
      <x:c r="D188" s="75"/>
      <x:c r="E188" s="75"/>
      <x:c r="F188" s="75"/>
      <x:c r="G188" s="75"/>
      <x:c r="H188" s="75"/>
      <x:c r="I188" s="75"/>
      <x:c r="J188" s="75"/>
    </x:row>
    <x:row r="189" spans="2:10" x14ac:dyDescent="0.2">
      <x:c r="B189" s="216"/>
      <x:c r="C189" s="75"/>
      <x:c r="D189" s="75"/>
      <x:c r="E189" s="75"/>
      <x:c r="F189" s="75"/>
      <x:c r="G189" s="75"/>
      <x:c r="H189" s="75"/>
      <x:c r="I189" s="75"/>
      <x:c r="J189" s="75"/>
    </x:row>
    <x:row r="190" spans="2:10" ht="13.5" customHeight="1" thickBot="1" x14ac:dyDescent="0.25">
      <x:c r="B190" s="165"/>
      <x:c r="C190" s="119"/>
      <x:c r="D190" s="74"/>
      <x:c r="E190" s="74"/>
      <x:c r="F190" s="75"/>
      <x:c r="G190" s="75"/>
      <x:c r="H190" s="75"/>
      <x:c r="I190" s="75"/>
      <x:c r="J190" s="75"/>
    </x:row>
    <x:row r="191" spans="2:10" x14ac:dyDescent="0.2">
      <x:c r="B191" s="1516" t="s">
        <x:v>436</x:v>
      </x:c>
      <x:c r="C191" s="332" t="s">
        <x:v>437</x:v>
      </x:c>
      <x:c r="D191" s="1519" t="s">
        <x:v>434</x:v>
      </x:c>
      <x:c r="E191" s="1520"/>
      <x:c r="F191" s="1521" t="s">
        <x:v>435</x:v>
      </x:c>
      <x:c r="G191" s="1522"/>
      <x:c r="H191" s="538"/>
      <x:c r="I191" s="538"/>
      <x:c r="J191" s="538"/>
    </x:row>
    <x:row r="192" spans="2:10" x14ac:dyDescent="0.2">
      <x:c r="B192" s="1517"/>
      <x:c r="C192" s="59" t="s">
        <x:v>438</x:v>
      </x:c>
      <x:c r="D192" s="60">
        <x:f>IF($C$31&gt;7,"Fehler",$C$31)</x:f>
        <x:v>1.1934894239820351</x:v>
      </x:c>
      <x:c r="E192" s="61" t="s">
        <x:v>5</x:v>
      </x:c>
      <x:c r="F192" s="60">
        <x:f>IF($C$31&gt;7,"Fehler",$C$31)</x:f>
        <x:v>1.1934894239820351</x:v>
      </x:c>
      <x:c r="G192" s="62" t="s">
        <x:v>5</x:v>
      </x:c>
      <x:c r="H192" s="19"/>
      <x:c r="I192" s="19"/>
      <x:c r="J192" s="19"/>
    </x:row>
    <x:row r="193" spans="2:10" ht="13.5" customHeight="1" thickBot="1" x14ac:dyDescent="0.25">
      <x:c r="B193" s="1518"/>
      <x:c r="C193" s="64" t="s">
        <x:v>439</x:v>
      </x:c>
      <x:c r="D193" s="65">
        <x:f>IF($D$192="Fehler","",IF($J$32=$B$197,1,IF($J$32=$B$198,1/(COS(D192/180*PI())),"Fehler")))</x:f>
        <x:v>1.0002169903464837</x:v>
      </x:c>
      <x:c r="E193" s="66" t="s">
        <x:v>6</x:v>
      </x:c>
      <x:c r="F193" s="67">
        <x:f>IF($D$192="Fehler","",IF($J$32=$B$197,1,IF($J$32=$B$198,$C$30/($C$30*COS(F192/180*PI())-SIN(F192/180*PI())),"FEHLER")))</x:f>
        <x:v>1.0487712131788371</x:v>
      </x:c>
      <x:c r="G193" s="68" t="s">
        <x:v>6</x:v>
      </x:c>
      <x:c r="H193" s="19"/>
      <x:c r="I193" s="19"/>
      <x:c r="J193" s="19"/>
    </x:row>
    <x:row r="194" spans="2:10" ht="13.5" thickBot="1" x14ac:dyDescent="0.25"/>
    <x:row r="195" spans="2:10" ht="26.25" thickBot="1" x14ac:dyDescent="0.25">
      <x:c r="B195" s="178"/>
      <x:c r="C195" s="69" t="s">
        <x:v>335</x:v>
      </x:c>
      <x:c r="D195" s="70" t="s">
        <x:v>126</x:v>
      </x:c>
      <x:c r="E195" s="70" t="s">
        <x:v>440</x:v>
      </x:c>
      <x:c r="F195" s="71" t="s">
        <x:v>366</x:v>
      </x:c>
      <x:c r="G195" s="173" t="s">
        <x:v>441</x:v>
      </x:c>
      <x:c r="H195" s="194" t="s">
        <x:v>442</x:v>
      </x:c>
      <x:c r="I195" s="193" t="s">
        <x:v>443</x:v>
      </x:c>
      <x:c r="J195" s="193" t="s">
        <x:v>444</x:v>
      </x:c>
    </x:row>
    <x:row r="196" spans="2:10" ht="12.75" customHeight="1" x14ac:dyDescent="0.2">
      <x:c r="B196" s="178"/>
      <x:c r="C196" s="168" t="str">
        <x:f>'building data'!Q10</x:f>
        <x:v>USA</x:v>
      </x:c>
      <x:c r="D196" s="169" t="str">
        <x:f>'building data'!R10</x:f>
        <x:v>ASCE/SEI 7-10</x:v>
      </x:c>
      <x:c r="E196" s="72">
        <x:f>'ASCE 7-10 (US)'!C19</x:f>
        <x:v>1.0384922145487721</x:v>
      </x:c>
      <x:c r="F196" s="79" t="str">
        <x:f>'ASCE 7-10 (US)'!C24</x:f>
        <x:v>Exp. B</x:v>
      </x:c>
      <x:c r="G196" s="175">
        <x:f>'ASCE 7-10 (US)'!H13</x:f>
        <x:v>1</x:v>
      </x:c>
      <x:c r="H196" s="195">
        <x:f>'ASCE 7-10 (US)'!J13</x:f>
        <x:v>1</x:v>
      </x:c>
      <x:c r="I196" s="184">
        <x:f>'ASCE 7-10 (US)'!K13</x:f>
        <x:v>0.9</x:v>
      </x:c>
      <x:c r="J196" s="184">
        <x:f>'ASCE 7-10 (US)'!L13</x:f>
        <x:v>0.9</x:v>
      </x:c>
    </x:row>
    <x:row r="197" spans="2:10" x14ac:dyDescent="0.2">
      <x:c r="B197" s="178" t="s">
        <x:v>20</x:v>
      </x:c>
      <x:c r="C197" s="168" t="str">
        <x:f>'building data'!Q11</x:f>
        <x:v>USA II</x:v>
      </x:c>
      <x:c r="D197" s="76" t="str">
        <x:f>'building data'!R11</x:f>
        <x:v>ASCE/SEI 7-05</x:v>
      </x:c>
      <x:c r="E197" s="77">
        <x:f>'ASCE 7-05 (US)'!C19</x:f>
        <x:v>1.0384922145487721</x:v>
      </x:c>
      <x:c r="F197" s="172" t="str">
        <x:f>'ASCE 7-05 (US)'!C24</x:f>
        <x:v>Exp. B</x:v>
      </x:c>
      <x:c r="G197" s="623">
        <x:f>'ASCE 7-05 (US)'!H13</x:f>
        <x:v>1.6</x:v>
      </x:c>
      <x:c r="H197" s="624">
        <x:f>'ASCE 7-05 (US)'!J13</x:f>
        <x:v>1.6</x:v>
      </x:c>
      <x:c r="I197" s="625">
        <x:f>'ASCE 7-05 (US)'!K13</x:f>
        <x:v>0.9</x:v>
      </x:c>
      <x:c r="J197" s="625">
        <x:f>'ASCE 7-05 (US)'!L13</x:f>
        <x:v>0.9</x:v>
      </x:c>
    </x:row>
    <x:row r="198" spans="2:10" x14ac:dyDescent="0.2">
      <x:c r="B198" s="178" t="s">
        <x:v>19</x:v>
      </x:c>
      <x:c r="C198" s="168"/>
      <x:c r="D198" s="76"/>
      <x:c r="E198" s="77"/>
      <x:c r="F198" s="172"/>
      <x:c r="G198" s="176"/>
      <x:c r="H198" s="196"/>
      <x:c r="I198" s="185"/>
      <x:c r="J198" s="185"/>
    </x:row>
    <x:row r="199" spans="2:10" ht="12.75" customHeight="1" x14ac:dyDescent="0.2">
      <x:c r="B199" s="178"/>
      <x:c r="C199" s="168"/>
      <x:c r="D199" s="76"/>
      <x:c r="E199" s="77"/>
      <x:c r="F199" s="172"/>
      <x:c r="G199" s="176"/>
      <x:c r="H199" s="196"/>
      <x:c r="I199" s="185"/>
      <x:c r="J199" s="185"/>
    </x:row>
    <x:row r="200" spans="2:10" x14ac:dyDescent="0.2">
      <x:c r="B200" s="110" t="s">
        <x:v>453</x:v>
      </x:c>
      <x:c r="C200" s="168"/>
      <x:c r="D200" s="76"/>
      <x:c r="E200" s="77"/>
      <x:c r="F200" s="172"/>
      <x:c r="G200" s="176"/>
      <x:c r="H200" s="196"/>
      <x:c r="I200" s="185"/>
      <x:c r="J200" s="185"/>
    </x:row>
    <x:row r="201" spans="2:10" ht="12.75" customHeight="1" x14ac:dyDescent="0.2">
      <x:c r="B201" s="110"/>
      <x:c r="C201" s="168"/>
      <x:c r="D201" s="76"/>
      <x:c r="E201" s="77"/>
      <x:c r="F201" s="172"/>
      <x:c r="G201" s="176"/>
      <x:c r="H201" s="196"/>
      <x:c r="I201" s="185"/>
      <x:c r="J201" s="185"/>
    </x:row>
    <x:row r="202" spans="2:10" x14ac:dyDescent="0.2">
      <x:c r="B202" s="178"/>
      <x:c r="C202" s="168"/>
      <x:c r="D202" s="76"/>
      <x:c r="E202" s="103"/>
      <x:c r="F202" s="80"/>
      <x:c r="G202" s="176"/>
      <x:c r="H202" s="196"/>
      <x:c r="I202" s="185"/>
      <x:c r="J202" s="185"/>
    </x:row>
    <x:row r="203" spans="2:10" x14ac:dyDescent="0.2">
      <x:c r="B203" s="330"/>
      <x:c r="C203" s="168"/>
      <x:c r="D203" s="76"/>
      <x:c r="E203" s="77"/>
      <x:c r="F203" s="172"/>
      <x:c r="G203" s="176"/>
      <x:c r="H203" s="196"/>
      <x:c r="I203" s="185"/>
      <x:c r="J203" s="185"/>
    </x:row>
    <x:row r="204" spans="2:10" ht="12.75" customHeight="1" x14ac:dyDescent="0.2">
      <x:c r="B204" s="178"/>
      <x:c r="C204" s="168"/>
      <x:c r="D204" s="76"/>
      <x:c r="E204" s="103"/>
      <x:c r="F204" s="80"/>
      <x:c r="G204" s="176"/>
      <x:c r="H204" s="196"/>
      <x:c r="I204" s="185"/>
      <x:c r="J204" s="185"/>
    </x:row>
    <x:row r="205" spans="2:10" ht="12.75" customHeight="1" x14ac:dyDescent="0.2">
      <x:c r="B205" s="178"/>
      <x:c r="C205" s="168"/>
      <x:c r="D205" s="76"/>
      <x:c r="E205" s="77"/>
      <x:c r="F205" s="172"/>
      <x:c r="G205" s="176"/>
      <x:c r="H205" s="196"/>
      <x:c r="I205" s="185"/>
      <x:c r="J205" s="185"/>
    </x:row>
    <x:row r="206" spans="2:10" x14ac:dyDescent="0.2">
      <x:c r="C206" s="168"/>
      <x:c r="D206" s="76"/>
      <x:c r="E206" s="77"/>
      <x:c r="F206" s="172"/>
      <x:c r="G206" s="176"/>
      <x:c r="H206" s="196"/>
      <x:c r="I206" s="185"/>
      <x:c r="J206" s="185"/>
    </x:row>
    <x:row r="207" spans="2:10" ht="12.75" customHeight="1" x14ac:dyDescent="0.2">
      <x:c r="B207" s="208"/>
      <x:c r="C207" s="168"/>
      <x:c r="D207" s="76"/>
      <x:c r="E207" s="77"/>
      <x:c r="F207" s="172"/>
      <x:c r="G207" s="176"/>
      <x:c r="H207" s="196"/>
      <x:c r="I207" s="185"/>
      <x:c r="J207" s="185"/>
    </x:row>
    <x:row r="208" spans="2:10" x14ac:dyDescent="0.2">
      <x:c r="B208" s="208"/>
      <x:c r="C208" s="170"/>
      <x:c r="D208" s="76"/>
      <x:c r="E208" s="103"/>
      <x:c r="F208" s="80"/>
      <x:c r="G208" s="176"/>
      <x:c r="H208" s="196"/>
      <x:c r="I208" s="185"/>
      <x:c r="J208" s="185"/>
    </x:row>
    <x:row r="209" spans="2:10" x14ac:dyDescent="0.2">
      <x:c r="B209" s="178"/>
      <x:c r="C209" s="168"/>
      <x:c r="D209" s="76"/>
      <x:c r="E209" s="77"/>
      <x:c r="F209" s="172"/>
      <x:c r="G209" s="176"/>
      <x:c r="H209" s="196"/>
      <x:c r="I209" s="185"/>
      <x:c r="J209" s="185"/>
    </x:row>
    <x:row r="210" spans="2:10" ht="12.75" customHeight="1" x14ac:dyDescent="0.2">
      <x:c r="B210" s="281"/>
      <x:c r="C210" s="202"/>
      <x:c r="D210" s="203"/>
      <x:c r="E210" s="204"/>
      <x:c r="F210" s="205"/>
      <x:c r="G210" s="196"/>
      <x:c r="H210" s="206"/>
      <x:c r="I210" s="207"/>
      <x:c r="J210" s="207"/>
    </x:row>
    <x:row r="211" spans="2:10" ht="13.5" thickBot="1" x14ac:dyDescent="0.25">
      <x:c r="B211" s="281"/>
      <x:c r="C211" s="171"/>
      <x:c r="D211" s="78"/>
      <x:c r="E211" s="108"/>
      <x:c r="F211" s="55"/>
      <x:c r="G211" s="177"/>
      <x:c r="H211" s="197"/>
      <x:c r="I211" s="186"/>
      <x:c r="J211" s="186"/>
    </x:row>
    <x:row r="213" spans="2:10" ht="12.75" customHeight="1" x14ac:dyDescent="0.2"/>
    <x:row r="216" spans="2:10" ht="12.75" customHeight="1" x14ac:dyDescent="0.2"/>
    <x:row r="220" spans="2:10" ht="13.5" customHeight="1" x14ac:dyDescent="0.2"/>
    <x:row r="221" spans="2:10" ht="13.5" customHeight="1" x14ac:dyDescent="0.2"/>
    <x:row r="228" spans="29:136" ht="18" x14ac:dyDescent="0.2">
      <x:c r="AC228" s="163"/>
      <x:c r="AD228" s="75"/>
      <x:c r="AE228" s="75"/>
      <x:c r="AF228" s="75"/>
      <x:c r="AG228" s="75"/>
      <x:c r="AH228" s="75"/>
      <x:c r="AI228" s="75"/>
      <x:c r="AJ228" s="75"/>
      <x:c r="AK228" s="75"/>
      <x:c r="AL228" s="75"/>
      <x:c r="AM228" s="75"/>
      <x:c r="AN228" s="75"/>
      <x:c r="AO228" s="75"/>
      <x:c r="AP228" s="75"/>
      <x:c r="AQ228" s="75"/>
      <x:c r="AR228" s="75"/>
      <x:c r="AS228" s="75"/>
      <x:c r="AT228" s="75"/>
      <x:c r="AU228" s="75"/>
      <x:c r="AV228" s="75"/>
      <x:c r="AW228" s="75"/>
      <x:c r="AX228" s="75"/>
      <x:c r="AY228" s="75"/>
      <x:c r="AZ228" s="75"/>
      <x:c r="BA228" s="75"/>
      <x:c r="BB228" s="75"/>
      <x:c r="BC228" s="75"/>
      <x:c r="BD228" s="75"/>
      <x:c r="BE228" s="75"/>
      <x:c r="BF228" s="75"/>
      <x:c r="BG228" s="75"/>
      <x:c r="BH228" s="75"/>
      <x:c r="BI228" s="75"/>
      <x:c r="BJ228" s="75"/>
      <x:c r="BK228" s="75"/>
      <x:c r="BL228" s="75"/>
      <x:c r="BM228" s="75"/>
      <x:c r="BN228" s="75"/>
      <x:c r="BO228" s="75"/>
      <x:c r="BP228" s="75"/>
      <x:c r="BQ228" s="75"/>
      <x:c r="BR228" s="75"/>
      <x:c r="BS228" s="75"/>
      <x:c r="BT228" s="75"/>
      <x:c r="BU228" s="75"/>
      <x:c r="BV228" s="75"/>
      <x:c r="BW228" s="75"/>
      <x:c r="BX228" s="75"/>
      <x:c r="BY228" s="75"/>
      <x:c r="BZ228" s="75"/>
      <x:c r="CA228" s="75"/>
      <x:c r="CB228" s="75"/>
      <x:c r="CC228" s="75"/>
      <x:c r="CD228" s="75"/>
      <x:c r="CE228" s="75"/>
      <x:c r="CF228" s="75"/>
      <x:c r="CG228" s="75"/>
      <x:c r="CH228" s="75"/>
      <x:c r="CI228" s="75"/>
      <x:c r="CJ228" s="75"/>
      <x:c r="CK228" s="75"/>
      <x:c r="CL228" s="75"/>
      <x:c r="CM228" s="75"/>
      <x:c r="CN228" s="75"/>
      <x:c r="CO228" s="75"/>
      <x:c r="CP228" s="75"/>
      <x:c r="CQ228" s="75"/>
      <x:c r="CR228" s="75"/>
      <x:c r="CS228" s="75"/>
      <x:c r="CT228" s="75"/>
      <x:c r="CU228" s="75"/>
      <x:c r="CV228" s="75"/>
      <x:c r="CW228" s="75"/>
      <x:c r="CX228" s="75"/>
      <x:c r="CY228" s="75"/>
      <x:c r="CZ228" s="75"/>
      <x:c r="DA228" s="75"/>
      <x:c r="DB228" s="75"/>
      <x:c r="DC228" s="75"/>
      <x:c r="DD228" s="75"/>
      <x:c r="DE228" s="75"/>
      <x:c r="DF228" s="75"/>
      <x:c r="DG228" s="75"/>
      <x:c r="DH228" s="75"/>
      <x:c r="DI228" s="75"/>
      <x:c r="DJ228" s="75"/>
      <x:c r="DK228" s="75"/>
      <x:c r="DL228" s="75"/>
      <x:c r="DM228" s="75"/>
      <x:c r="DN228" s="75"/>
      <x:c r="DO228" s="75"/>
      <x:c r="DP228" s="75"/>
      <x:c r="DQ228" s="75"/>
      <x:c r="DR228" s="75"/>
      <x:c r="DS228" s="75"/>
      <x:c r="DT228" s="75"/>
      <x:c r="DU228" s="75"/>
      <x:c r="DV228" s="75"/>
      <x:c r="DW228" s="75"/>
      <x:c r="DX228" s="75"/>
      <x:c r="DY228" s="75"/>
      <x:c r="DZ228" s="75"/>
      <x:c r="EA228" s="75"/>
      <x:c r="EB228" s="75"/>
      <x:c r="EC228" s="75"/>
      <x:c r="ED228" s="75"/>
      <x:c r="EE228" s="75"/>
      <x:c r="EF228" s="75"/>
    </x:row>
  </x:sheetData>
  <x:mergeCells count="468">
    <x:mergeCell ref="DM71:DQ73"/>
    <x:mergeCell ref="AE76:AU76"/>
    <x:mergeCell ref="AE75:AU75"/>
    <x:mergeCell ref="AE74:AU74"/>
    <x:mergeCell ref="DM74:EC74"/>
    <x:mergeCell ref="DM75:EC75"/>
    <x:mergeCell ref="DM76:EC76"/>
    <x:mergeCell ref="DC76:DL76"/>
    <x:mergeCell ref="DC75:DL75"/>
    <x:mergeCell ref="DC74:DL74"/>
    <x:mergeCell ref="AV76:BE76"/>
    <x:mergeCell ref="AV75:BE75"/>
    <x:mergeCell ref="AV74:BE74"/>
    <x:mergeCell ref="CS74:DB74"/>
    <x:mergeCell ref="CS75:DB75"/>
    <x:mergeCell ref="CS76:DB76"/>
    <x:mergeCell ref="DC71:DG73"/>
    <x:mergeCell ref="CS71:CW73"/>
    <x:mergeCell ref="CG74:CR74"/>
    <x:mergeCell ref="CG75:CR75"/>
    <x:mergeCell ref="CG76:CR76"/>
    <x:mergeCell ref="BP75:CA75"/>
    <x:mergeCell ref="BF74:BO74"/>
    <x:mergeCell ref="BF75:BO75"/>
    <x:mergeCell ref="CC34:CC35"/>
    <x:mergeCell ref="DR40:DV42"/>
    <x:mergeCell ref="DW40:EA42"/>
    <x:mergeCell ref="CI49:CM50"/>
    <x:mergeCell ref="CS54:CW56"/>
    <x:mergeCell ref="CI43:CM45"/>
    <x:mergeCell ref="CN46:CR48"/>
    <x:mergeCell ref="CN49:CR50"/>
    <x:mergeCell ref="CN51:CR53"/>
    <x:mergeCell ref="DM46:DQ48"/>
    <x:mergeCell ref="DH46:DL48"/>
    <x:mergeCell ref="DC46:DG48"/>
    <x:mergeCell ref="CX46:DB48"/>
    <x:mergeCell ref="CS46:CW48"/>
    <x:mergeCell ref="DM49:DQ50"/>
    <x:mergeCell ref="DH49:DL50"/>
    <x:mergeCell ref="CX49:DB50"/>
    <x:mergeCell ref="CS49:CW50"/>
    <x:mergeCell ref="DR43:DV45"/>
    <x:mergeCell ref="DW43:EA45"/>
    <x:mergeCell ref="DW51:EA53"/>
    <x:mergeCell ref="DR51:DV53"/>
    <x:mergeCell ref="DW46:EA48"/>
    <x:mergeCell ref="DR46:DV48"/>
    <x:mergeCell ref="CI66:CM68"/>
    <x:mergeCell ref="AQ49:AU50"/>
    <x:mergeCell ref="AL49:AP50"/>
    <x:mergeCell ref="DM57:DQ59"/>
    <x:mergeCell ref="CI34:CM36"/>
    <x:mergeCell ref="CI40:CM42"/>
    <x:mergeCell ref="CN40:CR42"/>
    <x:mergeCell ref="CS40:CW42"/>
    <x:mergeCell ref="CN54:CR56"/>
    <x:mergeCell ref="CI46:CM48"/>
    <x:mergeCell ref="BK46:BO48"/>
    <x:mergeCell ref="BP46:BT48"/>
    <x:mergeCell ref="BU46:BY48"/>
    <x:mergeCell ref="BU49:BY50"/>
    <x:mergeCell ref="BP49:BT50"/>
    <x:mergeCell ref="BK49:BO50"/>
    <x:mergeCell ref="BF49:BJ50"/>
    <x:mergeCell ref="BA49:BE50"/>
    <x:mergeCell ref="AV49:AZ50"/>
    <x:mergeCell ref="DM51:DQ53"/>
    <x:mergeCell ref="DH51:DL53"/>
    <x:mergeCell ref="DC51:DG53"/>
    <x:mergeCell ref="CX51:DB53"/>
    <x:mergeCell ref="CS51:CW53"/>
    <x:mergeCell ref="CI54:CM56"/>
    <x:mergeCell ref="DW54:EA56"/>
    <x:mergeCell ref="DR54:DV56"/>
    <x:mergeCell ref="DM54:DQ56"/>
    <x:mergeCell ref="DH54:DL56"/>
    <x:mergeCell ref="DC54:DG56"/>
    <x:mergeCell ref="DC63:DG65"/>
    <x:mergeCell ref="DH63:DL65"/>
    <x:mergeCell ref="DM63:DQ65"/>
    <x:mergeCell ref="DR63:DV65"/>
    <x:mergeCell ref="DW63:EA65"/>
    <x:mergeCell ref="CI60:CM62"/>
    <x:mergeCell ref="CN60:CR62"/>
    <x:mergeCell ref="CS60:CW62"/>
    <x:mergeCell ref="CX60:DB62"/>
    <x:mergeCell ref="DC60:DG62"/>
    <x:mergeCell ref="CI32:CM33"/>
    <x:mergeCell ref="CN32:CR33"/>
    <x:mergeCell ref="CS32:CW33"/>
    <x:mergeCell ref="CX32:DB33"/>
    <x:mergeCell ref="DC32:DG33"/>
    <x:mergeCell ref="DM60:DQ62"/>
    <x:mergeCell ref="DM40:DQ42"/>
    <x:mergeCell ref="CN43:CR45"/>
    <x:mergeCell ref="CS43:CW45"/>
    <x:mergeCell ref="CX43:DB45"/>
    <x:mergeCell ref="DC43:DG45"/>
    <x:mergeCell ref="DH43:DL45"/>
    <x:mergeCell ref="CX54:DB56"/>
    <x:mergeCell ref="CI51:CM53"/>
    <x:mergeCell ref="CX40:DB42"/>
    <x:mergeCell ref="DC40:DG42"/>
    <x:mergeCell ref="DH40:DL42"/>
    <x:mergeCell ref="CX37:DB39"/>
    <x:mergeCell ref="DC37:DG39"/>
    <x:mergeCell ref="DH37:DL39"/>
    <x:mergeCell ref="DM37:DQ39"/>
    <x:mergeCell ref="CI57:CM59"/>
    <x:mergeCell ref="CN57:CR59"/>
    <x:mergeCell ref="DH60:DL62"/>
    <x:mergeCell ref="DR66:DV68"/>
    <x:mergeCell ref="DW66:EA68"/>
    <x:mergeCell ref="DR57:DV59"/>
    <x:mergeCell ref="DW57:EA59"/>
    <x:mergeCell ref="DW49:EA50"/>
    <x:mergeCell ref="DR60:DV62"/>
    <x:mergeCell ref="DW60:EA62"/>
    <x:mergeCell ref="CS57:CW59"/>
    <x:mergeCell ref="CX57:DB59"/>
    <x:mergeCell ref="CG21:CH25"/>
    <x:mergeCell ref="DH32:DL33"/>
    <x:mergeCell ref="EB21:EC25"/>
    <x:mergeCell ref="CN24:DW24"/>
    <x:mergeCell ref="CE27:CE28"/>
    <x:mergeCell ref="CI27:EA28"/>
    <x:mergeCell ref="CI29:CM31"/>
    <x:mergeCell ref="CN29:CR31"/>
    <x:mergeCell ref="CS29:CW31"/>
    <x:mergeCell ref="CX29:DB31"/>
    <x:mergeCell ref="DC29:DG31"/>
    <x:mergeCell ref="DH29:DL31"/>
    <x:mergeCell ref="DM29:DQ31"/>
    <x:mergeCell ref="DR29:DV31"/>
    <x:mergeCell ref="DW29:EA31"/>
    <x:mergeCell ref="EB29:EC68"/>
    <x:mergeCell ref="DC49:DG50"/>
    <x:mergeCell ref="CI63:CM65"/>
    <x:mergeCell ref="CN63:CR65"/>
    <x:mergeCell ref="CS63:CW65"/>
    <x:mergeCell ref="CX63:DB65"/>
    <x:mergeCell ref="DW34:EA36"/>
    <x:mergeCell ref="DR34:DV36"/>
    <x:mergeCell ref="DM34:DQ36"/>
    <x:mergeCell ref="BP74:CA74"/>
    <x:mergeCell ref="BZ29:CA68"/>
    <x:mergeCell ref="BU40:BY42"/>
    <x:mergeCell ref="BF51:BJ53"/>
    <x:mergeCell ref="BK51:BO53"/>
    <x:mergeCell ref="BU54:BY56"/>
    <x:mergeCell ref="BP54:BT56"/>
    <x:mergeCell ref="BP66:BT68"/>
    <x:mergeCell ref="BK54:BO56"/>
    <x:mergeCell ref="BU66:BY68"/>
    <x:mergeCell ref="BP51:BT53"/>
    <x:mergeCell ref="CE69:CE70"/>
    <x:mergeCell ref="CI69:EA70"/>
    <x:mergeCell ref="CS66:CW68"/>
    <x:mergeCell ref="CX66:DB68"/>
    <x:mergeCell ref="DC66:DG68"/>
    <x:mergeCell ref="DH66:DL68"/>
    <x:mergeCell ref="CG29:CH68"/>
    <x:mergeCell ref="DC57:DG59"/>
    <x:mergeCell ref="DH57:DL59"/>
    <x:mergeCell ref="DM32:DQ33"/>
    <x:mergeCell ref="DR32:DV33"/>
    <x:mergeCell ref="DM43:DQ45"/>
    <x:mergeCell ref="DW32:EA33"/>
    <x:mergeCell ref="CI37:CM39"/>
    <x:mergeCell ref="CN37:CR39"/>
    <x:mergeCell ref="CS37:CW39"/>
    <x:mergeCell ref="DH34:DL36"/>
    <x:mergeCell ref="DC34:DG36"/>
    <x:mergeCell ref="CX34:DB36"/>
    <x:mergeCell ref="CS34:CW36"/>
    <x:mergeCell ref="CN34:CR36"/>
    <x:mergeCell ref="CN66:CR68"/>
    <x:mergeCell ref="DR49:DV50"/>
    <x:mergeCell ref="DM66:DQ68"/>
    <x:mergeCell ref="AL16:BU20"/>
    <x:mergeCell ref="BF34:BJ36"/>
    <x:mergeCell ref="AQ63:AU65"/>
    <x:mergeCell ref="AQ54:AU56"/>
    <x:mergeCell ref="AQ60:AU62"/>
    <x:mergeCell ref="AQ51:AU53"/>
    <x:mergeCell ref="BA63:BE65"/>
    <x:mergeCell ref="AV60:AZ62"/>
    <x:mergeCell ref="AV66:AZ68"/>
    <x:mergeCell ref="BA57:BE59"/>
    <x:mergeCell ref="AV32:AZ33"/>
    <x:mergeCell ref="AL63:AP65"/>
    <x:mergeCell ref="AQ57:AU59"/>
    <x:mergeCell ref="AQ66:AU68"/>
    <x:mergeCell ref="BK60:BO62"/>
    <x:mergeCell ref="BF60:BJ62"/>
    <x:mergeCell ref="AL40:AP42"/>
    <x:mergeCell ref="BK43:BO45"/>
    <x:mergeCell ref="BK40:BO42"/>
    <x:mergeCell ref="BU57:BY59"/>
    <x:mergeCell ref="BP57:BT59"/>
    <x:mergeCell ref="BU63:BY65"/>
    <x:mergeCell ref="BP63:BT65"/>
    <x:mergeCell ref="BK63:BO65"/>
    <x:mergeCell ref="AE21:AF25"/>
    <x:mergeCell ref="BZ21:CA25"/>
    <x:mergeCell ref="AC27:AC28"/>
    <x:mergeCell ref="AG27:BY28"/>
    <x:mergeCell ref="BU29:BY31"/>
    <x:mergeCell ref="BP29:BT31"/>
    <x:mergeCell ref="BK29:BO31"/>
    <x:mergeCell ref="AL29:AP31"/>
    <x:mergeCell ref="AG29:AK31"/>
    <x:mergeCell ref="BF29:BJ31"/>
    <x:mergeCell ref="AV29:AZ31"/>
    <x:mergeCell ref="BA29:BE31"/>
    <x:mergeCell ref="AE29:AF68"/>
    <x:mergeCell ref="AG34:AK36"/>
    <x:mergeCell ref="AG46:AK48"/>
    <x:mergeCell ref="AG49:AK50"/>
    <x:mergeCell ref="AG51:AK53"/>
    <x:mergeCell ref="BF54:BJ56"/>
    <x:mergeCell ref="BF57:BJ59"/>
    <x:mergeCell ref="BU51:BY53"/>
    <x:mergeCell ref="BK57:BO59"/>
    <x:mergeCell ref="BK66:BO68"/>
    <x:mergeCell ref="BA60:BE62"/>
    <x:mergeCell ref="BF63:BJ65"/>
    <x:mergeCell ref="B191:B193"/>
    <x:mergeCell ref="D191:E191"/>
    <x:mergeCell ref="F191:G191"/>
    <x:mergeCell ref="B109:D110"/>
    <x:mergeCell ref="B136:D137"/>
    <x:mergeCell ref="B132:D133"/>
    <x:mergeCell ref="B123:D124"/>
    <x:mergeCell ref="B114:D115"/>
    <x:mergeCell ref="B118:D119"/>
    <x:mergeCell ref="B130:D131"/>
    <x:mergeCell ref="B127:D128"/>
    <x:mergeCell ref="B134:D135"/>
    <x:mergeCell ref="B139:D140"/>
    <x:mergeCell ref="B141:D142"/>
    <x:mergeCell ref="B143:D144"/>
    <x:mergeCell ref="B145:D146"/>
    <x:mergeCell ref="B116:D117"/>
    <x:mergeCell ref="B112:D113"/>
    <x:mergeCell ref="B125:D126"/>
    <x:mergeCell ref="AG32:AK33"/>
    <x:mergeCell ref="AL24:BU24"/>
    <x:mergeCell ref="BF37:BJ39"/>
    <x:mergeCell ref="AQ32:AU33"/>
    <x:mergeCell ref="AQ37:AU39"/>
    <x:mergeCell ref="BK34:BO36"/>
    <x:mergeCell ref="BU34:BY36"/>
    <x:mergeCell ref="BP34:BT36"/>
    <x:mergeCell ref="BA32:BE33"/>
    <x:mergeCell ref="BA37:BE39"/>
    <x:mergeCell ref="BU32:BY33"/>
    <x:mergeCell ref="BP32:BT33"/>
    <x:mergeCell ref="BK32:BO33"/>
    <x:mergeCell ref="AQ34:AU36"/>
    <x:mergeCell ref="AL34:AP36"/>
    <x:mergeCell ref="AL32:AP33"/>
    <x:mergeCell ref="BF32:BJ33"/>
    <x:mergeCell ref="AL37:AP39"/>
    <x:mergeCell ref="BK37:BO39"/>
    <x:mergeCell ref="AQ29:AU31"/>
    <x:mergeCell ref="AG37:AK39"/>
    <x:mergeCell ref="CC45:CC46"/>
    <x:mergeCell ref="CC54:CC55"/>
    <x:mergeCell ref="EE34:EE35"/>
    <x:mergeCell ref="EE45:EE46"/>
    <x:mergeCell ref="EE54:EE55"/>
    <x:mergeCell ref="BA40:BE42"/>
    <x:mergeCell ref="BA43:BE45"/>
    <x:mergeCell ref="AV43:AZ45"/>
    <x:mergeCell ref="AV40:AZ42"/>
    <x:mergeCell ref="BF40:BJ42"/>
    <x:mergeCell ref="BP43:BT45"/>
    <x:mergeCell ref="BU43:BY45"/>
    <x:mergeCell ref="BP37:BT39"/>
    <x:mergeCell ref="AV37:AZ39"/>
    <x:mergeCell ref="BP40:BT42"/>
    <x:mergeCell ref="BU37:BY39"/>
    <x:mergeCell ref="AV54:AZ56"/>
    <x:mergeCell ref="AV34:AZ36"/>
    <x:mergeCell ref="BA34:BE36"/>
    <x:mergeCell ref="BA54:BE56"/>
    <x:mergeCell ref="AV51:AZ53"/>
    <x:mergeCell ref="BA51:BE53"/>
    <x:mergeCell ref="DR37:DV39"/>
    <x:mergeCell ref="DW37:EA39"/>
    <x:mergeCell ref="F9:G9"/>
    <x:mergeCell ref="F10:G10"/>
    <x:mergeCell ref="F11:G11"/>
    <x:mergeCell ref="F12:G12"/>
    <x:mergeCell ref="B32:I34"/>
    <x:mergeCell ref="B16:J16"/>
    <x:mergeCell ref="B24:J24"/>
    <x:mergeCell ref="B28:J28"/>
    <x:mergeCell ref="B36:J36"/>
    <x:mergeCell ref="J32:J34"/>
    <x:mergeCell ref="C9:D9"/>
    <x:mergeCell ref="B37:J37"/>
    <x:mergeCell ref="F48:F49"/>
    <x:mergeCell ref="F100:F101"/>
    <x:mergeCell ref="F97:F99"/>
    <x:mergeCell ref="E96:L96"/>
    <x:mergeCell ref="B138:L138"/>
    <x:mergeCell ref="B129:L129"/>
    <x:mergeCell ref="B120:L120"/>
    <x:mergeCell ref="B111:L111"/>
    <x:mergeCell ref="B102:L102"/>
    <x:mergeCell ref="F45:F47"/>
    <x:mergeCell ref="G45:G47"/>
    <x:mergeCell ref="H45:H47"/>
    <x:mergeCell ref="I45:I47"/>
    <x:mergeCell ref="J45:J47"/>
    <x:mergeCell ref="K45:K47"/>
    <x:mergeCell ref="L45:L47"/>
    <x:mergeCell ref="E44:L44"/>
    <x:mergeCell ref="B44:D47"/>
    <x:mergeCell ref="G97:G99"/>
    <x:mergeCell ref="H97:H99"/>
    <x:mergeCell ref="H100:H101"/>
    <x:mergeCell ref="I97:I99"/>
    <x:mergeCell ref="I100:I101"/>
    <x:mergeCell ref="B105:D106"/>
    <x:mergeCell ref="B101:D101"/>
    <x:mergeCell ref="B107:D108"/>
    <x:mergeCell ref="B100:E100"/>
    <x:mergeCell ref="B103:D104"/>
    <x:mergeCell ref="B121:D122"/>
    <x:mergeCell ref="B86:L86"/>
    <x:mergeCell ref="B77:L77"/>
    <x:mergeCell ref="B68:L68"/>
    <x:mergeCell ref="B78:D79"/>
    <x:mergeCell ref="B80:D81"/>
    <x:mergeCell ref="B82:D83"/>
    <x:mergeCell ref="B84:D85"/>
    <x:mergeCell ref="B87:D88"/>
    <x:mergeCell ref="B89:D90"/>
    <x:mergeCell ref="B91:D92"/>
    <x:mergeCell ref="J100:J101"/>
    <x:mergeCell ref="K97:K99"/>
    <x:mergeCell ref="T96:U96"/>
    <x:mergeCell ref="V96:W96"/>
    <x:mergeCell ref="X96:Y96"/>
    <x:mergeCell ref="Z96:AA96"/>
    <x:mergeCell ref="R97:R98"/>
    <x:mergeCell ref="S97:S98"/>
    <x:mergeCell ref="R100:S100"/>
    <x:mergeCell ref="T97:T98"/>
    <x:mergeCell ref="U97:U98"/>
    <x:mergeCell ref="T100:U100"/>
    <x:mergeCell ref="V97:V98"/>
    <x:mergeCell ref="W97:W98"/>
    <x:mergeCell ref="Z97:Z98"/>
    <x:mergeCell ref="AA97:AA98"/>
    <x:mergeCell ref="V100:W100"/>
    <x:mergeCell ref="Z100:AA100"/>
    <x:mergeCell ref="X97:X98"/>
    <x:mergeCell ref="Y97:Y98"/>
    <x:mergeCell ref="X100:Y100"/>
    <x:mergeCell ref="P96:Q96"/>
    <x:mergeCell ref="R96:S96"/>
    <x:mergeCell ref="P97:P98"/>
    <x:mergeCell ref="Q97:Q98"/>
    <x:mergeCell ref="P100:Q100"/>
    <x:mergeCell ref="N45:N46"/>
    <x:mergeCell ref="E97:E99"/>
    <x:mergeCell ref="N100:O100"/>
    <x:mergeCell ref="P45:P46"/>
    <x:mergeCell ref="Q45:Q46"/>
    <x:mergeCell ref="R45:R46"/>
    <x:mergeCell ref="S45:S46"/>
    <x:mergeCell ref="N96:O96"/>
    <x:mergeCell ref="G100:G101"/>
    <x:mergeCell ref="B59:L59"/>
    <x:mergeCell ref="B50:L50"/>
    <x:mergeCell ref="E45:E47"/>
    <x:mergeCell ref="B48:E48"/>
    <x:mergeCell ref="B96:D99"/>
    <x:mergeCell ref="O97:O98"/>
    <x:mergeCell ref="O45:O46"/>
    <x:mergeCell ref="J48:J49"/>
    <x:mergeCell ref="K48:K49"/>
    <x:mergeCell ref="J97:J99"/>
    <x:mergeCell ref="G48:G49"/>
    <x:mergeCell ref="H48:H49"/>
    <x:mergeCell ref="I48:I49"/>
    <x:mergeCell ref="N97:N98"/>
    <x:mergeCell ref="L48:L49"/>
    <x:mergeCell ref="K100:K101"/>
    <x:mergeCell ref="L97:L99"/>
    <x:mergeCell ref="L100:L101"/>
    <x:mergeCell ref="B49:D49"/>
    <x:mergeCell ref="M100:M101"/>
    <x:mergeCell ref="B93:D94"/>
    <x:mergeCell ref="B62:D63"/>
    <x:mergeCell ref="B64:D65"/>
    <x:mergeCell ref="B66:D67"/>
    <x:mergeCell ref="B69:D70"/>
    <x:mergeCell ref="B71:D72"/>
    <x:mergeCell ref="BP76:CA76"/>
    <x:mergeCell ref="BF76:BO76"/>
    <x:mergeCell ref="BA71:BE73"/>
    <x:mergeCell ref="AQ71:AU73"/>
    <x:mergeCell ref="BK71:BO73"/>
    <x:mergeCell ref="T44:U44"/>
    <x:mergeCell ref="V44:W44"/>
    <x:mergeCell ref="X44:Y44"/>
    <x:mergeCell ref="B51:D52"/>
    <x:mergeCell ref="B53:D54"/>
    <x:mergeCell ref="B55:D56"/>
    <x:mergeCell ref="B57:D58"/>
    <x:mergeCell ref="B60:D61"/>
    <x:mergeCell ref="T48:U48"/>
    <x:mergeCell ref="V48:W48"/>
    <x:mergeCell ref="X48:Y48"/>
    <x:mergeCell ref="Z48:AA48"/>
    <x:mergeCell ref="M48:M49"/>
    <x:mergeCell ref="N48:O48"/>
    <x:mergeCell ref="N44:O44"/>
    <x:mergeCell ref="P44:Q44"/>
    <x:mergeCell ref="B73:D74"/>
    <x:mergeCell ref="B75:D76"/>
    <x:mergeCell ref="BF66:BJ68"/>
    <x:mergeCell ref="R44:S44"/>
    <x:mergeCell ref="P48:Q48"/>
    <x:mergeCell ref="R48:S48"/>
    <x:mergeCell ref="AC69:AC70"/>
    <x:mergeCell ref="AG66:AK68"/>
    <x:mergeCell ref="AG69:BY70"/>
    <x:mergeCell ref="BA66:BE68"/>
    <x:mergeCell ref="T45:T46"/>
    <x:mergeCell ref="U45:U46"/>
    <x:mergeCell ref="V45:V46"/>
    <x:mergeCell ref="W45:W46"/>
    <x:mergeCell ref="X45:X46"/>
    <x:mergeCell ref="AL66:AP68"/>
    <x:mergeCell ref="Z44:AA44"/>
    <x:mergeCell ref="AG40:AK42"/>
    <x:mergeCell ref="AG43:AK45"/>
    <x:mergeCell ref="AG54:AK56"/>
    <x:mergeCell ref="AG57:AK59"/>
    <x:mergeCell ref="AG63:AK65"/>
    <x:mergeCell ref="AG60:AK62"/>
    <x:mergeCell ref="Y45:Y46"/>
    <x:mergeCell ref="Z45:Z46"/>
    <x:mergeCell ref="AA45:AA46"/>
    <x:mergeCell ref="AQ40:AU42"/>
    <x:mergeCell ref="AL51:AP53"/>
    <x:mergeCell ref="BU60:BY62"/>
    <x:mergeCell ref="BP60:BT62"/>
    <x:mergeCell ref="AV57:AZ59"/>
    <x:mergeCell ref="AV63:AZ65"/>
    <x:mergeCell ref="AL46:AP48"/>
    <x:mergeCell ref="AQ46:AU48"/>
    <x:mergeCell ref="AV46:AZ48"/>
    <x:mergeCell ref="BA46:BE48"/>
    <x:mergeCell ref="BF46:BJ48"/>
    <x:mergeCell ref="AL57:AP59"/>
    <x:mergeCell ref="AQ43:AU45"/>
    <x:mergeCell ref="BF43:BJ45"/>
    <x:mergeCell ref="AL43:AP45"/>
    <x:mergeCell ref="AL60:AP62"/>
    <x:mergeCell ref="AL54:AP56"/>
  </x:mergeCells>
  <x:dataValidations count="7">
    <x:dataValidation operator="lessThanOrEqual" allowBlank="1" showInputMessage="1" showErrorMessage="1" sqref="F20 I20"/>
    <x:dataValidation allowBlank="1" showInputMessage="1" showErrorMessage="1" error="Geben Sie eine ganze Zahl größer null ein." sqref="C40 G40:H40"/>
    <x:dataValidation type="whole" operator="greaterThanOrEqual" allowBlank="1" showInputMessage="1" showErrorMessage="1" sqref="G39:H39 C39">
      <x:formula1>1</x:formula1>
    </x:dataValidation>
    <x:dataValidation type="decimal" allowBlank="1" showInputMessage="1" showErrorMessage="1" sqref="F18">
      <x:formula1>9</x:formula1>
      <x:formula2>11</x:formula2>
    </x:dataValidation>
    <x:dataValidation type="decimal" allowBlank="1" showInputMessage="1" showErrorMessage="1" sqref="I18">
      <x:formula1>55</x:formula1>
      <x:formula2>70</x:formula2>
    </x:dataValidation>
    <x:dataValidation type="decimal" allowBlank="1" showInputMessage="1" showErrorMessage="1" sqref="I19">
      <x:formula1>0.2</x:formula1>
      <x:formula2>0.3</x:formula2>
    </x:dataValidation>
    <x:dataValidation type="list" allowBlank="1" showInputMessage="1" showErrorMessage="1" sqref="J32:J34">
      <x:formula1>$B$197:$B$198</x:formula1>
    </x:dataValidation>
  </x:dataValidations>
  <x:pageMargins left="0.74803149606299213" right="0.74803149606299213" top="0.70866141732283472" bottom="0.98425196850393704" header="0.51181102362204722" footer="0.51181102362204722"/>
  <x:pageSetup paperSize="9" scale="22" orientation="landscape" r:id="rId1"/>
  <x:headerFooter alignWithMargins="0"/>
  <x:drawing r:id="rId2"/>
  <x:legacyDrawing r:id="rId3"/>
  <x:oleObjects>
    <mc:AlternateContent xmlns:mc="http://schemas.openxmlformats.org/markup-compatibility/2006">
      <mc:Choice Requires="x14">
        <x:oleObject progId="Equation.DSMT4" shapeId="54273" r:id="rId4">
          <x:objectPr defaultSize="0" autoPict="0" r:id="rId5">
            <x:anchor moveWithCells="1">
              <x:from>
                <xdr:col>2</xdr:col>
                <xdr:colOff>0</xdr:colOff>
                <xdr:row>28</xdr:row>
                <xdr:rowOff>161925</xdr:rowOff>
              </x:from>
              <x:to>
                <xdr:col>2</xdr:col>
                <xdr:colOff>161925</xdr:colOff>
                <xdr:row>30</xdr:row>
                <xdr:rowOff>9525</xdr:rowOff>
              </x:to>
            </x:anchor>
          </x:objectPr>
        </x:oleObject>
      </mc:Choice>
      <mc:Fallback>
        <x:oleObject progId="Equation.DSMT4" shapeId="54273" r:id="rId4"/>
      </mc:Fallback>
    </mc:AlternateContent>
  </x:oleObjects>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Changelog</vt:lpstr>
      <vt:lpstr>1-Eng Inputs</vt:lpstr>
      <vt:lpstr>2-Quote Inputs</vt:lpstr>
      <vt:lpstr>3-Quote</vt:lpstr>
      <vt:lpstr>building data</vt:lpstr>
      <vt:lpstr>ASCE 7-05 (US)</vt:lpstr>
      <vt:lpstr>ASCE 7-10 (US)</vt:lpstr>
      <vt:lpstr>Friction Data</vt:lpstr>
      <vt:lpstr>wind load calc_10d</vt:lpstr>
      <vt:lpstr>int. presets cp_10d</vt:lpstr>
      <vt:lpstr>int. presets cp_10d+wd</vt:lpstr>
      <vt:lpstr>wind load calc_5d</vt:lpstr>
      <vt:lpstr>int. presets cp_5d+wd</vt:lpstr>
      <vt:lpstr>ASCE</vt:lpstr>
      <vt:lpstr>Date</vt:lpstr>
      <vt:lpstr>Exp</vt:lpstr>
      <vt:lpstr>Exposure</vt:lpstr>
      <vt:lpstr>Occ</vt:lpstr>
      <vt:lpstr>Ori</vt:lpstr>
      <vt:lpstr>'ASCE 7-05 (US)'!Print_Area</vt:lpstr>
      <vt:lpstr>'ASCE 7-10 (US)'!Print_Area</vt:lpstr>
      <vt:lpstr>'building data'!Print_Area</vt:lpstr>
      <vt:lpstr>'wind load calc_10d'!Print_Area</vt:lpstr>
      <vt:lpstr>'wind load calc_5d'!Print_Area</vt:lpstr>
      <vt:lpstr>Roof</vt:lpstr>
      <vt:lpstr>Sei</vt:lpstr>
      <vt:lpstr>Soil</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Thorsten Kray</dc:creator>
  <cp:lastModifiedBy>Kyle Basarich</cp:lastModifiedBy>
  <cp:lastPrinted>2016-07-05T15:36:13Z</cp:lastPrinted>
  <dcterms:created xsi:type="dcterms:W3CDTF">2012-12-03T13:57:27Z</dcterms:created>
  <dcterms:modified xsi:type="dcterms:W3CDTF">2016-10-12T17:47:31Z</dcterms:modified>
</cp:coreProperties>
</file>