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-Sources\C#\VS 2010\01-AutoCAD\v.2014\Dev_is2GraphObj\[Extra]\"/>
    </mc:Choice>
  </mc:AlternateContent>
  <bookViews>
    <workbookView xWindow="0" yWindow="0" windowWidth="16815" windowHeight="7155" activeTab="2"/>
  </bookViews>
  <sheets>
    <sheet name="CircleCircle Intercercept" sheetId="3" r:id="rId1"/>
    <sheet name="Despejando en 2" sheetId="1" r:id="rId2"/>
    <sheet name="Despejando en 1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2" l="1"/>
  <c r="O12" i="2"/>
  <c r="O11" i="2"/>
  <c r="O22" i="2"/>
  <c r="N54" i="2"/>
  <c r="N51" i="2"/>
  <c r="O51" i="2"/>
  <c r="O49" i="2"/>
  <c r="O47" i="2"/>
  <c r="O45" i="2"/>
  <c r="O29" i="2"/>
  <c r="O43" i="2"/>
  <c r="O41" i="2"/>
  <c r="O39" i="2"/>
  <c r="O37" i="2"/>
  <c r="O35" i="2"/>
  <c r="O20" i="2"/>
  <c r="O31" i="2"/>
  <c r="O33" i="2"/>
  <c r="O5" i="2"/>
  <c r="O4" i="2"/>
  <c r="M6" i="3"/>
  <c r="M3" i="3"/>
  <c r="M11" i="3" s="1"/>
  <c r="L6" i="3"/>
  <c r="K6" i="3"/>
  <c r="L3" i="3"/>
  <c r="L11" i="3" s="1"/>
  <c r="K3" i="3"/>
  <c r="K11" i="3" s="1"/>
  <c r="O18" i="2"/>
  <c r="O16" i="2"/>
  <c r="O2" i="2"/>
  <c r="O1" i="2"/>
  <c r="O9" i="2"/>
  <c r="O8" i="2"/>
  <c r="O14" i="2"/>
  <c r="U2" i="2"/>
  <c r="U3" i="2"/>
  <c r="U12" i="2"/>
  <c r="U11" i="2"/>
  <c r="U17" i="2" l="1"/>
  <c r="U9" i="2"/>
  <c r="U10" i="2"/>
  <c r="U7" i="2"/>
  <c r="J19" i="2"/>
  <c r="V8" i="2"/>
  <c r="U8" i="2"/>
  <c r="U19" i="2"/>
  <c r="J40" i="2"/>
  <c r="J31" i="2"/>
  <c r="J29" i="2"/>
  <c r="H62" i="2"/>
  <c r="F62" i="2"/>
  <c r="F63" i="2" s="1"/>
  <c r="F64" i="2" s="1"/>
  <c r="H59" i="2"/>
  <c r="G60" i="2" s="1"/>
  <c r="J27" i="2"/>
  <c r="J25" i="2"/>
  <c r="J35" i="2" s="1"/>
  <c r="J22" i="2"/>
  <c r="J33" i="2" s="1"/>
  <c r="U15" i="2"/>
  <c r="J12" i="2"/>
  <c r="F12" i="2"/>
  <c r="C12" i="2"/>
  <c r="C13" i="2" s="1"/>
  <c r="J7" i="2"/>
  <c r="P19" i="1"/>
  <c r="P17" i="1"/>
  <c r="J61" i="1"/>
  <c r="J58" i="1"/>
  <c r="J60" i="1"/>
  <c r="J57" i="1"/>
  <c r="O28" i="1"/>
  <c r="O24" i="1"/>
  <c r="O26" i="1"/>
  <c r="O22" i="1"/>
  <c r="P15" i="1"/>
  <c r="J19" i="1"/>
  <c r="H58" i="1"/>
  <c r="F58" i="1"/>
  <c r="F59" i="1" s="1"/>
  <c r="F60" i="1" s="1"/>
  <c r="G56" i="1"/>
  <c r="H55" i="1"/>
  <c r="J54" i="1"/>
  <c r="J53" i="1"/>
  <c r="J51" i="1"/>
  <c r="J50" i="1"/>
  <c r="J48" i="1"/>
  <c r="J47" i="1"/>
  <c r="J36" i="2" l="1"/>
  <c r="J41" i="2" s="1"/>
  <c r="J15" i="2"/>
  <c r="T28" i="2" s="1"/>
  <c r="J38" i="2"/>
  <c r="J45" i="2" s="1"/>
  <c r="J44" i="2"/>
  <c r="J50" i="2"/>
  <c r="T26" i="2"/>
  <c r="T22" i="2"/>
  <c r="T24" i="2" l="1"/>
  <c r="J46" i="2"/>
  <c r="J48" i="2" s="1"/>
  <c r="J52" i="2" l="1"/>
  <c r="J55" i="2" s="1"/>
  <c r="J58" i="2" s="1"/>
  <c r="J51" i="2"/>
  <c r="J54" i="2" s="1"/>
  <c r="J57" i="2" s="1"/>
  <c r="J61" i="2" l="1"/>
  <c r="J62" i="2" s="1"/>
  <c r="J64" i="2"/>
  <c r="J65" i="2" s="1"/>
  <c r="J46" i="1" l="1"/>
  <c r="J44" i="1"/>
  <c r="J33" i="1"/>
  <c r="J41" i="1"/>
  <c r="J42" i="1"/>
  <c r="J40" i="1"/>
  <c r="J37" i="1"/>
  <c r="J35" i="1"/>
  <c r="J31" i="1"/>
  <c r="J29" i="1"/>
  <c r="J27" i="1"/>
  <c r="J22" i="1"/>
  <c r="J25" i="1"/>
  <c r="J15" i="1"/>
  <c r="J12" i="1"/>
  <c r="J7" i="1"/>
  <c r="F12" i="1" l="1"/>
  <c r="C13" i="1"/>
  <c r="C12" i="1"/>
</calcChain>
</file>

<file path=xl/sharedStrings.xml><?xml version="1.0" encoding="utf-8"?>
<sst xmlns="http://schemas.openxmlformats.org/spreadsheetml/2006/main" count="153" uniqueCount="85">
  <si>
    <t>A</t>
  </si>
  <si>
    <t>C</t>
  </si>
  <si>
    <t>B</t>
  </si>
  <si>
    <t>A1</t>
  </si>
  <si>
    <t>B1</t>
  </si>
  <si>
    <t>C1</t>
  </si>
  <si>
    <t>RESULTADO</t>
  </si>
  <si>
    <t>(2 * A * C - A * B * B1 + B * B * A1) / (A * A + B * B)</t>
  </si>
  <si>
    <t>-20.012199999999886</t>
  </si>
  <si>
    <t>40.024399999999773</t>
  </si>
  <si>
    <t>M</t>
  </si>
  <si>
    <t>P</t>
  </si>
  <si>
    <t>Q</t>
  </si>
  <si>
    <t>a</t>
  </si>
  <si>
    <t>b</t>
  </si>
  <si>
    <t>c</t>
  </si>
  <si>
    <t>DESCRIMINANTE</t>
  </si>
  <si>
    <t>b*b - 4*a*c</t>
  </si>
  <si>
    <t>R</t>
  </si>
  <si>
    <t>Y1</t>
  </si>
  <si>
    <t>Y2</t>
  </si>
  <si>
    <t>N1</t>
  </si>
  <si>
    <t>N2</t>
  </si>
  <si>
    <t>X1</t>
  </si>
  <si>
    <t>X2</t>
  </si>
  <si>
    <t>Px'</t>
  </si>
  <si>
    <t>Qx'</t>
  </si>
  <si>
    <t>Py'</t>
  </si>
  <si>
    <t>Qy'</t>
  </si>
  <si>
    <t>(B^2 / A^2 + 1)y^2</t>
  </si>
  <si>
    <t>(2BC / A - A1* B + B1)y</t>
  </si>
  <si>
    <t>C^2 - A1 * C + C1</t>
  </si>
  <si>
    <t>b^2</t>
  </si>
  <si>
    <t>D</t>
  </si>
  <si>
    <t>(2BC / A*A - A1* B/A + B1)y</t>
  </si>
  <si>
    <t>C^2/A^2 - A1*C/A + C1</t>
  </si>
  <si>
    <t>C/A</t>
  </si>
  <si>
    <t>C^2/A^2</t>
  </si>
  <si>
    <t>(A1*B/A)y</t>
  </si>
  <si>
    <t>2((B/A)*(C/A))y</t>
  </si>
  <si>
    <t>(B/A)y</t>
  </si>
  <si>
    <t>2((-b * -c) / a^2 - A1 * -b / a - B1)</t>
  </si>
  <si>
    <t>2(((B/A)*(C/A))y + (A1*B/A)y + B1)</t>
  </si>
  <si>
    <t>(A1 * -b / a)y</t>
  </si>
  <si>
    <t>((-b * -c) / a^2)y</t>
  </si>
  <si>
    <t>(2 * (-b) * (-c)) / a^2</t>
  </si>
  <si>
    <t>A1 * (-b) / a</t>
  </si>
  <si>
    <t>(b^2 / a^2) + 1)</t>
  </si>
  <si>
    <t>((2 * (-b) * (-c)) / a^2) + (A1 * (-b) / a) + B1</t>
  </si>
  <si>
    <t>(c^2 / a^2) + A1 * (-c) / a + C1</t>
  </si>
  <si>
    <t>My</t>
  </si>
  <si>
    <t>Py</t>
  </si>
  <si>
    <t>Qy</t>
  </si>
  <si>
    <t>(</t>
  </si>
  <si>
    <t>X</t>
  </si>
  <si>
    <t>Y</t>
  </si>
  <si>
    <t>)</t>
  </si>
  <si>
    <t>Circle 1</t>
  </si>
  <si>
    <t>Circle 2</t>
  </si>
  <si>
    <t>Radio</t>
  </si>
  <si>
    <t xml:space="preserve">Resta de los Coeficientes del Cir1 - Cir2 para obtener los coeficientes de la recta del eje radial. </t>
  </si>
  <si>
    <t>A = A1 - A2</t>
  </si>
  <si>
    <t>B = B1 -B2</t>
  </si>
  <si>
    <t>C = C1 - C2</t>
  </si>
  <si>
    <t>K1</t>
  </si>
  <si>
    <t>K2</t>
  </si>
  <si>
    <t>Mx</t>
  </si>
  <si>
    <t>Px</t>
  </si>
  <si>
    <t>Qx</t>
  </si>
  <si>
    <t>N1y</t>
  </si>
  <si>
    <t>N2y</t>
  </si>
  <si>
    <t>N1x</t>
  </si>
  <si>
    <t>N2x</t>
  </si>
  <si>
    <t>Condicion</t>
  </si>
  <si>
    <t>if (X1 * A + Y1 * B + C)</t>
  </si>
  <si>
    <t>rY1</t>
  </si>
  <si>
    <t>rY2</t>
  </si>
  <si>
    <t>rX1</t>
  </si>
  <si>
    <t>rX2</t>
  </si>
  <si>
    <t>(a^2 / b^2) + 1)</t>
  </si>
  <si>
    <t>2A</t>
  </si>
  <si>
    <t>(2 * (-a) * (-c)) / (b^2) + (B1*(-a) / b) + A1</t>
  </si>
  <si>
    <t>(2 * (-a) * (-c)) / b^2</t>
  </si>
  <si>
    <t>B1 * (-a) / b</t>
  </si>
  <si>
    <t>(c^2) / (b^2) + B1*(-c) / b +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</si>
</sst>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0000"/>
    <numFmt numFmtId="165" formatCode="0.0000000000"/>
    <numFmt numFmtId="166" formatCode="0.00000000000"/>
    <numFmt numFmtId="167" formatCode="0.00000000"/>
    <numFmt numFmtId="168" formatCode="0.000000000000000"/>
    <numFmt numFmtId="169" formatCode="0.00000000000000"/>
    <numFmt numFmtId="170" formatCode="0.0000000000000"/>
    <numFmt numFmtId="171" formatCode="0.000000000000"/>
    <numFmt numFmtId="172" formatCode="0.0000000000000000"/>
    <numFmt numFmtId="173" formatCode="0.00000000000000000"/>
    <numFmt numFmtId="174" formatCode="0.0000000"/>
    <numFmt numFmtId="17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49" fontId="0" fillId="0" borderId="0" xfId="0" applyNumberFormat="1"/>
    <xf numFmtId="0" fontId="0" fillId="2" borderId="0" xfId="0" applyFill="1"/>
    <xf numFmtId="49" fontId="0" fillId="3" borderId="0" xfId="0" applyNumberFormat="1" applyFill="1"/>
    <xf numFmtId="167" fontId="0" fillId="0" borderId="0" xfId="0" applyNumberFormat="1"/>
    <xf numFmtId="0" fontId="0" fillId="0" borderId="1" xfId="0" applyBorder="1"/>
    <xf numFmtId="168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70" fontId="3" fillId="0" borderId="0" xfId="0" applyNumberFormat="1" applyFont="1"/>
    <xf numFmtId="171" fontId="4" fillId="0" borderId="1" xfId="0" applyNumberFormat="1" applyFont="1" applyBorder="1"/>
    <xf numFmtId="0" fontId="2" fillId="0" borderId="0" xfId="0" applyFont="1" applyAlignment="1"/>
    <xf numFmtId="165" fontId="4" fillId="0" borderId="1" xfId="0" applyNumberFormat="1" applyFont="1" applyBorder="1"/>
    <xf numFmtId="173" fontId="0" fillId="0" borderId="1" xfId="0" applyNumberFormat="1" applyBorder="1"/>
    <xf numFmtId="171" fontId="0" fillId="0" borderId="0" xfId="0" applyNumberFormat="1"/>
    <xf numFmtId="170" fontId="0" fillId="0" borderId="0" xfId="0" applyNumberFormat="1"/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Font="1"/>
    <xf numFmtId="169" fontId="0" fillId="0" borderId="1" xfId="0" applyNumberFormat="1" applyFont="1" applyBorder="1"/>
    <xf numFmtId="169" fontId="5" fillId="0" borderId="0" xfId="0" applyNumberFormat="1" applyFont="1"/>
    <xf numFmtId="0" fontId="2" fillId="0" borderId="0" xfId="0" applyFont="1" applyAlignment="1">
      <alignment horizontal="left"/>
    </xf>
    <xf numFmtId="0" fontId="0" fillId="4" borderId="0" xfId="0" applyFill="1"/>
    <xf numFmtId="166" fontId="3" fillId="4" borderId="0" xfId="0" applyNumberFormat="1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6" fontId="0" fillId="0" borderId="0" xfId="0" applyNumberFormat="1" applyFont="1" applyAlignment="1">
      <alignment horizontal="right"/>
    </xf>
    <xf numFmtId="169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left"/>
    </xf>
    <xf numFmtId="169" fontId="0" fillId="4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7" xfId="0" applyFill="1" applyBorder="1"/>
    <xf numFmtId="0" fontId="1" fillId="8" borderId="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9" borderId="7" xfId="0" applyFill="1" applyBorder="1"/>
    <xf numFmtId="164" fontId="0" fillId="9" borderId="7" xfId="0" applyNumberFormat="1" applyFill="1" applyBorder="1"/>
    <xf numFmtId="0" fontId="0" fillId="0" borderId="7" xfId="0" applyBorder="1" applyAlignment="1">
      <alignment horizontal="center" vertical="top" wrapText="1"/>
    </xf>
    <xf numFmtId="0" fontId="5" fillId="9" borderId="0" xfId="0" applyFont="1" applyFill="1"/>
    <xf numFmtId="0" fontId="2" fillId="9" borderId="0" xfId="0" applyFont="1" applyFill="1" applyAlignment="1">
      <alignment horizontal="center"/>
    </xf>
    <xf numFmtId="167" fontId="5" fillId="9" borderId="0" xfId="0" applyNumberFormat="1" applyFont="1" applyFill="1"/>
    <xf numFmtId="172" fontId="5" fillId="9" borderId="0" xfId="0" applyNumberFormat="1" applyFont="1" applyFill="1"/>
    <xf numFmtId="0" fontId="5" fillId="9" borderId="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0" fillId="7" borderId="0" xfId="0" applyFont="1" applyFill="1" applyAlignment="1">
      <alignment horizontal="left"/>
    </xf>
    <xf numFmtId="165" fontId="0" fillId="7" borderId="0" xfId="0" applyNumberFormat="1" applyFont="1" applyFill="1" applyAlignment="1">
      <alignment horizontal="right"/>
    </xf>
    <xf numFmtId="169" fontId="0" fillId="7" borderId="0" xfId="0" applyNumberFormat="1" applyFont="1" applyFill="1" applyAlignment="1">
      <alignment horizontal="right"/>
    </xf>
    <xf numFmtId="174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1" fontId="3" fillId="0" borderId="0" xfId="0" applyNumberFormat="1" applyFont="1" applyAlignment="1">
      <alignment horizontal="right"/>
    </xf>
    <xf numFmtId="169" fontId="3" fillId="5" borderId="0" xfId="0" applyNumberFormat="1" applyFont="1" applyFill="1"/>
    <xf numFmtId="169" fontId="3" fillId="5" borderId="1" xfId="0" applyNumberFormat="1" applyFont="1" applyFill="1" applyBorder="1"/>
    <xf numFmtId="165" fontId="3" fillId="5" borderId="0" xfId="0" applyNumberFormat="1" applyFont="1" applyFill="1" applyAlignment="1">
      <alignment horizontal="right"/>
    </xf>
    <xf numFmtId="166" fontId="3" fillId="5" borderId="0" xfId="0" applyNumberFormat="1" applyFont="1" applyFill="1" applyAlignment="1">
      <alignment horizontal="right"/>
    </xf>
    <xf numFmtId="173" fontId="0" fillId="6" borderId="0" xfId="0" applyNumberFormat="1" applyFill="1"/>
    <xf numFmtId="170" fontId="3" fillId="6" borderId="0" xfId="0" applyNumberFormat="1" applyFont="1" applyFill="1" applyAlignment="1">
      <alignment horizontal="right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69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76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2:M11"/>
  <sheetViews>
    <sheetView workbookViewId="0">
      <selection activeCell="K15" sqref="K15"/>
    </sheetView>
  </sheetViews>
  <sheetFormatPr baseColWidth="10" defaultRowHeight="15" x14ac:dyDescent="0.25"/>
  <cols>
    <col min="3" max="3" width="2.28515625" style="3" customWidth="1"/>
    <col min="6" max="6" width="2.28515625" customWidth="1"/>
    <col min="7" max="7" width="2.140625" customWidth="1"/>
    <col min="8" max="8" width="10.28515625" customWidth="1"/>
    <col min="11" max="13" width="16.85546875" customWidth="1"/>
  </cols>
  <sheetData>
    <row r="2" spans="2:13" x14ac:dyDescent="0.25">
      <c r="B2" s="49" t="s">
        <v>57</v>
      </c>
      <c r="C2" s="51" t="s">
        <v>53</v>
      </c>
      <c r="D2" s="51" t="s">
        <v>54</v>
      </c>
      <c r="E2" s="51" t="s">
        <v>55</v>
      </c>
      <c r="F2" s="52" t="s">
        <v>56</v>
      </c>
      <c r="H2" s="53" t="s">
        <v>59</v>
      </c>
      <c r="I2" s="48">
        <v>2.4400000000000002E-2</v>
      </c>
      <c r="K2" s="53" t="s">
        <v>3</v>
      </c>
      <c r="L2" s="53" t="s">
        <v>4</v>
      </c>
      <c r="M2" s="53" t="s">
        <v>5</v>
      </c>
    </row>
    <row r="3" spans="2:13" x14ac:dyDescent="0.25">
      <c r="B3" s="50"/>
      <c r="C3" s="46"/>
      <c r="D3" s="48">
        <v>-20.0244</v>
      </c>
      <c r="E3" s="48">
        <v>8.9999999999999998E-4</v>
      </c>
      <c r="K3" s="54">
        <f>-2 * D3</f>
        <v>40.0488</v>
      </c>
      <c r="L3" s="54">
        <f>-2 *E3</f>
        <v>-1.8E-3</v>
      </c>
      <c r="M3" s="55">
        <f>-I2 * I2 + D3 * D3 + E3 * E3</f>
        <v>400.97600081000002</v>
      </c>
    </row>
    <row r="5" spans="2:13" x14ac:dyDescent="0.25">
      <c r="B5" s="49" t="s">
        <v>58</v>
      </c>
      <c r="C5" s="51" t="s">
        <v>53</v>
      </c>
      <c r="D5" s="51" t="s">
        <v>54</v>
      </c>
      <c r="E5" s="51" t="s">
        <v>55</v>
      </c>
      <c r="F5" s="52" t="s">
        <v>56</v>
      </c>
      <c r="H5" s="53" t="s">
        <v>59</v>
      </c>
      <c r="I5" s="48">
        <v>2.4400000000000002E-2</v>
      </c>
      <c r="K5" s="53" t="s">
        <v>3</v>
      </c>
      <c r="L5" s="53" t="s">
        <v>4</v>
      </c>
      <c r="M5" s="53" t="s">
        <v>5</v>
      </c>
    </row>
    <row r="6" spans="2:13" x14ac:dyDescent="0.25">
      <c r="B6" s="50"/>
      <c r="C6" s="47"/>
      <c r="D6" s="48">
        <v>-20</v>
      </c>
      <c r="E6" s="48">
        <v>0</v>
      </c>
      <c r="K6" s="54">
        <f>-2 * D6</f>
        <v>40</v>
      </c>
      <c r="L6" s="54">
        <f>-2 *E6</f>
        <v>0</v>
      </c>
      <c r="M6" s="55">
        <f>-I5 * I5 + D6 * D6 + E6 * E6</f>
        <v>399.99940464000002</v>
      </c>
    </row>
    <row r="8" spans="2:13" x14ac:dyDescent="0.25">
      <c r="K8" s="56" t="s">
        <v>60</v>
      </c>
      <c r="L8" s="56"/>
      <c r="M8" s="56"/>
    </row>
    <row r="9" spans="2:13" ht="16.5" customHeight="1" x14ac:dyDescent="0.25">
      <c r="K9" s="56"/>
      <c r="L9" s="56"/>
      <c r="M9" s="56"/>
    </row>
    <row r="10" spans="2:13" x14ac:dyDescent="0.25">
      <c r="K10" s="53" t="s">
        <v>61</v>
      </c>
      <c r="L10" s="53" t="s">
        <v>62</v>
      </c>
      <c r="M10" s="53" t="s">
        <v>63</v>
      </c>
    </row>
    <row r="11" spans="2:13" x14ac:dyDescent="0.25">
      <c r="K11" s="54">
        <f>K3-K6</f>
        <v>4.8799999999999955E-2</v>
      </c>
      <c r="L11" s="54">
        <f t="shared" ref="L11:M11" si="0">L3-L6</f>
        <v>-1.8E-3</v>
      </c>
      <c r="M11" s="55">
        <f t="shared" si="0"/>
        <v>0.97659616999999344</v>
      </c>
    </row>
  </sheetData>
  <mergeCells count="3">
    <mergeCell ref="B2:B3"/>
    <mergeCell ref="B5:B6"/>
    <mergeCell ref="K8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1"/>
  <sheetViews>
    <sheetView topLeftCell="I6" zoomScale="145" zoomScaleNormal="145" workbookViewId="0">
      <selection activeCell="P19" sqref="P19"/>
    </sheetView>
  </sheetViews>
  <sheetFormatPr baseColWidth="10" defaultRowHeight="15.75" x14ac:dyDescent="0.25"/>
  <cols>
    <col min="2" max="2" width="5.28515625" customWidth="1"/>
    <col min="3" max="3" width="18.5703125" customWidth="1"/>
    <col min="5" max="5" width="45.42578125" customWidth="1"/>
    <col min="10" max="10" width="25" customWidth="1"/>
    <col min="11" max="11" width="4.42578125" style="14" customWidth="1"/>
    <col min="12" max="12" width="3.140625" style="13" customWidth="1"/>
    <col min="14" max="14" width="4.140625" style="14" customWidth="1"/>
    <col min="15" max="15" width="35.5703125" bestFit="1" customWidth="1"/>
    <col min="16" max="16" width="22" customWidth="1"/>
  </cols>
  <sheetData>
    <row r="1" spans="2:16" x14ac:dyDescent="0.25">
      <c r="J1">
        <v>40.0488</v>
      </c>
      <c r="K1" s="14" t="s">
        <v>3</v>
      </c>
    </row>
    <row r="2" spans="2:16" x14ac:dyDescent="0.25">
      <c r="J2">
        <v>-1.8E-3</v>
      </c>
      <c r="K2" s="14" t="s">
        <v>4</v>
      </c>
    </row>
    <row r="3" spans="2:16" x14ac:dyDescent="0.25">
      <c r="B3" s="3" t="s">
        <v>0</v>
      </c>
      <c r="C3" s="2">
        <v>4.8799999999999899E-2</v>
      </c>
    </row>
    <row r="4" spans="2:16" x14ac:dyDescent="0.25">
      <c r="B4" s="3" t="s">
        <v>2</v>
      </c>
      <c r="C4" s="2">
        <v>-1.8E-3</v>
      </c>
      <c r="J4" s="8">
        <v>400.97659535999998</v>
      </c>
    </row>
    <row r="5" spans="2:16" x14ac:dyDescent="0.25">
      <c r="B5" s="3" t="s">
        <v>1</v>
      </c>
      <c r="C5" s="2">
        <v>0.97659616999999299</v>
      </c>
      <c r="J5">
        <v>8.0999999999999997E-7</v>
      </c>
    </row>
    <row r="6" spans="2:16" x14ac:dyDescent="0.25">
      <c r="B6" s="3"/>
      <c r="J6" s="9">
        <v>5.9535999999999996E-4</v>
      </c>
    </row>
    <row r="7" spans="2:16" x14ac:dyDescent="0.25">
      <c r="B7" s="3" t="s">
        <v>3</v>
      </c>
      <c r="C7" s="2">
        <v>40.0488</v>
      </c>
      <c r="J7" s="8">
        <f>J4+J5-J6</f>
        <v>400.97600081000002</v>
      </c>
      <c r="K7" s="14" t="s">
        <v>5</v>
      </c>
    </row>
    <row r="8" spans="2:16" x14ac:dyDescent="0.25">
      <c r="B8" s="3" t="s">
        <v>4</v>
      </c>
      <c r="C8" s="4">
        <v>-1.8E-3</v>
      </c>
    </row>
    <row r="9" spans="2:16" x14ac:dyDescent="0.25">
      <c r="B9" s="3" t="s">
        <v>5</v>
      </c>
      <c r="C9" s="1">
        <v>400.97600081000002</v>
      </c>
    </row>
    <row r="10" spans="2:16" x14ac:dyDescent="0.25">
      <c r="J10" s="1">
        <v>400</v>
      </c>
    </row>
    <row r="11" spans="2:16" x14ac:dyDescent="0.25">
      <c r="C11" s="3" t="s">
        <v>6</v>
      </c>
      <c r="E11" t="s">
        <v>7</v>
      </c>
      <c r="J11" s="9">
        <v>5.9535999999999996E-4</v>
      </c>
    </row>
    <row r="12" spans="2:16" x14ac:dyDescent="0.25">
      <c r="C12" s="2">
        <f>(2 * C3 * C5 - C3 * C4 * C8 + C4 * C4 * C7) / (C3 * C3 + C4 * C4)</f>
        <v>40.024399999999794</v>
      </c>
      <c r="E12" s="5" t="s">
        <v>9</v>
      </c>
      <c r="F12">
        <f>F13*2*-1</f>
        <v>40.022799999999997</v>
      </c>
      <c r="J12" s="1">
        <f>J10-J11</f>
        <v>399.99940464000002</v>
      </c>
    </row>
    <row r="13" spans="2:16" x14ac:dyDescent="0.25">
      <c r="C13" s="2">
        <f>C12/2</f>
        <v>20.012199999999897</v>
      </c>
      <c r="E13" s="7" t="s">
        <v>8</v>
      </c>
      <c r="F13" s="6">
        <v>-20.011399999999998</v>
      </c>
    </row>
    <row r="15" spans="2:16" x14ac:dyDescent="0.25">
      <c r="C15" s="2">
        <v>40.024399999999702</v>
      </c>
      <c r="J15" s="11">
        <f>J7-J12</f>
        <v>0.97659616999999344</v>
      </c>
      <c r="K15" s="14" t="s">
        <v>1</v>
      </c>
      <c r="N15" s="14" t="s">
        <v>10</v>
      </c>
      <c r="O15" t="s">
        <v>29</v>
      </c>
      <c r="P15" s="25">
        <f>POWER(J17,2)/POWER(J18,2)+1</f>
        <v>1.0013605213652244</v>
      </c>
    </row>
    <row r="17" spans="10:16" x14ac:dyDescent="0.25">
      <c r="J17">
        <v>1.8E-3</v>
      </c>
      <c r="K17" s="14" t="s">
        <v>2</v>
      </c>
      <c r="N17" s="14" t="s">
        <v>11</v>
      </c>
      <c r="O17" t="s">
        <v>30</v>
      </c>
      <c r="P17" s="25">
        <f>(2 * J17 * J15 / J18) - J1 * J17 / J18 + J2</f>
        <v>-1.4069658563114757</v>
      </c>
    </row>
    <row r="18" spans="10:16" x14ac:dyDescent="0.25">
      <c r="J18" s="9">
        <v>4.8800000000000003E-2</v>
      </c>
      <c r="K18" s="14" t="s">
        <v>0</v>
      </c>
    </row>
    <row r="19" spans="10:16" x14ac:dyDescent="0.25">
      <c r="J19" s="12">
        <f>J17/J18</f>
        <v>3.6885245901639344E-2</v>
      </c>
      <c r="N19" s="14" t="s">
        <v>12</v>
      </c>
      <c r="O19" t="s">
        <v>31</v>
      </c>
      <c r="P19" s="24">
        <f>J15 * J15 - J1 * J15 + J7</f>
        <v>362.81823619616296</v>
      </c>
    </row>
    <row r="21" spans="10:16" ht="15.75" customHeight="1" x14ac:dyDescent="0.25">
      <c r="J21" s="21">
        <v>3.6885245900000002E-2</v>
      </c>
      <c r="K21" s="20"/>
    </row>
    <row r="22" spans="10:16" ht="15.75" customHeight="1" x14ac:dyDescent="0.25">
      <c r="J22" s="15">
        <f>J21*J21</f>
        <v>1.3605213651034669E-3</v>
      </c>
      <c r="K22" s="20"/>
      <c r="N22" s="14" t="s">
        <v>25</v>
      </c>
      <c r="O22" s="23">
        <f xml:space="preserve"> (2 * J17 * J15 - J18 * J1 * J17 + J18 * J18 * J2) / (J18 * J18 + J17 * J17)</f>
        <v>-2.6951087777076742E-3</v>
      </c>
    </row>
    <row r="24" spans="10:16" x14ac:dyDescent="0.25">
      <c r="J24" s="19">
        <v>20.012216598359998</v>
      </c>
      <c r="N24" s="14" t="s">
        <v>26</v>
      </c>
      <c r="O24" s="23">
        <f xml:space="preserve"> (J15 * J15 + J18 * J18 * J7 - J18 * J1 * J15) / (J18 * J18 + J17 * J17)</f>
        <v>-4.4550860057266289E-4</v>
      </c>
    </row>
    <row r="25" spans="10:16" x14ac:dyDescent="0.25">
      <c r="J25" s="15">
        <f>2*J21*J24</f>
        <v>1.4763110604691403</v>
      </c>
    </row>
    <row r="26" spans="10:16" x14ac:dyDescent="0.25">
      <c r="N26" s="14" t="s">
        <v>27</v>
      </c>
      <c r="O26" s="4">
        <f xml:space="preserve"> (2 * J18 * J15 - J18 * J17 * J2 + J17 * J17 * J1) / (J18 * J18 + J17 * J17)</f>
        <v>40.024532606471041</v>
      </c>
    </row>
    <row r="27" spans="10:16" x14ac:dyDescent="0.25">
      <c r="J27" s="18">
        <f>J24*J24</f>
        <v>400.48881317967545</v>
      </c>
    </row>
    <row r="28" spans="10:16" x14ac:dyDescent="0.25">
      <c r="N28" s="14" t="s">
        <v>28</v>
      </c>
      <c r="O28" s="4">
        <f xml:space="preserve"> (J15 * J15 + J17 * J17 * J7 - J17 * J2 * J15) / (J18 * J18 + J17 * J17)</f>
        <v>400.4908019830213</v>
      </c>
    </row>
    <row r="29" spans="10:16" x14ac:dyDescent="0.25">
      <c r="J29" s="16">
        <f>40*J21</f>
        <v>1.4754098360000001</v>
      </c>
    </row>
    <row r="31" spans="10:16" x14ac:dyDescent="0.25">
      <c r="J31" s="17">
        <f>40*J24</f>
        <v>800.48866393439994</v>
      </c>
    </row>
    <row r="33" spans="10:13" x14ac:dyDescent="0.25">
      <c r="J33" s="15">
        <f>1+J22</f>
        <v>1.0013605213651036</v>
      </c>
      <c r="K33" s="14" t="s">
        <v>10</v>
      </c>
      <c r="L33" s="13" t="s">
        <v>13</v>
      </c>
    </row>
    <row r="35" spans="10:13" x14ac:dyDescent="0.25">
      <c r="J35" s="15">
        <f>-J25+J29</f>
        <v>-9.0122446914020493E-4</v>
      </c>
      <c r="K35" s="14" t="s">
        <v>11</v>
      </c>
      <c r="L35" s="13" t="s">
        <v>14</v>
      </c>
    </row>
    <row r="37" spans="10:13" x14ac:dyDescent="0.25">
      <c r="J37" s="18">
        <f>J27-J31+J12</f>
        <v>-4.4611472446831613E-4</v>
      </c>
      <c r="K37" s="14" t="s">
        <v>12</v>
      </c>
      <c r="L37" s="13" t="s">
        <v>15</v>
      </c>
    </row>
    <row r="39" spans="10:13" x14ac:dyDescent="0.25">
      <c r="J39" s="3" t="s">
        <v>16</v>
      </c>
      <c r="K39" s="30" t="s">
        <v>17</v>
      </c>
      <c r="L39" s="30"/>
      <c r="M39" s="30"/>
    </row>
    <row r="40" spans="10:13" x14ac:dyDescent="0.25">
      <c r="J40" s="12">
        <f>J35*J35</f>
        <v>8.1220554377704423E-7</v>
      </c>
    </row>
    <row r="41" spans="10:13" x14ac:dyDescent="0.25">
      <c r="J41" s="22">
        <f>4*J33*J37</f>
        <v>-1.7868866923289703E-3</v>
      </c>
    </row>
    <row r="42" spans="10:13" x14ac:dyDescent="0.25">
      <c r="J42" s="12">
        <f>J40-J41</f>
        <v>1.7876988978727474E-3</v>
      </c>
    </row>
    <row r="43" spans="10:13" x14ac:dyDescent="0.25">
      <c r="J43" s="10"/>
    </row>
    <row r="44" spans="10:13" x14ac:dyDescent="0.25">
      <c r="J44" s="12">
        <f>SQRT(J42)</f>
        <v>4.2281188463343215E-2</v>
      </c>
      <c r="K44" s="14" t="s">
        <v>18</v>
      </c>
    </row>
    <row r="46" spans="10:13" x14ac:dyDescent="0.25">
      <c r="J46" s="10">
        <f>2*J33</f>
        <v>2.0027210427302071</v>
      </c>
    </row>
    <row r="47" spans="10:13" x14ac:dyDescent="0.25">
      <c r="J47" s="10">
        <f>-1*J35+J44</f>
        <v>4.318241293248342E-2</v>
      </c>
      <c r="K47" s="14" t="s">
        <v>21</v>
      </c>
    </row>
    <row r="48" spans="10:13" x14ac:dyDescent="0.25">
      <c r="J48" s="10">
        <f>-1*J35-J44</f>
        <v>-4.137996399420301E-2</v>
      </c>
      <c r="K48" s="14" t="s">
        <v>22</v>
      </c>
    </row>
    <row r="50" spans="6:11" x14ac:dyDescent="0.25">
      <c r="J50" s="10">
        <f>J47/J46</f>
        <v>2.1561871079965808E-2</v>
      </c>
      <c r="K50" s="14" t="s">
        <v>19</v>
      </c>
    </row>
    <row r="51" spans="6:11" x14ac:dyDescent="0.25">
      <c r="J51" s="10">
        <f>J48/J46</f>
        <v>-2.0661871080054076E-2</v>
      </c>
      <c r="K51" s="14" t="s">
        <v>20</v>
      </c>
    </row>
    <row r="53" spans="6:11" x14ac:dyDescent="0.25">
      <c r="J53" s="26">
        <f>J19*J50-J24</f>
        <v>-20.011421283443113</v>
      </c>
      <c r="K53" s="14" t="s">
        <v>23</v>
      </c>
    </row>
    <row r="54" spans="6:11" x14ac:dyDescent="0.25">
      <c r="J54" s="25">
        <f>J19*J51-J24</f>
        <v>-20.012978716555573</v>
      </c>
      <c r="K54" s="14" t="s">
        <v>24</v>
      </c>
    </row>
    <row r="55" spans="6:11" x14ac:dyDescent="0.25">
      <c r="G55">
        <v>1200</v>
      </c>
      <c r="H55">
        <f>G55/360</f>
        <v>3.3333333333333335</v>
      </c>
    </row>
    <row r="56" spans="6:11" x14ac:dyDescent="0.25">
      <c r="F56">
        <v>1123</v>
      </c>
      <c r="G56">
        <f>360*H55</f>
        <v>1200</v>
      </c>
    </row>
    <row r="57" spans="6:11" x14ac:dyDescent="0.25">
      <c r="J57" s="10">
        <f>J21 * J50</f>
        <v>7.9531491684863747E-4</v>
      </c>
    </row>
    <row r="58" spans="6:11" x14ac:dyDescent="0.25">
      <c r="F58">
        <f>F56-360</f>
        <v>763</v>
      </c>
      <c r="H58">
        <f>MOD(F56,360)</f>
        <v>43</v>
      </c>
      <c r="J58" s="25">
        <f>J57 - J24</f>
        <v>-20.011421283443148</v>
      </c>
    </row>
    <row r="59" spans="6:11" x14ac:dyDescent="0.25">
      <c r="F59">
        <f>F58-360</f>
        <v>403</v>
      </c>
    </row>
    <row r="60" spans="6:11" x14ac:dyDescent="0.25">
      <c r="F60">
        <f>F59-360</f>
        <v>43</v>
      </c>
      <c r="J60" s="10">
        <f>J21 * J51</f>
        <v>-7.6211819554189322E-4</v>
      </c>
    </row>
    <row r="61" spans="6:11" x14ac:dyDescent="0.25">
      <c r="J61" s="25">
        <f>J60 - J24</f>
        <v>-20.012978716555541</v>
      </c>
    </row>
  </sheetData>
  <mergeCells count="1">
    <mergeCell ref="K39:M39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V65"/>
  <sheetViews>
    <sheetView tabSelected="1" topLeftCell="G7" zoomScale="115" zoomScaleNormal="115" workbookViewId="0">
      <selection activeCell="O24" sqref="O24"/>
    </sheetView>
  </sheetViews>
  <sheetFormatPr baseColWidth="10" defaultRowHeight="15.75" x14ac:dyDescent="0.25"/>
  <cols>
    <col min="2" max="2" width="5.28515625" customWidth="1"/>
    <col min="3" max="3" width="18.5703125" customWidth="1"/>
    <col min="5" max="5" width="45.42578125" customWidth="1"/>
    <col min="10" max="10" width="25" customWidth="1"/>
    <col min="11" max="11" width="5.5703125" style="14" customWidth="1"/>
    <col min="12" max="12" width="4.140625" style="13" customWidth="1"/>
    <col min="13" max="13" width="5.140625" style="13" customWidth="1"/>
    <col min="14" max="14" width="37.140625" style="13" customWidth="1"/>
    <col min="15" max="15" width="21.28515625" style="13" customWidth="1"/>
    <col min="16" max="16" width="4.140625" style="78" customWidth="1"/>
    <col min="17" max="17" width="4.140625" style="13" customWidth="1"/>
    <col min="19" max="19" width="4.140625" style="14" customWidth="1"/>
    <col min="20" max="20" width="35.5703125" bestFit="1" customWidth="1"/>
    <col min="21" max="21" width="22" customWidth="1"/>
    <col min="22" max="22" width="21.140625" customWidth="1"/>
  </cols>
  <sheetData>
    <row r="1" spans="2:22" x14ac:dyDescent="0.25">
      <c r="J1" s="57">
        <v>40.0488</v>
      </c>
      <c r="K1" s="58" t="s">
        <v>3</v>
      </c>
      <c r="N1" s="34" t="s">
        <v>64</v>
      </c>
      <c r="O1" s="38">
        <f>-J17/J18</f>
        <v>3.6885245901639344E-2</v>
      </c>
      <c r="T1" t="s">
        <v>44</v>
      </c>
    </row>
    <row r="2" spans="2:22" x14ac:dyDescent="0.25">
      <c r="J2" s="57">
        <v>-1.8E-3</v>
      </c>
      <c r="K2" s="58" t="s">
        <v>4</v>
      </c>
      <c r="N2" s="34" t="s">
        <v>21</v>
      </c>
      <c r="O2" s="38">
        <f>-J15/J18</f>
        <v>-20.012216598360521</v>
      </c>
      <c r="T2" t="s">
        <v>43</v>
      </c>
      <c r="U2" s="4">
        <f>J1*-J17/J18</f>
        <v>1.4772098360655737</v>
      </c>
    </row>
    <row r="3" spans="2:22" x14ac:dyDescent="0.25">
      <c r="B3" s="3" t="s">
        <v>0</v>
      </c>
      <c r="C3" s="2">
        <v>4.8799999999999899E-2</v>
      </c>
      <c r="T3" t="s">
        <v>41</v>
      </c>
      <c r="U3" s="4">
        <f>2 * ((-J17 * -J15) / (J18 * J18) - (J1 * -J17 / J18) - J2)</f>
        <v>-4.4271307326659404</v>
      </c>
    </row>
    <row r="4" spans="2:22" x14ac:dyDescent="0.25">
      <c r="B4" s="3" t="s">
        <v>2</v>
      </c>
      <c r="C4" s="2">
        <v>-1.8E-3</v>
      </c>
      <c r="J4" s="8">
        <v>400.97659535999998</v>
      </c>
      <c r="N4" s="34" t="s">
        <v>65</v>
      </c>
      <c r="O4" s="38">
        <f>-J18/J17</f>
        <v>27.111111111111114</v>
      </c>
    </row>
    <row r="5" spans="2:22" x14ac:dyDescent="0.25">
      <c r="B5" s="3" t="s">
        <v>1</v>
      </c>
      <c r="C5" s="2">
        <v>0.97659616999999299</v>
      </c>
      <c r="J5">
        <v>8.0999999999999997E-7</v>
      </c>
      <c r="N5" s="34" t="s">
        <v>22</v>
      </c>
      <c r="O5" s="37">
        <f>-J15/J17</f>
        <v>542.55342777777412</v>
      </c>
    </row>
    <row r="6" spans="2:22" x14ac:dyDescent="0.25">
      <c r="B6" s="3"/>
      <c r="J6" s="9">
        <v>5.9535999999999996E-4</v>
      </c>
    </row>
    <row r="7" spans="2:22" x14ac:dyDescent="0.25">
      <c r="B7" s="3" t="s">
        <v>3</v>
      </c>
      <c r="C7" s="2">
        <v>40.0488</v>
      </c>
      <c r="J7" s="59">
        <f>J4+J5-J6</f>
        <v>400.97600081000002</v>
      </c>
      <c r="K7" s="58" t="s">
        <v>5</v>
      </c>
      <c r="T7" s="5" t="s">
        <v>40</v>
      </c>
      <c r="U7" s="4">
        <f>J17/J18*-1</f>
        <v>3.6885245901639344E-2</v>
      </c>
    </row>
    <row r="8" spans="2:22" x14ac:dyDescent="0.25">
      <c r="B8" s="3" t="s">
        <v>4</v>
      </c>
      <c r="C8" s="4">
        <v>-1.8E-3</v>
      </c>
      <c r="N8" s="33" t="s">
        <v>45</v>
      </c>
      <c r="O8" s="36">
        <f>(2 * -J17 * -J15) / (J18 * J18)</f>
        <v>-1.4763110605347924</v>
      </c>
      <c r="T8" t="s">
        <v>36</v>
      </c>
      <c r="U8" s="4">
        <f>J15/J18*-1</f>
        <v>-20.012216598360521</v>
      </c>
      <c r="V8" s="23">
        <f>U8*U8</f>
        <v>400.48881317969631</v>
      </c>
    </row>
    <row r="9" spans="2:22" x14ac:dyDescent="0.25">
      <c r="B9" s="3" t="s">
        <v>5</v>
      </c>
      <c r="C9" s="1">
        <v>400.97600081000002</v>
      </c>
      <c r="N9" s="33" t="s">
        <v>46</v>
      </c>
      <c r="O9" s="36">
        <f>J1 * -J17 / J18</f>
        <v>1.4772098360655737</v>
      </c>
      <c r="T9" s="31" t="s">
        <v>39</v>
      </c>
      <c r="U9" s="32">
        <f>2*(J17*J15)/(J18*J18)</f>
        <v>-1.4763110605347924</v>
      </c>
    </row>
    <row r="10" spans="2:22" x14ac:dyDescent="0.25">
      <c r="J10" s="1">
        <v>400</v>
      </c>
      <c r="T10" s="31" t="s">
        <v>37</v>
      </c>
      <c r="U10" s="32">
        <f>(J15*J15)/(J18*J18)</f>
        <v>400.48881317969631</v>
      </c>
    </row>
    <row r="11" spans="2:22" x14ac:dyDescent="0.25">
      <c r="C11" s="3" t="s">
        <v>6</v>
      </c>
      <c r="E11" t="s">
        <v>7</v>
      </c>
      <c r="J11" s="9">
        <v>5.9535999999999996E-4</v>
      </c>
      <c r="N11" s="33" t="s">
        <v>82</v>
      </c>
      <c r="O11" s="35">
        <f>(2 * (-J18) * (-J15)) / (J17*J17)</f>
        <v>29418.452528394864</v>
      </c>
      <c r="T11" s="31" t="s">
        <v>38</v>
      </c>
      <c r="U11" s="32">
        <f>J1*J17/J18*-1</f>
        <v>1.4772098360655737</v>
      </c>
    </row>
    <row r="12" spans="2:22" x14ac:dyDescent="0.25">
      <c r="C12" s="2">
        <f>(2 * C3 * C5 - C3 * C4 * C8 + C4 * C4 * C7) / (C3 * C3 + C4 * C4)</f>
        <v>40.024399999999794</v>
      </c>
      <c r="E12" s="5" t="s">
        <v>9</v>
      </c>
      <c r="F12">
        <f>F13*2*-1</f>
        <v>40.022799999999997</v>
      </c>
      <c r="J12" s="1">
        <f>J10-J11</f>
        <v>399.99940464000002</v>
      </c>
      <c r="N12" s="33" t="s">
        <v>83</v>
      </c>
      <c r="O12" s="83">
        <f>J2*(-J18) / J17</f>
        <v>-4.8800000000000003E-2</v>
      </c>
      <c r="T12" t="s">
        <v>42</v>
      </c>
      <c r="U12" s="23">
        <f>U9+U11-J2</f>
        <v>2.698775530781215E-3</v>
      </c>
    </row>
    <row r="13" spans="2:22" x14ac:dyDescent="0.25">
      <c r="C13" s="2">
        <f>C12/2</f>
        <v>20.012199999999897</v>
      </c>
      <c r="E13" s="7" t="s">
        <v>8</v>
      </c>
      <c r="F13" s="6">
        <v>-20.011399999999998</v>
      </c>
    </row>
    <row r="14" spans="2:22" x14ac:dyDescent="0.25">
      <c r="M14" s="39" t="s">
        <v>50</v>
      </c>
      <c r="N14" s="40" t="s">
        <v>47</v>
      </c>
      <c r="O14" s="41">
        <f>(J17 * J17) / (J18 * J18) + 1</f>
        <v>1.0013605213652244</v>
      </c>
    </row>
    <row r="15" spans="2:22" x14ac:dyDescent="0.25">
      <c r="C15" s="2">
        <v>40.024399999999702</v>
      </c>
      <c r="J15" s="60">
        <f>J7-J12</f>
        <v>0.97659616999999344</v>
      </c>
      <c r="K15" s="58" t="s">
        <v>1</v>
      </c>
      <c r="M15" s="14"/>
      <c r="N15" s="33"/>
      <c r="O15" s="33"/>
      <c r="S15" s="14" t="s">
        <v>10</v>
      </c>
      <c r="T15" t="s">
        <v>29</v>
      </c>
      <c r="U15" s="25">
        <f>POWER(J17,2)/POWER(J18,2)+1</f>
        <v>1.0013605213652244</v>
      </c>
    </row>
    <row r="16" spans="2:22" x14ac:dyDescent="0.25">
      <c r="M16" s="39" t="s">
        <v>51</v>
      </c>
      <c r="N16" s="40" t="s">
        <v>48</v>
      </c>
      <c r="O16" s="41">
        <f>(2 * -J17 * -J15) / (J18 * J18) + (J1 * -J17 / J18) + J17</f>
        <v>-9.0122446921878487E-4</v>
      </c>
    </row>
    <row r="17" spans="10:21" x14ac:dyDescent="0.25">
      <c r="J17" s="57">
        <v>-1.8E-3</v>
      </c>
      <c r="K17" s="58" t="s">
        <v>2</v>
      </c>
      <c r="M17" s="14"/>
      <c r="N17" s="33"/>
      <c r="O17" s="33"/>
      <c r="S17" s="14" t="s">
        <v>11</v>
      </c>
      <c r="T17" t="s">
        <v>34</v>
      </c>
      <c r="U17" s="25">
        <f xml:space="preserve"> (2 * (J17 * J15) / J18 * J18) - (J1 * J17 / J18) + J2</f>
        <v>1.4718940898535737</v>
      </c>
    </row>
    <row r="18" spans="10:21" x14ac:dyDescent="0.25">
      <c r="J18" s="61">
        <v>4.8800000000000003E-2</v>
      </c>
      <c r="K18" s="58" t="s">
        <v>0</v>
      </c>
      <c r="M18" s="39" t="s">
        <v>52</v>
      </c>
      <c r="N18" s="40" t="s">
        <v>49</v>
      </c>
      <c r="O18" s="41">
        <f>(J15 * J15) / (J18 * J18) + J1 * (-J15) / J18 + J7</f>
        <v>-4.4611472452515955E-4</v>
      </c>
    </row>
    <row r="19" spans="10:21" x14ac:dyDescent="0.25">
      <c r="J19" s="12">
        <f>J17/J18*-1</f>
        <v>3.6885245901639344E-2</v>
      </c>
      <c r="S19" s="14" t="s">
        <v>12</v>
      </c>
      <c r="T19" t="s">
        <v>35</v>
      </c>
      <c r="U19" s="24">
        <f>(J15*J15 / J18*J18) - (J1*J15/J18) + J7</f>
        <v>-399.5355192151622</v>
      </c>
    </row>
    <row r="20" spans="10:21" x14ac:dyDescent="0.25">
      <c r="M20" s="45" t="s">
        <v>66</v>
      </c>
      <c r="N20" s="66" t="s">
        <v>79</v>
      </c>
      <c r="O20" s="68">
        <f>(J18*J18) / (J17*J17) + 1</f>
        <v>736.01234567901247</v>
      </c>
    </row>
    <row r="21" spans="10:21" ht="15.75" customHeight="1" x14ac:dyDescent="0.25">
      <c r="J21" s="21">
        <v>3.6885245900000002E-2</v>
      </c>
      <c r="K21" s="20"/>
      <c r="M21" s="14"/>
    </row>
    <row r="22" spans="10:21" ht="15.75" customHeight="1" x14ac:dyDescent="0.25">
      <c r="J22" s="15">
        <f>J21*J21</f>
        <v>1.3605213651034669E-3</v>
      </c>
      <c r="K22" s="20"/>
      <c r="M22" s="45" t="s">
        <v>67</v>
      </c>
      <c r="N22" s="66" t="s">
        <v>81</v>
      </c>
      <c r="O22" s="67">
        <f>(2 * (-J18) * (-J15)) / (J17*J17) + J2 * (-J18 / J17) + J1</f>
        <v>29458.452528394864</v>
      </c>
      <c r="S22" s="14" t="s">
        <v>25</v>
      </c>
      <c r="T22" s="23">
        <f xml:space="preserve"> (2 * J17 * J15 - J18 * J1 * J17 + J18 * J18 * J2) / (J18 * J18 + J17 * J17)</f>
        <v>-8.9999999998996254E-4</v>
      </c>
    </row>
    <row r="23" spans="10:21" x14ac:dyDescent="0.25">
      <c r="M23" s="14"/>
    </row>
    <row r="24" spans="10:21" x14ac:dyDescent="0.25">
      <c r="J24" s="19">
        <v>-20.012216598359998</v>
      </c>
      <c r="M24" s="45" t="s">
        <v>68</v>
      </c>
      <c r="N24" s="66" t="s">
        <v>84</v>
      </c>
      <c r="O24" s="67">
        <f>(J15*J15) / (J17*J17) + J2 * (-J15) / J17 + J7</f>
        <v>294764.22139805241</v>
      </c>
      <c r="S24" s="14" t="s">
        <v>26</v>
      </c>
      <c r="T24" s="23">
        <f xml:space="preserve"> (J15 * J15 + J18 * J18 * J7 - J18 * J1 * J15) / (J18 * J18 + J17 * J17)</f>
        <v>-4.4550860057266289E-4</v>
      </c>
    </row>
    <row r="25" spans="10:21" x14ac:dyDescent="0.25">
      <c r="J25" s="15">
        <f>2*J21*J24</f>
        <v>-1.4763110604691403</v>
      </c>
    </row>
    <row r="26" spans="10:21" x14ac:dyDescent="0.25">
      <c r="N26" s="13" t="s">
        <v>73</v>
      </c>
      <c r="S26" s="14" t="s">
        <v>27</v>
      </c>
      <c r="T26" s="4">
        <f xml:space="preserve"> (2 * J18 * J15 - J18 * J17 * J2 + J17 * J17 * J1) / (J18 * J18 + J17 * J17)</f>
        <v>40.02439999999973</v>
      </c>
    </row>
    <row r="27" spans="10:21" x14ac:dyDescent="0.25">
      <c r="J27" s="18">
        <f>J24*J24</f>
        <v>400.48881317967545</v>
      </c>
      <c r="N27" s="13" t="s">
        <v>74</v>
      </c>
    </row>
    <row r="28" spans="10:21" x14ac:dyDescent="0.25">
      <c r="S28" s="14" t="s">
        <v>28</v>
      </c>
      <c r="T28" s="4">
        <f xml:space="preserve"> (J15 * J15 + J17 * J17 * J7 - J17 * J2 * J15) / (J18 * J18 + J17 * J17)</f>
        <v>400.4881482335951</v>
      </c>
    </row>
    <row r="29" spans="10:21" x14ac:dyDescent="0.25">
      <c r="J29" s="16">
        <f>J1*J21</f>
        <v>1.4772098359999202</v>
      </c>
      <c r="O29" s="74">
        <f>O4*O4+1</f>
        <v>736.01234567901247</v>
      </c>
      <c r="P29" s="79" t="s">
        <v>10</v>
      </c>
      <c r="Q29" s="43" t="s">
        <v>13</v>
      </c>
    </row>
    <row r="31" spans="10:21" x14ac:dyDescent="0.25">
      <c r="J31" s="17">
        <f>J1*J24</f>
        <v>-801.46526010439993</v>
      </c>
      <c r="O31" s="65">
        <f>2*O4*O5</f>
        <v>29418.452528394868</v>
      </c>
    </row>
    <row r="33" spans="2:21" s="14" customFormat="1" x14ac:dyDescent="0.25">
      <c r="B33"/>
      <c r="C33"/>
      <c r="D33"/>
      <c r="E33"/>
      <c r="F33"/>
      <c r="G33"/>
      <c r="H33"/>
      <c r="I33"/>
      <c r="J33" s="72">
        <f>1+J22</f>
        <v>1.0013605213651036</v>
      </c>
      <c r="K33" s="42" t="s">
        <v>10</v>
      </c>
      <c r="L33" s="43" t="s">
        <v>13</v>
      </c>
      <c r="M33" s="13"/>
      <c r="N33" s="13"/>
      <c r="O33" s="64">
        <f>O5*O5</f>
        <v>294364.22199341236</v>
      </c>
      <c r="P33" s="78"/>
      <c r="Q33" s="13"/>
      <c r="R33"/>
      <c r="T33"/>
      <c r="U33"/>
    </row>
    <row r="34" spans="2:21" s="14" customFormat="1" x14ac:dyDescent="0.25">
      <c r="B34"/>
      <c r="C34"/>
      <c r="D34"/>
      <c r="E34"/>
      <c r="F34"/>
      <c r="G34"/>
      <c r="H34"/>
      <c r="I34"/>
      <c r="J34" s="15"/>
      <c r="L34" s="13"/>
      <c r="M34" s="13"/>
      <c r="N34" s="13"/>
      <c r="O34" s="13"/>
      <c r="P34" s="78"/>
      <c r="Q34" s="13"/>
      <c r="R34"/>
      <c r="T34"/>
      <c r="U34"/>
    </row>
    <row r="35" spans="2:21" s="14" customFormat="1" x14ac:dyDescent="0.25">
      <c r="B35"/>
      <c r="C35"/>
      <c r="D35"/>
      <c r="E35"/>
      <c r="F35"/>
      <c r="G35"/>
      <c r="H35"/>
      <c r="I35"/>
      <c r="J35" s="73">
        <f>J25 + J29 - J2</f>
        <v>2.6987755307798828E-3</v>
      </c>
      <c r="K35" s="42" t="s">
        <v>11</v>
      </c>
      <c r="L35" s="43" t="s">
        <v>14</v>
      </c>
      <c r="M35" s="13"/>
      <c r="N35" s="13"/>
      <c r="O35" s="70">
        <f>J17*O4</f>
        <v>-4.8800000000000003E-2</v>
      </c>
      <c r="P35" s="78"/>
      <c r="Q35" s="13"/>
      <c r="R35"/>
      <c r="T35"/>
      <c r="U35"/>
    </row>
    <row r="36" spans="2:21" s="14" customFormat="1" x14ac:dyDescent="0.25">
      <c r="B36"/>
      <c r="C36"/>
      <c r="D36"/>
      <c r="E36"/>
      <c r="F36"/>
      <c r="G36"/>
      <c r="H36"/>
      <c r="I36"/>
      <c r="J36" s="27">
        <f>J35*J35</f>
        <v>7.2833893655362378E-6</v>
      </c>
      <c r="L36" s="13" t="s">
        <v>32</v>
      </c>
      <c r="M36" s="13"/>
      <c r="N36" s="13"/>
      <c r="O36" s="13"/>
      <c r="P36" s="78"/>
      <c r="Q36" s="13"/>
      <c r="R36"/>
      <c r="T36"/>
      <c r="U36"/>
    </row>
    <row r="37" spans="2:21" s="14" customFormat="1" x14ac:dyDescent="0.25">
      <c r="B37"/>
      <c r="C37"/>
      <c r="D37"/>
      <c r="E37"/>
      <c r="F37"/>
      <c r="G37"/>
      <c r="H37"/>
      <c r="I37"/>
      <c r="J37" s="15"/>
      <c r="L37" s="13"/>
      <c r="M37" s="13"/>
      <c r="N37" s="13"/>
      <c r="O37" s="64">
        <f>J17*O5</f>
        <v>-0.97659616999999344</v>
      </c>
      <c r="P37" s="78"/>
      <c r="Q37" s="13"/>
      <c r="R37"/>
      <c r="T37"/>
      <c r="U37"/>
    </row>
    <row r="38" spans="2:21" s="14" customFormat="1" x14ac:dyDescent="0.25">
      <c r="B38"/>
      <c r="C38"/>
      <c r="D38"/>
      <c r="E38"/>
      <c r="F38"/>
      <c r="G38"/>
      <c r="H38"/>
      <c r="I38"/>
      <c r="J38" s="72">
        <f>J27 + J31 + J7</f>
        <v>-4.4611472446831613E-4</v>
      </c>
      <c r="K38" s="42" t="s">
        <v>12</v>
      </c>
      <c r="L38" s="43" t="s">
        <v>15</v>
      </c>
      <c r="M38" s="13"/>
      <c r="N38" s="13"/>
      <c r="O38" s="13"/>
      <c r="P38" s="78"/>
      <c r="Q38" s="13"/>
      <c r="R38"/>
      <c r="T38"/>
      <c r="U38"/>
    </row>
    <row r="39" spans="2:21" s="14" customFormat="1" x14ac:dyDescent="0.25">
      <c r="B39"/>
      <c r="C39"/>
      <c r="D39"/>
      <c r="E39"/>
      <c r="F39"/>
      <c r="G39"/>
      <c r="H39"/>
      <c r="I39"/>
      <c r="J39" s="15"/>
      <c r="L39" s="13"/>
      <c r="M39" s="13"/>
      <c r="N39" s="13"/>
      <c r="O39" s="75">
        <f>O31+J1+O35</f>
        <v>29458.452528394868</v>
      </c>
      <c r="P39" s="79" t="s">
        <v>11</v>
      </c>
      <c r="Q39" s="43" t="s">
        <v>14</v>
      </c>
      <c r="R39"/>
      <c r="T39"/>
      <c r="U39"/>
    </row>
    <row r="40" spans="2:21" s="14" customFormat="1" x14ac:dyDescent="0.25">
      <c r="B40"/>
      <c r="C40"/>
      <c r="D40"/>
      <c r="E40"/>
      <c r="F40"/>
      <c r="G40"/>
      <c r="H40"/>
      <c r="I40"/>
      <c r="J40" s="28">
        <f>4 * J33 * J38</f>
        <v>-1.7868866923289703E-3</v>
      </c>
      <c r="L40" s="13"/>
      <c r="M40" s="13"/>
      <c r="N40" s="13"/>
      <c r="O40" s="13"/>
      <c r="P40" s="78"/>
      <c r="Q40" s="13"/>
      <c r="R40"/>
      <c r="T40"/>
      <c r="U40"/>
    </row>
    <row r="41" spans="2:21" s="14" customFormat="1" x14ac:dyDescent="0.25">
      <c r="B41"/>
      <c r="C41"/>
      <c r="D41"/>
      <c r="E41"/>
      <c r="F41"/>
      <c r="G41"/>
      <c r="H41"/>
      <c r="I41"/>
      <c r="J41" s="29">
        <f>J36-J40</f>
        <v>1.7941700816945065E-3</v>
      </c>
      <c r="K41" s="14" t="s">
        <v>33</v>
      </c>
      <c r="L41" s="13"/>
      <c r="M41" s="13"/>
      <c r="N41" s="13"/>
      <c r="O41" s="74">
        <f>O33+O37+J7</f>
        <v>294764.22139805235</v>
      </c>
      <c r="P41" s="79" t="s">
        <v>12</v>
      </c>
      <c r="Q41" s="43" t="s">
        <v>15</v>
      </c>
      <c r="R41"/>
      <c r="T41"/>
      <c r="U41"/>
    </row>
    <row r="43" spans="2:21" s="14" customFormat="1" x14ac:dyDescent="0.25">
      <c r="B43"/>
      <c r="C43"/>
      <c r="D43"/>
      <c r="E43"/>
      <c r="F43"/>
      <c r="G43"/>
      <c r="H43"/>
      <c r="I43"/>
      <c r="J43" s="3" t="s">
        <v>16</v>
      </c>
      <c r="K43" s="30" t="s">
        <v>17</v>
      </c>
      <c r="L43" s="30"/>
      <c r="M43" s="30"/>
      <c r="N43" s="20"/>
      <c r="O43" s="69">
        <f>O39*O39</f>
        <v>867800425.36769402</v>
      </c>
      <c r="P43" s="20"/>
      <c r="Q43" s="20"/>
      <c r="R43" s="20"/>
      <c r="T43"/>
      <c r="U43"/>
    </row>
    <row r="44" spans="2:21" s="14" customFormat="1" x14ac:dyDescent="0.25">
      <c r="B44"/>
      <c r="C44"/>
      <c r="D44"/>
      <c r="E44"/>
      <c r="F44"/>
      <c r="G44"/>
      <c r="H44"/>
      <c r="I44"/>
      <c r="J44" s="12">
        <f>J35*J35</f>
        <v>7.2833893655362378E-6</v>
      </c>
      <c r="L44" s="13"/>
      <c r="M44" s="13"/>
      <c r="N44" s="13"/>
      <c r="O44" s="13"/>
      <c r="P44" s="78"/>
      <c r="Q44" s="13"/>
      <c r="R44"/>
      <c r="T44"/>
      <c r="U44"/>
    </row>
    <row r="45" spans="2:21" s="14" customFormat="1" x14ac:dyDescent="0.25">
      <c r="B45"/>
      <c r="C45"/>
      <c r="D45"/>
      <c r="E45"/>
      <c r="F45"/>
      <c r="G45"/>
      <c r="H45"/>
      <c r="I45"/>
      <c r="J45" s="22">
        <f>4*J33*J38</f>
        <v>-1.7868866923289703E-3</v>
      </c>
      <c r="L45" s="13"/>
      <c r="M45" s="13"/>
      <c r="N45" s="13"/>
      <c r="O45" s="69">
        <f>4*O29*O41</f>
        <v>867800424.05371308</v>
      </c>
      <c r="P45" s="78"/>
      <c r="Q45" s="13"/>
      <c r="R45"/>
      <c r="T45"/>
      <c r="U45"/>
    </row>
    <row r="46" spans="2:21" s="14" customFormat="1" x14ac:dyDescent="0.25">
      <c r="B46"/>
      <c r="C46"/>
      <c r="D46"/>
      <c r="E46"/>
      <c r="F46"/>
      <c r="G46"/>
      <c r="H46"/>
      <c r="I46"/>
      <c r="J46" s="76">
        <f>J44-J45</f>
        <v>1.7941700816945065E-3</v>
      </c>
      <c r="K46" s="44" t="s">
        <v>33</v>
      </c>
      <c r="L46" s="13"/>
      <c r="M46" s="13"/>
      <c r="N46" s="13"/>
      <c r="O46" s="13"/>
      <c r="P46" s="78"/>
      <c r="Q46" s="13"/>
      <c r="R46"/>
      <c r="T46"/>
      <c r="U46"/>
    </row>
    <row r="47" spans="2:21" s="14" customFormat="1" x14ac:dyDescent="0.25">
      <c r="B47"/>
      <c r="C47"/>
      <c r="D47"/>
      <c r="E47"/>
      <c r="F47"/>
      <c r="G47"/>
      <c r="H47"/>
      <c r="I47"/>
      <c r="J47" s="10"/>
      <c r="L47" s="13"/>
      <c r="M47" s="13"/>
      <c r="N47" s="13"/>
      <c r="O47" s="77">
        <f>O43-O45</f>
        <v>1.3139809370040894</v>
      </c>
      <c r="P47" s="80" t="s">
        <v>33</v>
      </c>
      <c r="Q47" s="13"/>
      <c r="R47"/>
      <c r="T47"/>
      <c r="U47"/>
    </row>
    <row r="48" spans="2:21" s="14" customFormat="1" x14ac:dyDescent="0.25">
      <c r="B48"/>
      <c r="C48"/>
      <c r="D48"/>
      <c r="E48"/>
      <c r="F48"/>
      <c r="G48"/>
      <c r="H48"/>
      <c r="I48"/>
      <c r="J48" s="76">
        <f>SQRT(J46)</f>
        <v>4.2357644902597059E-2</v>
      </c>
      <c r="K48" s="44" t="s">
        <v>18</v>
      </c>
      <c r="L48" s="13"/>
      <c r="M48" s="13"/>
      <c r="N48" s="13"/>
      <c r="O48" s="13"/>
      <c r="P48" s="78"/>
      <c r="Q48" s="13"/>
      <c r="R48"/>
      <c r="T48"/>
      <c r="U48"/>
    </row>
    <row r="49" spans="2:21" x14ac:dyDescent="0.25">
      <c r="O49" s="77">
        <f>SQRT(O47)</f>
        <v>1.1462900754189969</v>
      </c>
      <c r="P49" s="80" t="s">
        <v>18</v>
      </c>
    </row>
    <row r="50" spans="2:21" s="14" customFormat="1" x14ac:dyDescent="0.25">
      <c r="B50"/>
      <c r="C50"/>
      <c r="D50"/>
      <c r="E50"/>
      <c r="F50"/>
      <c r="G50"/>
      <c r="H50"/>
      <c r="I50"/>
      <c r="J50" s="10">
        <f>2*J33</f>
        <v>2.0027210427302071</v>
      </c>
      <c r="L50" s="13"/>
      <c r="M50" s="13"/>
      <c r="N50" s="13"/>
      <c r="O50" s="13"/>
      <c r="P50" s="78"/>
      <c r="Q50" s="13"/>
      <c r="R50"/>
      <c r="T50"/>
      <c r="U50"/>
    </row>
    <row r="51" spans="2:21" s="14" customFormat="1" x14ac:dyDescent="0.25">
      <c r="B51"/>
      <c r="C51"/>
      <c r="D51"/>
      <c r="E51"/>
      <c r="F51"/>
      <c r="G51"/>
      <c r="H51"/>
      <c r="I51"/>
      <c r="J51" s="10">
        <f>-J35+J48</f>
        <v>3.9658869371817174E-2</v>
      </c>
      <c r="K51" s="14" t="s">
        <v>69</v>
      </c>
      <c r="L51" s="13"/>
      <c r="M51" s="14" t="s">
        <v>71</v>
      </c>
      <c r="N51" s="82">
        <f>-O39+O49</f>
        <v>-29457.306238319448</v>
      </c>
      <c r="O51" s="71">
        <f>2*O29</f>
        <v>1472.0246913580249</v>
      </c>
      <c r="P51" s="78" t="s">
        <v>80</v>
      </c>
      <c r="Q51" s="13"/>
      <c r="R51"/>
      <c r="T51"/>
      <c r="U51"/>
    </row>
    <row r="52" spans="2:21" s="14" customFormat="1" x14ac:dyDescent="0.25">
      <c r="B52"/>
      <c r="C52"/>
      <c r="D52"/>
      <c r="E52"/>
      <c r="F52"/>
      <c r="G52"/>
      <c r="H52"/>
      <c r="I52"/>
      <c r="J52" s="10">
        <f>-J35-J48</f>
        <v>-4.5056420433376945E-2</v>
      </c>
      <c r="K52" s="14" t="s">
        <v>70</v>
      </c>
      <c r="L52" s="13"/>
      <c r="M52" s="14" t="s">
        <v>72</v>
      </c>
      <c r="N52" s="13"/>
      <c r="O52" s="13"/>
      <c r="P52" s="78"/>
      <c r="Q52" s="13"/>
      <c r="R52"/>
      <c r="T52"/>
      <c r="U52"/>
    </row>
    <row r="54" spans="2:21" s="13" customFormat="1" x14ac:dyDescent="0.25">
      <c r="B54"/>
      <c r="C54"/>
      <c r="D54"/>
      <c r="E54"/>
      <c r="F54"/>
      <c r="G54"/>
      <c r="H54"/>
      <c r="I54"/>
      <c r="J54" s="10">
        <f>J51/J50</f>
        <v>1.9802492971139039E-2</v>
      </c>
      <c r="K54" s="14" t="s">
        <v>75</v>
      </c>
      <c r="M54" s="14" t="s">
        <v>77</v>
      </c>
      <c r="N54" s="81">
        <f>N51/O51</f>
        <v>-20.011421283391272</v>
      </c>
      <c r="P54" s="78"/>
      <c r="R54"/>
      <c r="S54" s="14"/>
      <c r="T54"/>
      <c r="U54"/>
    </row>
    <row r="55" spans="2:21" s="13" customFormat="1" x14ac:dyDescent="0.25">
      <c r="B55"/>
      <c r="C55"/>
      <c r="D55"/>
      <c r="E55"/>
      <c r="F55"/>
      <c r="G55"/>
      <c r="H55"/>
      <c r="I55"/>
      <c r="J55" s="10">
        <f>J52/J50</f>
        <v>-2.2497601748845578E-2</v>
      </c>
      <c r="K55" s="14" t="s">
        <v>76</v>
      </c>
      <c r="M55" s="14" t="s">
        <v>78</v>
      </c>
      <c r="P55" s="78"/>
      <c r="R55"/>
      <c r="S55" s="14"/>
      <c r="T55"/>
      <c r="U55"/>
    </row>
    <row r="57" spans="2:21" s="13" customFormat="1" x14ac:dyDescent="0.25">
      <c r="B57"/>
      <c r="C57"/>
      <c r="D57"/>
      <c r="E57"/>
      <c r="F57"/>
      <c r="G57"/>
      <c r="H57"/>
      <c r="I57"/>
      <c r="J57" s="26">
        <f>J19*J54+J24</f>
        <v>-20.011486178537293</v>
      </c>
      <c r="K57" s="62" t="s">
        <v>23</v>
      </c>
      <c r="L57" s="63"/>
      <c r="M57" s="62" t="s">
        <v>19</v>
      </c>
      <c r="P57" s="78"/>
      <c r="R57"/>
      <c r="S57" s="14"/>
      <c r="T57"/>
      <c r="U57"/>
    </row>
    <row r="58" spans="2:21" s="13" customFormat="1" x14ac:dyDescent="0.25">
      <c r="B58"/>
      <c r="C58"/>
      <c r="D58"/>
      <c r="E58"/>
      <c r="F58"/>
      <c r="G58"/>
      <c r="H58"/>
      <c r="I58"/>
      <c r="J58" s="25">
        <f>J19*J55+O2</f>
        <v>-20.013046427933222</v>
      </c>
      <c r="K58" s="62" t="s">
        <v>24</v>
      </c>
      <c r="L58" s="63"/>
      <c r="M58" s="62" t="s">
        <v>20</v>
      </c>
      <c r="P58" s="78"/>
      <c r="R58"/>
      <c r="S58" s="14"/>
      <c r="T58"/>
      <c r="U58"/>
    </row>
    <row r="59" spans="2:21" s="13" customFormat="1" x14ac:dyDescent="0.25">
      <c r="B59"/>
      <c r="C59"/>
      <c r="D59"/>
      <c r="E59"/>
      <c r="F59"/>
      <c r="G59">
        <v>1200</v>
      </c>
      <c r="H59">
        <f>G59/360</f>
        <v>3.3333333333333335</v>
      </c>
      <c r="I59"/>
      <c r="J59"/>
      <c r="K59" s="14"/>
      <c r="P59" s="78"/>
      <c r="R59"/>
      <c r="S59" s="14"/>
      <c r="T59"/>
      <c r="U59"/>
    </row>
    <row r="60" spans="2:21" s="13" customFormat="1" x14ac:dyDescent="0.25">
      <c r="B60"/>
      <c r="C60"/>
      <c r="D60"/>
      <c r="E60"/>
      <c r="F60">
        <v>1123</v>
      </c>
      <c r="G60">
        <f>360*H59</f>
        <v>1200</v>
      </c>
      <c r="H60"/>
      <c r="I60"/>
      <c r="J60"/>
      <c r="K60" s="14"/>
      <c r="P60" s="78"/>
      <c r="R60"/>
      <c r="S60" s="14"/>
      <c r="T60"/>
      <c r="U60"/>
    </row>
    <row r="61" spans="2:21" s="13" customFormat="1" x14ac:dyDescent="0.25">
      <c r="B61"/>
      <c r="C61"/>
      <c r="D61"/>
      <c r="E61"/>
      <c r="F61"/>
      <c r="G61"/>
      <c r="H61"/>
      <c r="I61"/>
      <c r="J61" s="10">
        <f>J21 * J54</f>
        <v>7.3041982267348505E-4</v>
      </c>
      <c r="K61" s="14"/>
      <c r="P61" s="78"/>
      <c r="R61"/>
      <c r="S61" s="14"/>
      <c r="T61"/>
      <c r="U61"/>
    </row>
    <row r="62" spans="2:21" s="13" customFormat="1" x14ac:dyDescent="0.25">
      <c r="B62"/>
      <c r="C62"/>
      <c r="D62"/>
      <c r="E62"/>
      <c r="F62">
        <f>F60-360</f>
        <v>763</v>
      </c>
      <c r="G62"/>
      <c r="H62">
        <f>MOD(F60,360)</f>
        <v>43</v>
      </c>
      <c r="I62"/>
      <c r="J62" s="25">
        <f>J61 +J24</f>
        <v>-20.011486178537325</v>
      </c>
      <c r="K62" s="14"/>
      <c r="P62" s="78"/>
      <c r="R62"/>
      <c r="S62" s="14"/>
      <c r="T62"/>
      <c r="U62"/>
    </row>
    <row r="63" spans="2:21" s="13" customFormat="1" x14ac:dyDescent="0.25">
      <c r="B63"/>
      <c r="C63"/>
      <c r="D63"/>
      <c r="E63"/>
      <c r="F63">
        <f>F62-360</f>
        <v>403</v>
      </c>
      <c r="G63"/>
      <c r="H63"/>
      <c r="I63"/>
      <c r="J63"/>
      <c r="K63" s="14"/>
      <c r="P63" s="78"/>
      <c r="R63"/>
      <c r="S63" s="14"/>
      <c r="T63"/>
      <c r="U63"/>
    </row>
    <row r="64" spans="2:21" s="13" customFormat="1" x14ac:dyDescent="0.25">
      <c r="B64"/>
      <c r="C64"/>
      <c r="D64"/>
      <c r="E64"/>
      <c r="F64">
        <f>F63-360</f>
        <v>43</v>
      </c>
      <c r="G64"/>
      <c r="H64"/>
      <c r="I64"/>
      <c r="J64" s="10">
        <f>J21 * J55</f>
        <v>-8.2982957266643925E-4</v>
      </c>
      <c r="K64" s="14"/>
      <c r="P64" s="78"/>
      <c r="R64"/>
      <c r="S64" s="14"/>
      <c r="T64"/>
      <c r="U64"/>
    </row>
    <row r="65" spans="2:21" s="13" customFormat="1" x14ac:dyDescent="0.25">
      <c r="B65"/>
      <c r="C65"/>
      <c r="D65"/>
      <c r="E65"/>
      <c r="F65"/>
      <c r="G65"/>
      <c r="H65"/>
      <c r="I65"/>
      <c r="J65" s="25">
        <f>J64 + J24</f>
        <v>-20.013046427932665</v>
      </c>
      <c r="K65" s="14"/>
      <c r="P65" s="78"/>
      <c r="R65"/>
      <c r="S65" s="14"/>
      <c r="T65"/>
      <c r="U65"/>
    </row>
  </sheetData>
  <mergeCells count="1">
    <mergeCell ref="K43:M4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CircleCircle Intercercept</vt:lpstr>
      <vt:lpstr>Despejando en 2</vt:lpstr>
      <vt:lpstr>Despejando 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</dc:creator>
  <cp:lastModifiedBy>herrera</cp:lastModifiedBy>
  <dcterms:created xsi:type="dcterms:W3CDTF">2017-06-07T00:06:02Z</dcterms:created>
  <dcterms:modified xsi:type="dcterms:W3CDTF">2017-06-26T02:13:02Z</dcterms:modified>
</cp:coreProperties>
</file>