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Andrés Martínez\Downloads\"/>
    </mc:Choice>
  </mc:AlternateContent>
  <xr:revisionPtr revIDLastSave="0" documentId="13_ncr:1_{9FBFC67B-54CE-4E4A-B88E-9D1D10495B7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uns" sheetId="1" r:id="rId1"/>
    <sheet name="Punto 3" sheetId="3" r:id="rId2"/>
    <sheet name="Medidas de desempeño" sheetId="2" r:id="rId3"/>
  </sheets>
  <calcPr calcId="181029"/>
</workbook>
</file>

<file path=xl/calcChain.xml><?xml version="1.0" encoding="utf-8"?>
<calcChain xmlns="http://schemas.openxmlformats.org/spreadsheetml/2006/main">
  <c r="L39" i="1" l="1"/>
  <c r="L40" i="1" s="1"/>
  <c r="M80" i="1"/>
  <c r="M103" i="1"/>
  <c r="M104" i="1" s="1"/>
  <c r="M429" i="1"/>
  <c r="N429" i="1"/>
  <c r="O429" i="1"/>
  <c r="P429" i="1"/>
  <c r="M428" i="1"/>
  <c r="N428" i="1"/>
  <c r="O428" i="1"/>
  <c r="P428" i="1"/>
  <c r="L429" i="1"/>
  <c r="L428" i="1"/>
  <c r="P427" i="1"/>
  <c r="O427" i="1"/>
  <c r="N427" i="1"/>
  <c r="M427" i="1"/>
  <c r="L427" i="1"/>
  <c r="M403" i="1"/>
  <c r="N403" i="1"/>
  <c r="O403" i="1"/>
  <c r="P403" i="1"/>
  <c r="M402" i="1"/>
  <c r="N402" i="1"/>
  <c r="O402" i="1"/>
  <c r="P402" i="1"/>
  <c r="L403" i="1"/>
  <c r="L402" i="1"/>
  <c r="P401" i="1"/>
  <c r="O401" i="1"/>
  <c r="N401" i="1"/>
  <c r="M401" i="1"/>
  <c r="L401" i="1"/>
  <c r="M378" i="1"/>
  <c r="N378" i="1"/>
  <c r="O378" i="1"/>
  <c r="P378" i="1"/>
  <c r="M377" i="1"/>
  <c r="N377" i="1"/>
  <c r="O377" i="1"/>
  <c r="P377" i="1"/>
  <c r="L378" i="1"/>
  <c r="L377" i="1"/>
  <c r="P376" i="1"/>
  <c r="O376" i="1"/>
  <c r="N376" i="1"/>
  <c r="M376" i="1"/>
  <c r="L376" i="1"/>
  <c r="M354" i="1"/>
  <c r="N354" i="1"/>
  <c r="O354" i="1"/>
  <c r="P354" i="1"/>
  <c r="M353" i="1"/>
  <c r="N353" i="1"/>
  <c r="O353" i="1"/>
  <c r="P353" i="1"/>
  <c r="L354" i="1"/>
  <c r="L353" i="1"/>
  <c r="P352" i="1"/>
  <c r="O352" i="1"/>
  <c r="N352" i="1"/>
  <c r="M352" i="1"/>
  <c r="L352" i="1"/>
  <c r="M331" i="1"/>
  <c r="N331" i="1"/>
  <c r="O331" i="1"/>
  <c r="P331" i="1"/>
  <c r="M330" i="1"/>
  <c r="N330" i="1"/>
  <c r="O330" i="1"/>
  <c r="P330" i="1"/>
  <c r="L331" i="1"/>
  <c r="L330" i="1"/>
  <c r="P329" i="1"/>
  <c r="O329" i="1"/>
  <c r="N329" i="1"/>
  <c r="M329" i="1"/>
  <c r="L329" i="1"/>
  <c r="M309" i="1"/>
  <c r="N309" i="1"/>
  <c r="O309" i="1"/>
  <c r="P309" i="1"/>
  <c r="M308" i="1"/>
  <c r="N308" i="1"/>
  <c r="O308" i="1"/>
  <c r="P308" i="1"/>
  <c r="L309" i="1"/>
  <c r="L308" i="1"/>
  <c r="P307" i="1"/>
  <c r="O307" i="1"/>
  <c r="N307" i="1"/>
  <c r="M307" i="1"/>
  <c r="L307" i="1"/>
  <c r="M286" i="1"/>
  <c r="N286" i="1"/>
  <c r="O286" i="1"/>
  <c r="P286" i="1"/>
  <c r="M285" i="1"/>
  <c r="N285" i="1"/>
  <c r="O285" i="1"/>
  <c r="P285" i="1"/>
  <c r="L286" i="1"/>
  <c r="L285" i="1"/>
  <c r="P284" i="1"/>
  <c r="O284" i="1"/>
  <c r="N284" i="1"/>
  <c r="M284" i="1"/>
  <c r="L284" i="1"/>
  <c r="M266" i="1"/>
  <c r="N266" i="1"/>
  <c r="O266" i="1"/>
  <c r="P266" i="1"/>
  <c r="M265" i="1"/>
  <c r="N265" i="1"/>
  <c r="O265" i="1"/>
  <c r="P265" i="1"/>
  <c r="L266" i="1"/>
  <c r="L265" i="1"/>
  <c r="P264" i="1"/>
  <c r="O264" i="1"/>
  <c r="N264" i="1"/>
  <c r="M264" i="1"/>
  <c r="L264" i="1"/>
  <c r="M246" i="1"/>
  <c r="N246" i="1"/>
  <c r="O246" i="1"/>
  <c r="P246" i="1"/>
  <c r="M245" i="1"/>
  <c r="N245" i="1"/>
  <c r="O245" i="1"/>
  <c r="P245" i="1"/>
  <c r="L246" i="1"/>
  <c r="L245" i="1"/>
  <c r="P244" i="1"/>
  <c r="O244" i="1"/>
  <c r="N244" i="1"/>
  <c r="M244" i="1"/>
  <c r="L244" i="1"/>
  <c r="M227" i="1"/>
  <c r="N227" i="1"/>
  <c r="O227" i="1"/>
  <c r="P227" i="1"/>
  <c r="M226" i="1"/>
  <c r="N226" i="1"/>
  <c r="O226" i="1"/>
  <c r="P226" i="1"/>
  <c r="L227" i="1"/>
  <c r="L226" i="1"/>
  <c r="P225" i="1"/>
  <c r="O225" i="1"/>
  <c r="N225" i="1"/>
  <c r="M225" i="1"/>
  <c r="L225" i="1"/>
  <c r="M208" i="1"/>
  <c r="N208" i="1"/>
  <c r="O208" i="1"/>
  <c r="P208" i="1"/>
  <c r="M207" i="1"/>
  <c r="N207" i="1"/>
  <c r="O207" i="1"/>
  <c r="P207" i="1"/>
  <c r="L208" i="1"/>
  <c r="L207" i="1"/>
  <c r="O206" i="1"/>
  <c r="N206" i="1"/>
  <c r="M206" i="1"/>
  <c r="L206" i="1"/>
  <c r="P206" i="1"/>
  <c r="M191" i="1"/>
  <c r="N191" i="1"/>
  <c r="O191" i="1"/>
  <c r="P191" i="1"/>
  <c r="M190" i="1"/>
  <c r="N190" i="1"/>
  <c r="O190" i="1"/>
  <c r="P190" i="1"/>
  <c r="L191" i="1"/>
  <c r="L190" i="1"/>
  <c r="P189" i="1"/>
  <c r="O189" i="1"/>
  <c r="N189" i="1"/>
  <c r="M189" i="1"/>
  <c r="L189" i="1"/>
  <c r="M169" i="1"/>
  <c r="N169" i="1"/>
  <c r="O169" i="1"/>
  <c r="P169" i="1"/>
  <c r="M168" i="1"/>
  <c r="N168" i="1"/>
  <c r="O168" i="1"/>
  <c r="P168" i="1"/>
  <c r="L169" i="1"/>
  <c r="L168" i="1"/>
  <c r="P167" i="1"/>
  <c r="O167" i="1"/>
  <c r="N167" i="1"/>
  <c r="M167" i="1"/>
  <c r="L167" i="1"/>
  <c r="M152" i="1"/>
  <c r="N152" i="1"/>
  <c r="O152" i="1"/>
  <c r="P152" i="1"/>
  <c r="M151" i="1"/>
  <c r="N151" i="1"/>
  <c r="O151" i="1"/>
  <c r="P151" i="1"/>
  <c r="L152" i="1"/>
  <c r="L151" i="1"/>
  <c r="P150" i="1"/>
  <c r="O150" i="1"/>
  <c r="N150" i="1"/>
  <c r="M150" i="1"/>
  <c r="L150" i="1"/>
  <c r="M135" i="1"/>
  <c r="N135" i="1"/>
  <c r="O135" i="1"/>
  <c r="P135" i="1"/>
  <c r="M134" i="1"/>
  <c r="N134" i="1"/>
  <c r="O134" i="1"/>
  <c r="P134" i="1"/>
  <c r="L135" i="1"/>
  <c r="L134" i="1"/>
  <c r="P133" i="1"/>
  <c r="O133" i="1"/>
  <c r="N133" i="1"/>
  <c r="M133" i="1"/>
  <c r="L133" i="1"/>
  <c r="P120" i="1"/>
  <c r="P122" i="1" s="1"/>
  <c r="O120" i="1"/>
  <c r="O121" i="1" s="1"/>
  <c r="Q103" i="1"/>
  <c r="Q104" i="1" s="1"/>
  <c r="P103" i="1"/>
  <c r="P104" i="1" s="1"/>
  <c r="P39" i="1"/>
  <c r="P40" i="1" s="1"/>
  <c r="O39" i="1"/>
  <c r="O41" i="1" s="1"/>
  <c r="M122" i="1"/>
  <c r="N122" i="1"/>
  <c r="M121" i="1"/>
  <c r="N121" i="1"/>
  <c r="L122" i="1"/>
  <c r="L121" i="1"/>
  <c r="N120" i="1"/>
  <c r="M120" i="1"/>
  <c r="L120" i="1"/>
  <c r="N105" i="1"/>
  <c r="O105" i="1"/>
  <c r="Q105" i="1"/>
  <c r="N104" i="1"/>
  <c r="O104" i="1"/>
  <c r="O103" i="1"/>
  <c r="N103" i="1"/>
  <c r="N81" i="1"/>
  <c r="O81" i="1"/>
  <c r="P81" i="1"/>
  <c r="Q81" i="1"/>
  <c r="M81" i="1"/>
  <c r="N79" i="1"/>
  <c r="N80" i="1"/>
  <c r="O80" i="1"/>
  <c r="P80" i="1"/>
  <c r="Q80" i="1"/>
  <c r="M79" i="1"/>
  <c r="Q79" i="1"/>
  <c r="P79" i="1"/>
  <c r="O79" i="1"/>
  <c r="M61" i="1"/>
  <c r="N61" i="1"/>
  <c r="O61" i="1"/>
  <c r="P61" i="1"/>
  <c r="L61" i="1"/>
  <c r="M60" i="1"/>
  <c r="N60" i="1"/>
  <c r="O60" i="1"/>
  <c r="P60" i="1"/>
  <c r="L60" i="1"/>
  <c r="P59" i="1"/>
  <c r="O59" i="1"/>
  <c r="N59" i="1"/>
  <c r="M59" i="1"/>
  <c r="L59" i="1"/>
  <c r="M41" i="1"/>
  <c r="N41" i="1"/>
  <c r="P41" i="1"/>
  <c r="M40" i="1"/>
  <c r="N40" i="1"/>
  <c r="N39" i="1"/>
  <c r="M39" i="1"/>
  <c r="L41" i="1" l="1"/>
  <c r="M105" i="1"/>
  <c r="P121" i="1"/>
  <c r="O122" i="1"/>
  <c r="P105" i="1"/>
  <c r="O40" i="1"/>
  <c r="G25" i="2" l="1"/>
  <c r="F25" i="2"/>
  <c r="E25" i="2"/>
  <c r="D25" i="2"/>
  <c r="C25" i="2"/>
  <c r="G24" i="2"/>
  <c r="F24" i="2"/>
  <c r="E24" i="2"/>
  <c r="D24" i="2"/>
  <c r="C24" i="2"/>
  <c r="I422" i="1"/>
  <c r="H422" i="1"/>
  <c r="G42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C384" i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H383" i="1"/>
  <c r="C383" i="1"/>
</calcChain>
</file>

<file path=xl/sharedStrings.xml><?xml version="1.0" encoding="utf-8"?>
<sst xmlns="http://schemas.openxmlformats.org/spreadsheetml/2006/main" count="199" uniqueCount="48">
  <si>
    <t>Customer</t>
  </si>
  <si>
    <t>TIme Between Arrivals</t>
  </si>
  <si>
    <t>Arrival Time</t>
  </si>
  <si>
    <t>Service Time</t>
  </si>
  <si>
    <t>Service Begins</t>
  </si>
  <si>
    <t>Time Service Ends</t>
  </si>
  <si>
    <t>Time in System</t>
  </si>
  <si>
    <t>Idle Time</t>
  </si>
  <si>
    <t>Time in Queue</t>
  </si>
  <si>
    <t>CÓDIGO</t>
  </si>
  <si>
    <t>NOMBRE</t>
  </si>
  <si>
    <t>Average time in system</t>
  </si>
  <si>
    <t>Percent idle time</t>
  </si>
  <si>
    <t>Average waiting time per customer</t>
  </si>
  <si>
    <t>Fraction having to wait</t>
  </si>
  <si>
    <t>Average waiting time of those who waited</t>
  </si>
  <si>
    <t>JAXON JULIAN MUÑOZ AVENDAÑO</t>
  </si>
  <si>
    <t>BRENDA ENITH VELÁSQUEZ MAYORGA</t>
  </si>
  <si>
    <t>SHARIK NATALIA AMAYA REY</t>
  </si>
  <si>
    <t>JUAN DAVID CELEMIN ROJAS</t>
  </si>
  <si>
    <t>FERNEY TELLES VARGAS</t>
  </si>
  <si>
    <t>ADRIAN FELIPE VILLAMIL ARIAS</t>
  </si>
  <si>
    <t>HERMES ARNUL DIAZ BARRETO</t>
  </si>
  <si>
    <t>JULIÁN STEVEN LARA GARCIA</t>
  </si>
  <si>
    <t>JEFFERSON ANDRES MARTINEZ PEÑA</t>
  </si>
  <si>
    <t>YAMID MAURICIO LEAL GARCIA</t>
  </si>
  <si>
    <t>MARTHA LILIANA AVELLANEDA CASTRO</t>
  </si>
  <si>
    <t>YOJAN STYVEN HERNANDEZ CARDONA</t>
  </si>
  <si>
    <t>ANDRES JULIAN HERNANDEZ QUEVEDO</t>
  </si>
  <si>
    <t>JOHAN DAVID LEÓN MORA</t>
  </si>
  <si>
    <t>ZULY ESTHEFANY MEJIA VASQUEZ</t>
  </si>
  <si>
    <t>CRISTIAN ANDRES PARRADO BARRETO</t>
  </si>
  <si>
    <t>LAURA ESTEFANY PARRADO VILLALOBOS</t>
  </si>
  <si>
    <t>LINDA JOHANA PATARROYO ACERO</t>
  </si>
  <si>
    <t>CANDIDO MORENO SERRATO</t>
  </si>
  <si>
    <t>OSWALDO ALEJANDRO VIVAS REYES</t>
  </si>
  <si>
    <t>0,65</t>
  </si>
  <si>
    <t>0,25</t>
  </si>
  <si>
    <t>2,6</t>
  </si>
  <si>
    <t>HOVER ALEXANDER FUQUENE PINZON</t>
  </si>
  <si>
    <t>CON TODAS LAS SIMULACIONES</t>
  </si>
  <si>
    <t>promedio</t>
  </si>
  <si>
    <t>desv. estandar</t>
  </si>
  <si>
    <t>Rango</t>
  </si>
  <si>
    <t>Frecuencia</t>
  </si>
  <si>
    <t>PROMEDIO</t>
  </si>
  <si>
    <t>DESVI</t>
  </si>
  <si>
    <t>DESVIA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</si>
</sst>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"/>
    <numFmt numFmtId="166" formatCode="#,##0.0"/>
  </numFmts>
  <fonts count="14" x14ac:knownFonts="1">
    <font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1"/>
      <color rgb="FF000000"/>
      <name val="Calibri"/>
    </font>
    <font>
      <sz val="10"/>
      <name val="Arial"/>
    </font>
    <font>
      <sz val="11"/>
      <name val="Calibri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  <font>
      <b/>
      <sz val="11"/>
      <color theme="1"/>
      <name val="Calibri"/>
    </font>
    <font>
      <b/>
      <sz val="10"/>
      <color theme="1"/>
      <name val="Arial"/>
    </font>
    <font>
      <i/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7DEE8"/>
        <bgColor rgb="FFB7DEE8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2" xfId="0" applyFont="1" applyBorder="1" applyAlignment="1">
      <alignment horizontal="right"/>
    </xf>
    <xf numFmtId="0" fontId="4" fillId="3" borderId="2" xfId="0" applyFont="1" applyFill="1" applyBorder="1" applyAlignment="1"/>
    <xf numFmtId="0" fontId="4" fillId="0" borderId="2" xfId="0" applyFont="1" applyBorder="1" applyAlignment="1"/>
    <xf numFmtId="0" fontId="4" fillId="4" borderId="2" xfId="0" applyFont="1" applyFill="1" applyBorder="1" applyAlignment="1"/>
    <xf numFmtId="0" fontId="3" fillId="0" borderId="3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4" fillId="0" borderId="2" xfId="0" applyFont="1" applyBorder="1" applyAlignment="1"/>
    <xf numFmtId="0" fontId="4" fillId="4" borderId="2" xfId="0" applyFont="1" applyFill="1" applyBorder="1" applyAlignment="1"/>
    <xf numFmtId="0" fontId="4" fillId="3" borderId="2" xfId="0" applyFont="1" applyFill="1" applyBorder="1" applyAlignment="1"/>
    <xf numFmtId="0" fontId="3" fillId="3" borderId="2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6" fillId="4" borderId="2" xfId="0" applyFont="1" applyFill="1" applyBorder="1" applyAlignment="1">
      <alignment horizontal="right" wrapText="1"/>
    </xf>
    <xf numFmtId="0" fontId="6" fillId="3" borderId="2" xfId="0" applyFont="1" applyFill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8" fillId="0" borderId="0" xfId="0" applyFont="1" applyAlignment="1">
      <alignment horizontal="right"/>
    </xf>
    <xf numFmtId="0" fontId="9" fillId="5" borderId="2" xfId="0" applyFont="1" applyFill="1" applyBorder="1"/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right"/>
    </xf>
    <xf numFmtId="0" fontId="8" fillId="0" borderId="2" xfId="0" applyFont="1" applyBorder="1" applyAlignment="1"/>
    <xf numFmtId="0" fontId="4" fillId="0" borderId="2" xfId="0" applyFont="1" applyBorder="1" applyAlignment="1">
      <alignment horizontal="center"/>
    </xf>
    <xf numFmtId="3" fontId="3" fillId="0" borderId="0" xfId="0" applyNumberFormat="1" applyFont="1" applyAlignment="1">
      <alignment horizontal="right"/>
    </xf>
    <xf numFmtId="4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9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9" fillId="0" borderId="0" xfId="0" applyFont="1" applyAlignment="1"/>
    <xf numFmtId="10" fontId="4" fillId="0" borderId="0" xfId="0" applyNumberFormat="1" applyFont="1" applyAlignment="1"/>
    <xf numFmtId="0" fontId="4" fillId="0" borderId="0" xfId="0" applyFont="1" applyFill="1" applyBorder="1" applyAlignment="1"/>
    <xf numFmtId="0" fontId="0" fillId="0" borderId="0" xfId="0" applyFont="1" applyBorder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12" fillId="0" borderId="6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0" fillId="0" borderId="7" xfId="0" applyFont="1" applyBorder="1" applyAlignment="1"/>
    <xf numFmtId="0" fontId="13" fillId="0" borderId="7" xfId="0" applyFont="1" applyBorder="1" applyAlignment="1"/>
    <xf numFmtId="0" fontId="4" fillId="0" borderId="8" xfId="0" applyFont="1" applyBorder="1" applyAlignment="1">
      <alignment horizontal="center"/>
    </xf>
    <xf numFmtId="0" fontId="0" fillId="0" borderId="7" xfId="0" applyFont="1" applyBorder="1" applyAlignment="1">
      <alignment wrapText="1"/>
    </xf>
    <xf numFmtId="0" fontId="0" fillId="0" borderId="9" xfId="0" applyFont="1" applyBorder="1" applyAlignment="1"/>
    <xf numFmtId="0" fontId="0" fillId="0" borderId="0" xfId="0" applyFont="1" applyBorder="1" applyAlignment="1">
      <alignment wrapText="1"/>
    </xf>
    <xf numFmtId="0" fontId="13" fillId="0" borderId="0" xfId="0" applyFont="1" applyBorder="1" applyAlignment="1"/>
    <xf numFmtId="0" fontId="8" fillId="6" borderId="2" xfId="0" applyFont="1" applyFill="1" applyBorder="1" applyAlignment="1">
      <alignment horizontal="right"/>
    </xf>
    <xf numFmtId="0" fontId="8" fillId="6" borderId="2" xfId="0" applyFont="1" applyFill="1" applyBorder="1" applyAlignment="1"/>
    <xf numFmtId="0" fontId="4" fillId="6" borderId="2" xfId="0" applyFont="1" applyFill="1" applyBorder="1" applyAlignment="1">
      <alignment horizontal="center"/>
    </xf>
    <xf numFmtId="0" fontId="4" fillId="5" borderId="8" xfId="0" applyFont="1" applyFill="1" applyBorder="1" applyAlignment="1"/>
    <xf numFmtId="0" fontId="4" fillId="5" borderId="8" xfId="0" applyFont="1" applyFill="1" applyBorder="1"/>
    <xf numFmtId="0" fontId="4" fillId="0" borderId="7" xfId="0" applyFont="1" applyBorder="1" applyAlignment="1">
      <alignment horizontal="right"/>
    </xf>
    <xf numFmtId="0" fontId="9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Time</a:t>
            </a:r>
            <a:r>
              <a:rPr lang="es-CO" baseline="0"/>
              <a:t> beetwen arrivals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'Punto 3'!$I$21:$I$30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'Punto 3'!$J$21:$J$30</c:f>
              <c:numCache>
                <c:formatCode>General</c:formatCode>
                <c:ptCount val="10"/>
                <c:pt idx="0">
                  <c:v>60</c:v>
                </c:pt>
                <c:pt idx="1">
                  <c:v>41</c:v>
                </c:pt>
                <c:pt idx="2">
                  <c:v>49</c:v>
                </c:pt>
                <c:pt idx="3">
                  <c:v>48</c:v>
                </c:pt>
                <c:pt idx="4">
                  <c:v>44</c:v>
                </c:pt>
                <c:pt idx="5">
                  <c:v>36</c:v>
                </c:pt>
                <c:pt idx="6">
                  <c:v>43</c:v>
                </c:pt>
                <c:pt idx="7">
                  <c:v>44</c:v>
                </c:pt>
                <c:pt idx="8">
                  <c:v>33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4-4706-BCDD-775F305FA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axId val="85042191"/>
        <c:axId val="19657807"/>
      </c:barChart>
      <c:catAx>
        <c:axId val="8504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entre llegadas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57807"/>
        <c:crosses val="autoZero"/>
        <c:auto val="1"/>
        <c:lblAlgn val="ctr"/>
        <c:lblOffset val="100"/>
        <c:noMultiLvlLbl val="0"/>
      </c:catAx>
      <c:valAx>
        <c:axId val="19657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Clientes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4219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Service time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'Punto 3'!$L$22:$L$27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'Punto 3'!$M$22:$M$27</c:f>
              <c:numCache>
                <c:formatCode>General</c:formatCode>
                <c:ptCount val="6"/>
                <c:pt idx="0">
                  <c:v>61</c:v>
                </c:pt>
                <c:pt idx="1">
                  <c:v>73</c:v>
                </c:pt>
                <c:pt idx="2">
                  <c:v>82</c:v>
                </c:pt>
                <c:pt idx="3">
                  <c:v>72</c:v>
                </c:pt>
                <c:pt idx="4">
                  <c:v>74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7-4177-AFC4-FE764814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axId val="139002271"/>
        <c:axId val="19612047"/>
      </c:barChart>
      <c:catAx>
        <c:axId val="139002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de servicio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12047"/>
        <c:crosses val="autoZero"/>
        <c:auto val="1"/>
        <c:lblAlgn val="ctr"/>
        <c:lblOffset val="100"/>
        <c:noMultiLvlLbl val="0"/>
      </c:catAx>
      <c:valAx>
        <c:axId val="19612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Clientes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00227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5</xdr:row>
      <xdr:rowOff>95250</xdr:rowOff>
    </xdr:from>
    <xdr:to>
      <xdr:col>6</xdr:col>
      <xdr:colOff>752475</xdr:colOff>
      <xdr:row>15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3BB402-07C4-431A-87B2-96D19A739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702733</xdr:colOff>
      <xdr:row>18</xdr:row>
      <xdr:rowOff>136525</xdr:rowOff>
    </xdr:from>
    <xdr:to>
      <xdr:col>6</xdr:col>
      <xdr:colOff>702733</xdr:colOff>
      <xdr:row>28</xdr:row>
      <xdr:rowOff>136525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09D21B-7D51-4D2D-8A85-150717B20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29"/>
  <sheetViews>
    <sheetView tabSelected="1" topLeftCell="F1" zoomScale="90" zoomScaleNormal="90" workbookViewId="0">
      <pane ySplit="1" topLeftCell="A410" activePane="bottomLeft" state="frozen"/>
      <selection pane="bottomLeft" activeCell="K425" sqref="K425"/>
    </sheetView>
  </sheetViews>
  <sheetFormatPr baseColWidth="10" defaultColWidth="14.42578125" defaultRowHeight="15.75" customHeight="1" x14ac:dyDescent="0.2"/>
  <cols>
    <col min="1" max="1" width="9.85546875" customWidth="1"/>
    <col min="2" max="2" width="12.7109375" customWidth="1"/>
  </cols>
  <sheetData>
    <row r="1" spans="1:26" ht="15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6">
        <v>1</v>
      </c>
      <c r="B2" s="7"/>
      <c r="C2" s="8">
        <v>0</v>
      </c>
      <c r="D2" s="9">
        <v>3</v>
      </c>
      <c r="E2" s="8">
        <v>0</v>
      </c>
      <c r="F2" s="8">
        <v>3</v>
      </c>
      <c r="G2" s="8">
        <v>3</v>
      </c>
      <c r="H2" s="8">
        <v>0</v>
      </c>
      <c r="I2" s="8">
        <v>0</v>
      </c>
      <c r="K2" s="29" t="s">
        <v>11</v>
      </c>
      <c r="L2" s="29" t="s">
        <v>12</v>
      </c>
      <c r="M2" s="29" t="s">
        <v>13</v>
      </c>
      <c r="N2" s="29" t="s">
        <v>14</v>
      </c>
      <c r="O2" s="29" t="s">
        <v>15</v>
      </c>
    </row>
    <row r="3" spans="1:26" ht="15.75" customHeight="1" x14ac:dyDescent="0.25">
      <c r="A3" s="10">
        <v>2</v>
      </c>
      <c r="B3" s="7">
        <v>6</v>
      </c>
      <c r="C3" s="8">
        <v>6</v>
      </c>
      <c r="D3" s="9">
        <v>5</v>
      </c>
      <c r="E3" s="8">
        <v>6</v>
      </c>
      <c r="F3" s="8">
        <v>11</v>
      </c>
      <c r="G3" s="8">
        <v>5</v>
      </c>
      <c r="H3" s="8">
        <v>3</v>
      </c>
      <c r="I3" s="8">
        <v>0</v>
      </c>
      <c r="K3" s="39">
        <v>3.6</v>
      </c>
      <c r="L3" s="39">
        <v>0.53459999999999996</v>
      </c>
      <c r="M3" s="39">
        <v>0.35</v>
      </c>
      <c r="N3" s="39">
        <v>0.15</v>
      </c>
      <c r="O3" s="39">
        <v>2.3330000000000002</v>
      </c>
    </row>
    <row r="4" spans="1:26" ht="15.75" customHeight="1" x14ac:dyDescent="0.25">
      <c r="A4" s="10">
        <v>3</v>
      </c>
      <c r="B4" s="7">
        <v>9</v>
      </c>
      <c r="C4" s="8">
        <v>15</v>
      </c>
      <c r="D4" s="9">
        <v>4</v>
      </c>
      <c r="E4" s="8">
        <v>15</v>
      </c>
      <c r="F4" s="8">
        <v>19</v>
      </c>
      <c r="G4" s="8">
        <v>4</v>
      </c>
      <c r="H4" s="8">
        <v>4</v>
      </c>
      <c r="I4" s="8">
        <v>0</v>
      </c>
    </row>
    <row r="5" spans="1:26" ht="15.75" customHeight="1" x14ac:dyDescent="0.25">
      <c r="A5" s="10">
        <v>4</v>
      </c>
      <c r="B5" s="7">
        <v>3</v>
      </c>
      <c r="C5" s="8">
        <v>18</v>
      </c>
      <c r="D5" s="9">
        <v>4</v>
      </c>
      <c r="E5" s="8">
        <v>19</v>
      </c>
      <c r="F5" s="8">
        <v>23</v>
      </c>
      <c r="G5" s="8">
        <v>5</v>
      </c>
      <c r="H5" s="8">
        <v>0</v>
      </c>
      <c r="I5" s="8">
        <v>1</v>
      </c>
    </row>
    <row r="6" spans="1:26" ht="15.75" customHeight="1" x14ac:dyDescent="0.25">
      <c r="A6" s="10">
        <v>5</v>
      </c>
      <c r="B6" s="7">
        <v>5</v>
      </c>
      <c r="C6" s="8">
        <v>23</v>
      </c>
      <c r="D6" s="9">
        <v>6</v>
      </c>
      <c r="E6" s="8">
        <v>23</v>
      </c>
      <c r="F6" s="8">
        <v>29</v>
      </c>
      <c r="G6" s="8">
        <v>6</v>
      </c>
      <c r="H6" s="8">
        <v>0</v>
      </c>
      <c r="I6" s="8">
        <v>0</v>
      </c>
    </row>
    <row r="7" spans="1:26" ht="15.75" customHeight="1" x14ac:dyDescent="0.25">
      <c r="A7" s="10">
        <v>6</v>
      </c>
      <c r="B7" s="7">
        <v>2</v>
      </c>
      <c r="C7" s="8">
        <v>25</v>
      </c>
      <c r="D7" s="9">
        <v>1</v>
      </c>
      <c r="E7" s="8">
        <v>29</v>
      </c>
      <c r="F7" s="8">
        <v>30</v>
      </c>
      <c r="G7" s="8">
        <v>5</v>
      </c>
      <c r="H7" s="8">
        <v>0</v>
      </c>
      <c r="I7" s="8">
        <v>4</v>
      </c>
    </row>
    <row r="8" spans="1:26" ht="15.75" customHeight="1" x14ac:dyDescent="0.25">
      <c r="A8" s="10">
        <v>7</v>
      </c>
      <c r="B8" s="7">
        <v>8</v>
      </c>
      <c r="C8" s="8">
        <v>33</v>
      </c>
      <c r="D8" s="9">
        <v>3</v>
      </c>
      <c r="E8" s="8">
        <v>33</v>
      </c>
      <c r="F8" s="8">
        <v>36</v>
      </c>
      <c r="G8" s="8">
        <v>3</v>
      </c>
      <c r="H8" s="8">
        <v>3</v>
      </c>
      <c r="I8" s="8">
        <v>0</v>
      </c>
    </row>
    <row r="9" spans="1:26" ht="15.75" customHeight="1" x14ac:dyDescent="0.25">
      <c r="A9" s="10">
        <v>8</v>
      </c>
      <c r="B9" s="7">
        <v>8</v>
      </c>
      <c r="C9" s="8">
        <v>41</v>
      </c>
      <c r="D9" s="9">
        <v>2</v>
      </c>
      <c r="E9" s="8">
        <v>41</v>
      </c>
      <c r="F9" s="8">
        <v>43</v>
      </c>
      <c r="G9" s="8">
        <v>2</v>
      </c>
      <c r="H9" s="8">
        <v>5</v>
      </c>
      <c r="I9" s="8">
        <v>0</v>
      </c>
    </row>
    <row r="10" spans="1:26" ht="15.75" customHeight="1" x14ac:dyDescent="0.25">
      <c r="A10" s="10">
        <v>9</v>
      </c>
      <c r="B10" s="7">
        <v>3</v>
      </c>
      <c r="C10" s="8">
        <v>44</v>
      </c>
      <c r="D10" s="9">
        <v>5</v>
      </c>
      <c r="E10" s="8">
        <v>44</v>
      </c>
      <c r="F10" s="8">
        <v>49</v>
      </c>
      <c r="G10" s="8">
        <v>5</v>
      </c>
      <c r="H10" s="8">
        <v>1</v>
      </c>
      <c r="I10" s="8">
        <v>0</v>
      </c>
    </row>
    <row r="11" spans="1:26" ht="15.75" customHeight="1" x14ac:dyDescent="0.25">
      <c r="A11" s="10">
        <v>10</v>
      </c>
      <c r="B11" s="7">
        <v>6</v>
      </c>
      <c r="C11" s="8">
        <v>50</v>
      </c>
      <c r="D11" s="9">
        <v>4</v>
      </c>
      <c r="E11" s="8">
        <v>50</v>
      </c>
      <c r="F11" s="8">
        <v>54</v>
      </c>
      <c r="G11" s="8">
        <v>4</v>
      </c>
      <c r="H11" s="8">
        <v>1</v>
      </c>
      <c r="I11" s="8">
        <v>0</v>
      </c>
    </row>
    <row r="12" spans="1:26" ht="15.75" customHeight="1" x14ac:dyDescent="0.25">
      <c r="A12" s="10">
        <v>11</v>
      </c>
      <c r="B12" s="7">
        <v>7</v>
      </c>
      <c r="C12" s="8">
        <v>57</v>
      </c>
      <c r="D12" s="9">
        <v>4</v>
      </c>
      <c r="E12" s="8">
        <v>57</v>
      </c>
      <c r="F12" s="8">
        <v>61</v>
      </c>
      <c r="G12" s="8">
        <v>4</v>
      </c>
      <c r="H12" s="8">
        <v>3</v>
      </c>
      <c r="I12" s="8">
        <v>0</v>
      </c>
    </row>
    <row r="13" spans="1:26" ht="15.75" customHeight="1" x14ac:dyDescent="0.25">
      <c r="A13" s="10">
        <v>12</v>
      </c>
      <c r="B13" s="7">
        <v>6</v>
      </c>
      <c r="C13" s="8">
        <v>63</v>
      </c>
      <c r="D13" s="9">
        <v>1</v>
      </c>
      <c r="E13" s="8">
        <v>63</v>
      </c>
      <c r="F13" s="8">
        <v>64</v>
      </c>
      <c r="G13" s="8">
        <v>1</v>
      </c>
      <c r="H13" s="8">
        <v>2</v>
      </c>
      <c r="I13" s="8">
        <v>0</v>
      </c>
    </row>
    <row r="14" spans="1:26" ht="15.75" customHeight="1" x14ac:dyDescent="0.25">
      <c r="A14" s="10">
        <v>13</v>
      </c>
      <c r="B14" s="7">
        <v>8</v>
      </c>
      <c r="C14" s="8">
        <v>71</v>
      </c>
      <c r="D14" s="9">
        <v>5</v>
      </c>
      <c r="E14" s="8">
        <v>71</v>
      </c>
      <c r="F14" s="8">
        <v>76</v>
      </c>
      <c r="G14" s="8">
        <v>5</v>
      </c>
      <c r="H14" s="8">
        <v>7</v>
      </c>
      <c r="I14" s="8">
        <v>0</v>
      </c>
    </row>
    <row r="15" spans="1:26" ht="15.75" customHeight="1" x14ac:dyDescent="0.25">
      <c r="A15" s="10">
        <v>14</v>
      </c>
      <c r="B15" s="7">
        <v>5</v>
      </c>
      <c r="C15" s="8">
        <v>76</v>
      </c>
      <c r="D15" s="9">
        <v>4</v>
      </c>
      <c r="E15" s="8">
        <v>76</v>
      </c>
      <c r="F15" s="8">
        <v>80</v>
      </c>
      <c r="G15" s="8">
        <v>4</v>
      </c>
      <c r="H15" s="8">
        <v>0</v>
      </c>
      <c r="I15" s="8">
        <v>0</v>
      </c>
    </row>
    <row r="16" spans="1:26" ht="15.75" customHeight="1" x14ac:dyDescent="0.25">
      <c r="A16" s="10">
        <v>15</v>
      </c>
      <c r="B16" s="7">
        <v>6</v>
      </c>
      <c r="C16" s="8">
        <v>82</v>
      </c>
      <c r="D16" s="9">
        <v>1</v>
      </c>
      <c r="E16" s="8">
        <v>82</v>
      </c>
      <c r="F16" s="8">
        <v>83</v>
      </c>
      <c r="G16" s="8">
        <v>1</v>
      </c>
      <c r="H16" s="8">
        <v>2</v>
      </c>
      <c r="I16" s="8">
        <v>0</v>
      </c>
    </row>
    <row r="17" spans="1:9" ht="15.75" customHeight="1" x14ac:dyDescent="0.25">
      <c r="A17" s="10">
        <v>16</v>
      </c>
      <c r="B17" s="7">
        <v>8</v>
      </c>
      <c r="C17" s="8">
        <v>90</v>
      </c>
      <c r="D17" s="9">
        <v>1</v>
      </c>
      <c r="E17" s="8">
        <v>90</v>
      </c>
      <c r="F17" s="8">
        <v>91</v>
      </c>
      <c r="G17" s="8">
        <v>1</v>
      </c>
      <c r="H17" s="8">
        <v>7</v>
      </c>
      <c r="I17" s="8">
        <v>0</v>
      </c>
    </row>
    <row r="18" spans="1:9" ht="15.75" customHeight="1" x14ac:dyDescent="0.25">
      <c r="A18" s="10">
        <v>17</v>
      </c>
      <c r="B18" s="7">
        <v>7</v>
      </c>
      <c r="C18" s="8">
        <v>97</v>
      </c>
      <c r="D18" s="9">
        <v>3</v>
      </c>
      <c r="E18" s="8">
        <v>97</v>
      </c>
      <c r="F18" s="8">
        <v>100</v>
      </c>
      <c r="G18" s="8">
        <v>3</v>
      </c>
      <c r="H18" s="8">
        <v>6</v>
      </c>
      <c r="I18" s="8">
        <v>0</v>
      </c>
    </row>
    <row r="19" spans="1:9" ht="15.75" customHeight="1" x14ac:dyDescent="0.25">
      <c r="A19" s="10">
        <v>18</v>
      </c>
      <c r="B19" s="7">
        <v>1</v>
      </c>
      <c r="C19" s="8">
        <v>98</v>
      </c>
      <c r="D19" s="9">
        <v>3</v>
      </c>
      <c r="E19" s="8">
        <v>100</v>
      </c>
      <c r="F19" s="8">
        <v>103</v>
      </c>
      <c r="G19" s="8">
        <v>5</v>
      </c>
      <c r="H19" s="8">
        <v>0</v>
      </c>
      <c r="I19" s="8">
        <v>2</v>
      </c>
    </row>
    <row r="20" spans="1:9" ht="15.75" customHeight="1" x14ac:dyDescent="0.25">
      <c r="A20" s="10">
        <v>19</v>
      </c>
      <c r="B20" s="7">
        <v>9</v>
      </c>
      <c r="C20" s="8">
        <v>107</v>
      </c>
      <c r="D20" s="9">
        <v>2</v>
      </c>
      <c r="E20" s="8">
        <v>107</v>
      </c>
      <c r="F20" s="8">
        <v>109</v>
      </c>
      <c r="G20" s="8">
        <v>2</v>
      </c>
      <c r="H20" s="8">
        <v>4</v>
      </c>
      <c r="I20" s="8">
        <v>0</v>
      </c>
    </row>
    <row r="21" spans="1:9" ht="15.75" customHeight="1" x14ac:dyDescent="0.25">
      <c r="A21" s="10">
        <v>20</v>
      </c>
      <c r="B21" s="7">
        <v>8</v>
      </c>
      <c r="C21" s="8">
        <v>115</v>
      </c>
      <c r="D21" s="9">
        <v>4</v>
      </c>
      <c r="E21" s="8">
        <v>115</v>
      </c>
      <c r="F21" s="8">
        <v>119</v>
      </c>
      <c r="G21" s="8">
        <v>4</v>
      </c>
      <c r="H21" s="8">
        <v>6</v>
      </c>
      <c r="I21" s="8">
        <v>0</v>
      </c>
    </row>
    <row r="22" spans="1:9" ht="15.75" customHeight="1" x14ac:dyDescent="0.25">
      <c r="A22" s="6">
        <v>21</v>
      </c>
      <c r="B22" s="7"/>
      <c r="C22" s="8">
        <v>0</v>
      </c>
      <c r="D22" s="9">
        <v>3</v>
      </c>
      <c r="E22" s="8">
        <v>0</v>
      </c>
      <c r="F22" s="8">
        <v>3</v>
      </c>
      <c r="G22" s="8">
        <v>3</v>
      </c>
      <c r="H22" s="8">
        <v>0</v>
      </c>
      <c r="I22" s="8">
        <v>0</v>
      </c>
    </row>
    <row r="23" spans="1:9" ht="15.75" customHeight="1" x14ac:dyDescent="0.25">
      <c r="A23" s="6">
        <v>22</v>
      </c>
      <c r="B23" s="7">
        <v>8</v>
      </c>
      <c r="C23" s="8">
        <v>8</v>
      </c>
      <c r="D23" s="9">
        <v>3</v>
      </c>
      <c r="E23" s="8">
        <v>8</v>
      </c>
      <c r="F23" s="8">
        <v>11</v>
      </c>
      <c r="G23" s="8">
        <v>3</v>
      </c>
      <c r="H23" s="8">
        <v>5</v>
      </c>
      <c r="I23" s="8">
        <v>0</v>
      </c>
    </row>
    <row r="24" spans="1:9" ht="15.75" customHeight="1" x14ac:dyDescent="0.25">
      <c r="A24" s="10">
        <v>23</v>
      </c>
      <c r="B24" s="7">
        <v>7</v>
      </c>
      <c r="C24" s="8">
        <v>15</v>
      </c>
      <c r="D24" s="9">
        <v>1</v>
      </c>
      <c r="E24" s="8">
        <v>15</v>
      </c>
      <c r="F24" s="8">
        <v>16</v>
      </c>
      <c r="G24" s="8">
        <v>1</v>
      </c>
      <c r="H24" s="8">
        <v>4</v>
      </c>
      <c r="I24" s="8">
        <v>0</v>
      </c>
    </row>
    <row r="25" spans="1:9" ht="15" x14ac:dyDescent="0.25">
      <c r="A25" s="10">
        <v>24</v>
      </c>
      <c r="B25" s="7">
        <v>7</v>
      </c>
      <c r="C25" s="8">
        <v>22</v>
      </c>
      <c r="D25" s="9">
        <v>3</v>
      </c>
      <c r="E25" s="8">
        <v>22</v>
      </c>
      <c r="F25" s="8">
        <v>25</v>
      </c>
      <c r="G25" s="8">
        <v>3</v>
      </c>
      <c r="H25" s="8">
        <v>6</v>
      </c>
      <c r="I25" s="8">
        <v>0</v>
      </c>
    </row>
    <row r="26" spans="1:9" ht="15" x14ac:dyDescent="0.25">
      <c r="A26" s="10">
        <v>25</v>
      </c>
      <c r="B26" s="7">
        <v>4</v>
      </c>
      <c r="C26" s="8">
        <v>26</v>
      </c>
      <c r="D26" s="9">
        <v>4</v>
      </c>
      <c r="E26" s="8">
        <v>26</v>
      </c>
      <c r="F26" s="8">
        <v>30</v>
      </c>
      <c r="G26" s="8">
        <v>4</v>
      </c>
      <c r="H26" s="8">
        <v>1</v>
      </c>
      <c r="I26" s="8">
        <v>0</v>
      </c>
    </row>
    <row r="27" spans="1:9" ht="15" x14ac:dyDescent="0.25">
      <c r="A27" s="10">
        <v>26</v>
      </c>
      <c r="B27" s="7">
        <v>5</v>
      </c>
      <c r="C27" s="8">
        <v>31</v>
      </c>
      <c r="D27" s="9">
        <v>3</v>
      </c>
      <c r="E27" s="8">
        <v>31</v>
      </c>
      <c r="F27" s="8">
        <v>34</v>
      </c>
      <c r="G27" s="8">
        <v>3</v>
      </c>
      <c r="H27" s="8">
        <v>1</v>
      </c>
      <c r="I27" s="8">
        <v>0</v>
      </c>
    </row>
    <row r="28" spans="1:9" ht="15" x14ac:dyDescent="0.25">
      <c r="A28" s="10">
        <v>27</v>
      </c>
      <c r="B28" s="7">
        <v>8</v>
      </c>
      <c r="C28" s="8">
        <v>39</v>
      </c>
      <c r="D28" s="9">
        <v>6</v>
      </c>
      <c r="E28" s="8">
        <v>39</v>
      </c>
      <c r="F28" s="8">
        <v>45</v>
      </c>
      <c r="G28" s="8">
        <v>6</v>
      </c>
      <c r="H28" s="8">
        <v>5</v>
      </c>
      <c r="I28" s="8">
        <v>0</v>
      </c>
    </row>
    <row r="29" spans="1:9" ht="15" x14ac:dyDescent="0.25">
      <c r="A29" s="10">
        <v>28</v>
      </c>
      <c r="B29" s="7">
        <v>8</v>
      </c>
      <c r="C29" s="8">
        <v>47</v>
      </c>
      <c r="D29" s="9">
        <v>5</v>
      </c>
      <c r="E29" s="8">
        <v>47</v>
      </c>
      <c r="F29" s="8">
        <v>52</v>
      </c>
      <c r="G29" s="8">
        <v>5</v>
      </c>
      <c r="H29" s="8">
        <v>2</v>
      </c>
      <c r="I29" s="8">
        <v>0</v>
      </c>
    </row>
    <row r="30" spans="1:9" ht="15" x14ac:dyDescent="0.25">
      <c r="A30" s="10">
        <v>29</v>
      </c>
      <c r="B30" s="7">
        <v>4</v>
      </c>
      <c r="C30" s="8">
        <v>51</v>
      </c>
      <c r="D30" s="9">
        <v>5</v>
      </c>
      <c r="E30" s="8">
        <v>52</v>
      </c>
      <c r="F30" s="8">
        <v>57</v>
      </c>
      <c r="G30" s="8">
        <v>6</v>
      </c>
      <c r="H30" s="8">
        <v>0</v>
      </c>
      <c r="I30" s="8">
        <v>1</v>
      </c>
    </row>
    <row r="31" spans="1:9" ht="15" x14ac:dyDescent="0.25">
      <c r="A31" s="10">
        <v>30</v>
      </c>
      <c r="B31" s="7">
        <v>4</v>
      </c>
      <c r="C31" s="8">
        <v>55</v>
      </c>
      <c r="D31" s="9">
        <v>4</v>
      </c>
      <c r="E31" s="8">
        <v>57</v>
      </c>
      <c r="F31" s="8">
        <v>61</v>
      </c>
      <c r="G31" s="8">
        <v>6</v>
      </c>
      <c r="H31" s="8">
        <v>0</v>
      </c>
      <c r="I31" s="8">
        <v>2</v>
      </c>
    </row>
    <row r="32" spans="1:9" ht="15" x14ac:dyDescent="0.25">
      <c r="A32" s="11">
        <v>31</v>
      </c>
      <c r="B32" s="7">
        <v>9</v>
      </c>
      <c r="C32" s="8">
        <v>64</v>
      </c>
      <c r="D32" s="9">
        <v>3</v>
      </c>
      <c r="E32" s="8">
        <v>64</v>
      </c>
      <c r="F32" s="8">
        <v>67</v>
      </c>
      <c r="G32" s="8">
        <v>3</v>
      </c>
      <c r="H32" s="8">
        <v>3</v>
      </c>
      <c r="I32" s="8">
        <v>0</v>
      </c>
    </row>
    <row r="33" spans="1:16" ht="15" x14ac:dyDescent="0.25">
      <c r="A33" s="11">
        <v>32</v>
      </c>
      <c r="B33" s="7">
        <v>4</v>
      </c>
      <c r="C33" s="8">
        <v>68</v>
      </c>
      <c r="D33" s="9">
        <v>5</v>
      </c>
      <c r="E33" s="8">
        <v>68</v>
      </c>
      <c r="F33" s="8">
        <v>73</v>
      </c>
      <c r="G33" s="8">
        <v>5</v>
      </c>
      <c r="H33" s="8">
        <v>1</v>
      </c>
      <c r="I33" s="8">
        <v>0</v>
      </c>
    </row>
    <row r="34" spans="1:16" ht="15" x14ac:dyDescent="0.25">
      <c r="A34" s="11">
        <v>33</v>
      </c>
      <c r="B34" s="7">
        <v>4</v>
      </c>
      <c r="C34" s="8">
        <v>72</v>
      </c>
      <c r="D34" s="9">
        <v>4</v>
      </c>
      <c r="E34" s="8">
        <v>73</v>
      </c>
      <c r="F34" s="8">
        <v>77</v>
      </c>
      <c r="G34" s="8">
        <v>5</v>
      </c>
      <c r="H34" s="8">
        <v>0</v>
      </c>
      <c r="I34" s="8">
        <v>1</v>
      </c>
    </row>
    <row r="35" spans="1:16" ht="15" x14ac:dyDescent="0.25">
      <c r="A35" s="11">
        <v>34</v>
      </c>
      <c r="B35" s="7">
        <v>7</v>
      </c>
      <c r="C35" s="8">
        <v>79</v>
      </c>
      <c r="D35" s="9">
        <v>4</v>
      </c>
      <c r="E35" s="8">
        <v>79</v>
      </c>
      <c r="F35" s="8">
        <v>83</v>
      </c>
      <c r="G35" s="8">
        <v>4</v>
      </c>
      <c r="H35" s="8">
        <v>2</v>
      </c>
      <c r="I35" s="8">
        <v>0</v>
      </c>
    </row>
    <row r="36" spans="1:16" ht="15" x14ac:dyDescent="0.25">
      <c r="A36" s="11">
        <v>35</v>
      </c>
      <c r="B36" s="7">
        <v>1</v>
      </c>
      <c r="C36" s="8">
        <v>80</v>
      </c>
      <c r="D36" s="9">
        <v>6</v>
      </c>
      <c r="E36" s="8">
        <v>83</v>
      </c>
      <c r="F36" s="8">
        <v>89</v>
      </c>
      <c r="G36" s="8">
        <v>9</v>
      </c>
      <c r="H36" s="8">
        <v>0</v>
      </c>
      <c r="I36" s="8">
        <v>3</v>
      </c>
    </row>
    <row r="37" spans="1:16" ht="51.75" x14ac:dyDescent="0.25">
      <c r="A37" s="11">
        <v>36</v>
      </c>
      <c r="B37" s="7">
        <v>1</v>
      </c>
      <c r="C37" s="8">
        <v>90</v>
      </c>
      <c r="D37" s="9">
        <v>4</v>
      </c>
      <c r="E37" s="8">
        <v>90</v>
      </c>
      <c r="F37" s="8">
        <v>94</v>
      </c>
      <c r="G37" s="8">
        <v>4</v>
      </c>
      <c r="H37" s="8">
        <v>1</v>
      </c>
      <c r="I37" s="8">
        <v>0</v>
      </c>
      <c r="L37" s="29" t="s">
        <v>11</v>
      </c>
      <c r="M37" s="29" t="s">
        <v>12</v>
      </c>
      <c r="N37" s="29" t="s">
        <v>13</v>
      </c>
      <c r="O37" s="29" t="s">
        <v>14</v>
      </c>
      <c r="P37" s="29" t="s">
        <v>15</v>
      </c>
    </row>
    <row r="38" spans="1:16" ht="15" x14ac:dyDescent="0.25">
      <c r="A38" s="11">
        <v>37</v>
      </c>
      <c r="B38" s="7">
        <v>1</v>
      </c>
      <c r="C38" s="8">
        <v>100</v>
      </c>
      <c r="D38" s="9">
        <v>5</v>
      </c>
      <c r="E38" s="8">
        <v>100</v>
      </c>
      <c r="F38" s="8">
        <v>105</v>
      </c>
      <c r="G38" s="8">
        <v>5</v>
      </c>
      <c r="H38" s="8">
        <v>6</v>
      </c>
      <c r="I38" s="8">
        <v>0</v>
      </c>
      <c r="L38" s="52">
        <v>3.6</v>
      </c>
      <c r="M38" s="52">
        <v>0.53459999999999996</v>
      </c>
      <c r="N38" s="52">
        <v>0.35</v>
      </c>
      <c r="O38" s="52">
        <v>0.15</v>
      </c>
      <c r="P38" s="52">
        <v>2.3330000000000002</v>
      </c>
    </row>
    <row r="39" spans="1:16" ht="15" x14ac:dyDescent="0.25">
      <c r="A39" s="11">
        <v>38</v>
      </c>
      <c r="B39" s="7">
        <v>4</v>
      </c>
      <c r="C39" s="8">
        <v>104</v>
      </c>
      <c r="D39" s="9">
        <v>1</v>
      </c>
      <c r="E39" s="8">
        <v>105</v>
      </c>
      <c r="F39" s="8">
        <v>106</v>
      </c>
      <c r="G39" s="8">
        <v>6</v>
      </c>
      <c r="H39" s="8">
        <v>0</v>
      </c>
      <c r="I39" s="8">
        <v>1</v>
      </c>
      <c r="K39" s="50"/>
      <c r="L39" s="50">
        <f>(SUM(G2:G21))/40</f>
        <v>1.8</v>
      </c>
      <c r="M39" s="50">
        <f>(SUM(H2:H41)/(F21+F41))</f>
        <v>0.40928270042194093</v>
      </c>
      <c r="N39" s="50">
        <f>SUM(I2:I41)/40</f>
        <v>0.4</v>
      </c>
      <c r="O39" s="50">
        <f>(COUNTIF(I2:I41,"&gt;0")/40)</f>
        <v>0.22500000000000001</v>
      </c>
      <c r="P39" s="50">
        <f>SUM(I2:I41)/(COUNTIF(I2:I41,"&gt;0"))</f>
        <v>1.7777777777777777</v>
      </c>
    </row>
    <row r="40" spans="1:16" ht="15" x14ac:dyDescent="0.25">
      <c r="A40" s="11">
        <v>39</v>
      </c>
      <c r="B40" s="7">
        <v>8</v>
      </c>
      <c r="C40" s="8">
        <v>112</v>
      </c>
      <c r="D40" s="9">
        <v>3</v>
      </c>
      <c r="E40" s="8">
        <v>112</v>
      </c>
      <c r="F40" s="8">
        <v>115</v>
      </c>
      <c r="G40" s="8">
        <v>3</v>
      </c>
      <c r="H40" s="8">
        <v>6</v>
      </c>
      <c r="I40" s="8">
        <v>0</v>
      </c>
      <c r="K40" s="51" t="s">
        <v>45</v>
      </c>
      <c r="L40" s="50">
        <f>AVERAGE(L38,L39)</f>
        <v>2.7</v>
      </c>
      <c r="M40" s="50">
        <f t="shared" ref="M40:P40" si="0">AVERAGE(M38,M39)</f>
        <v>0.47194135021097045</v>
      </c>
      <c r="N40" s="50">
        <f t="shared" si="0"/>
        <v>0.375</v>
      </c>
      <c r="O40" s="50">
        <f t="shared" si="0"/>
        <v>0.1875</v>
      </c>
      <c r="P40" s="50">
        <f t="shared" si="0"/>
        <v>2.0553888888888889</v>
      </c>
    </row>
    <row r="41" spans="1:16" ht="15" x14ac:dyDescent="0.25">
      <c r="A41" s="11">
        <v>40</v>
      </c>
      <c r="B41" s="7">
        <v>2</v>
      </c>
      <c r="C41" s="8">
        <v>114</v>
      </c>
      <c r="D41" s="9">
        <v>3</v>
      </c>
      <c r="E41" s="8">
        <v>115</v>
      </c>
      <c r="F41" s="8">
        <v>118</v>
      </c>
      <c r="G41" s="8">
        <v>4</v>
      </c>
      <c r="H41" s="8">
        <v>0</v>
      </c>
      <c r="I41" s="8">
        <v>1</v>
      </c>
      <c r="K41" s="51" t="s">
        <v>46</v>
      </c>
      <c r="L41" s="50">
        <f>STDEVA(L38,L39)</f>
        <v>1.2727922061357859</v>
      </c>
      <c r="M41" s="50">
        <f t="shared" ref="M41:P41" si="1">STDEVA(M38,M39)</f>
        <v>8.8612712331631358E-2</v>
      </c>
      <c r="N41" s="50">
        <f t="shared" si="1"/>
        <v>3.5355339059327411E-2</v>
      </c>
      <c r="O41" s="50">
        <f>STDEVA(O38,O39)</f>
        <v>5.3033008588991022E-2</v>
      </c>
      <c r="P41" s="50">
        <f t="shared" si="1"/>
        <v>0.39260139839879765</v>
      </c>
    </row>
    <row r="42" spans="1:16" ht="15" x14ac:dyDescent="0.25">
      <c r="A42" s="11">
        <v>41</v>
      </c>
      <c r="B42" s="7"/>
      <c r="C42" s="8">
        <v>0</v>
      </c>
      <c r="D42" s="9">
        <v>6</v>
      </c>
      <c r="E42" s="8">
        <v>0</v>
      </c>
      <c r="F42" s="8">
        <v>6</v>
      </c>
      <c r="G42" s="8">
        <v>6</v>
      </c>
      <c r="H42" s="8">
        <v>0</v>
      </c>
      <c r="I42" s="8">
        <v>0</v>
      </c>
    </row>
    <row r="43" spans="1:16" ht="15" x14ac:dyDescent="0.25">
      <c r="A43" s="11">
        <v>42</v>
      </c>
      <c r="B43" s="7">
        <v>7</v>
      </c>
      <c r="C43" s="8">
        <v>7</v>
      </c>
      <c r="D43" s="9">
        <v>2</v>
      </c>
      <c r="E43" s="8">
        <v>7</v>
      </c>
      <c r="F43" s="8">
        <v>9</v>
      </c>
      <c r="G43" s="8">
        <v>2</v>
      </c>
      <c r="H43" s="8">
        <v>1</v>
      </c>
      <c r="I43" s="8">
        <v>0</v>
      </c>
    </row>
    <row r="44" spans="1:16" ht="15" x14ac:dyDescent="0.25">
      <c r="A44" s="11">
        <v>43</v>
      </c>
      <c r="B44" s="7">
        <v>1</v>
      </c>
      <c r="C44" s="8">
        <v>8</v>
      </c>
      <c r="D44" s="9">
        <v>5</v>
      </c>
      <c r="E44" s="8">
        <v>9</v>
      </c>
      <c r="F44" s="8">
        <v>14</v>
      </c>
      <c r="G44" s="8">
        <v>6</v>
      </c>
      <c r="H44" s="8">
        <v>0</v>
      </c>
      <c r="I44" s="8">
        <v>1</v>
      </c>
    </row>
    <row r="45" spans="1:16" ht="15" x14ac:dyDescent="0.25">
      <c r="A45" s="11">
        <v>44</v>
      </c>
      <c r="B45" s="7">
        <v>4</v>
      </c>
      <c r="C45" s="8">
        <v>12</v>
      </c>
      <c r="D45" s="9">
        <v>3</v>
      </c>
      <c r="E45" s="8">
        <v>14</v>
      </c>
      <c r="F45" s="8">
        <v>17</v>
      </c>
      <c r="G45" s="8">
        <v>5</v>
      </c>
      <c r="H45" s="8">
        <v>0</v>
      </c>
      <c r="I45" s="8">
        <v>2</v>
      </c>
    </row>
    <row r="46" spans="1:16" ht="15" x14ac:dyDescent="0.25">
      <c r="A46" s="11">
        <v>45</v>
      </c>
      <c r="B46" s="7">
        <v>3</v>
      </c>
      <c r="C46" s="8">
        <v>15</v>
      </c>
      <c r="D46" s="9">
        <v>2</v>
      </c>
      <c r="E46" s="8">
        <v>17</v>
      </c>
      <c r="F46" s="8">
        <v>19</v>
      </c>
      <c r="G46" s="8">
        <v>4</v>
      </c>
      <c r="H46" s="8">
        <v>0</v>
      </c>
      <c r="I46" s="8">
        <v>2</v>
      </c>
    </row>
    <row r="47" spans="1:16" ht="15" x14ac:dyDescent="0.25">
      <c r="A47" s="11">
        <v>46</v>
      </c>
      <c r="B47" s="7">
        <v>4</v>
      </c>
      <c r="C47" s="8">
        <v>19</v>
      </c>
      <c r="D47" s="9">
        <v>4</v>
      </c>
      <c r="E47" s="8">
        <v>19</v>
      </c>
      <c r="F47" s="8">
        <v>23</v>
      </c>
      <c r="G47" s="8">
        <v>4</v>
      </c>
      <c r="H47" s="8">
        <v>0</v>
      </c>
      <c r="I47" s="8">
        <v>0</v>
      </c>
    </row>
    <row r="48" spans="1:16" ht="15" x14ac:dyDescent="0.25">
      <c r="A48" s="11">
        <v>47</v>
      </c>
      <c r="B48" s="7">
        <v>3</v>
      </c>
      <c r="C48" s="8">
        <v>22</v>
      </c>
      <c r="D48" s="9">
        <v>5</v>
      </c>
      <c r="E48" s="8">
        <v>23</v>
      </c>
      <c r="F48" s="8">
        <v>28</v>
      </c>
      <c r="G48" s="8">
        <v>6</v>
      </c>
      <c r="H48" s="8">
        <v>0</v>
      </c>
      <c r="I48" s="8">
        <v>1</v>
      </c>
    </row>
    <row r="49" spans="1:16" ht="15" x14ac:dyDescent="0.25">
      <c r="A49" s="11">
        <v>48</v>
      </c>
      <c r="B49" s="7">
        <v>8</v>
      </c>
      <c r="C49" s="8">
        <v>30</v>
      </c>
      <c r="D49" s="9">
        <v>6</v>
      </c>
      <c r="E49" s="8">
        <v>30</v>
      </c>
      <c r="F49" s="8">
        <v>36</v>
      </c>
      <c r="G49" s="8">
        <v>6</v>
      </c>
      <c r="H49" s="8">
        <v>2</v>
      </c>
      <c r="I49" s="8">
        <v>0</v>
      </c>
    </row>
    <row r="50" spans="1:16" ht="15" x14ac:dyDescent="0.25">
      <c r="A50" s="11">
        <v>49</v>
      </c>
      <c r="B50" s="7">
        <v>2</v>
      </c>
      <c r="C50" s="8">
        <v>32</v>
      </c>
      <c r="D50" s="9">
        <v>2</v>
      </c>
      <c r="E50" s="8">
        <v>36</v>
      </c>
      <c r="F50" s="8">
        <v>38</v>
      </c>
      <c r="G50" s="8">
        <v>6</v>
      </c>
      <c r="H50" s="8">
        <v>0</v>
      </c>
      <c r="I50" s="8">
        <v>4</v>
      </c>
    </row>
    <row r="51" spans="1:16" ht="15" x14ac:dyDescent="0.25">
      <c r="A51" s="11">
        <v>50</v>
      </c>
      <c r="B51" s="7">
        <v>6</v>
      </c>
      <c r="C51" s="8">
        <v>38</v>
      </c>
      <c r="D51" s="9">
        <v>5</v>
      </c>
      <c r="E51" s="8">
        <v>38</v>
      </c>
      <c r="F51" s="8">
        <v>43</v>
      </c>
      <c r="G51" s="8">
        <v>5</v>
      </c>
      <c r="H51" s="8">
        <v>0</v>
      </c>
      <c r="I51" s="8">
        <v>0</v>
      </c>
    </row>
    <row r="52" spans="1:16" ht="15" x14ac:dyDescent="0.25">
      <c r="A52" s="11">
        <v>51</v>
      </c>
      <c r="B52" s="7">
        <v>4</v>
      </c>
      <c r="C52" s="8">
        <v>42</v>
      </c>
      <c r="D52" s="9">
        <v>4</v>
      </c>
      <c r="E52" s="8">
        <v>43</v>
      </c>
      <c r="F52" s="8">
        <v>47</v>
      </c>
      <c r="G52" s="8">
        <v>5</v>
      </c>
      <c r="H52" s="8">
        <v>0</v>
      </c>
      <c r="I52" s="8">
        <v>1</v>
      </c>
    </row>
    <row r="53" spans="1:16" ht="15" x14ac:dyDescent="0.25">
      <c r="A53" s="11">
        <v>52</v>
      </c>
      <c r="B53" s="7">
        <v>1</v>
      </c>
      <c r="C53" s="8">
        <v>43</v>
      </c>
      <c r="D53" s="9">
        <v>3</v>
      </c>
      <c r="E53" s="8">
        <v>47</v>
      </c>
      <c r="F53" s="8">
        <v>50</v>
      </c>
      <c r="G53" s="8">
        <v>7</v>
      </c>
      <c r="H53" s="8">
        <v>0</v>
      </c>
      <c r="I53" s="8">
        <v>4</v>
      </c>
    </row>
    <row r="54" spans="1:16" ht="15" x14ac:dyDescent="0.25">
      <c r="A54" s="11">
        <v>53</v>
      </c>
      <c r="B54" s="7">
        <v>8</v>
      </c>
      <c r="C54" s="8">
        <v>51</v>
      </c>
      <c r="D54" s="9">
        <v>3</v>
      </c>
      <c r="E54" s="8">
        <v>51</v>
      </c>
      <c r="F54" s="8">
        <v>54</v>
      </c>
      <c r="G54" s="8">
        <v>3</v>
      </c>
      <c r="H54" s="8">
        <v>1</v>
      </c>
      <c r="I54" s="8">
        <v>0</v>
      </c>
    </row>
    <row r="55" spans="1:16" ht="15" x14ac:dyDescent="0.25">
      <c r="A55" s="11">
        <v>54</v>
      </c>
      <c r="B55" s="7">
        <v>3</v>
      </c>
      <c r="C55" s="8">
        <v>54</v>
      </c>
      <c r="D55" s="9">
        <v>1</v>
      </c>
      <c r="E55" s="8">
        <v>54</v>
      </c>
      <c r="F55" s="8">
        <v>55</v>
      </c>
      <c r="G55" s="8">
        <v>1</v>
      </c>
      <c r="H55" s="8">
        <v>0</v>
      </c>
      <c r="I55" s="8">
        <v>0</v>
      </c>
    </row>
    <row r="56" spans="1:16" ht="39" x14ac:dyDescent="0.25">
      <c r="A56" s="11">
        <v>55</v>
      </c>
      <c r="B56" s="7">
        <v>1</v>
      </c>
      <c r="C56" s="8">
        <v>55</v>
      </c>
      <c r="D56" s="9">
        <v>4</v>
      </c>
      <c r="E56" s="8">
        <v>55</v>
      </c>
      <c r="F56" s="8">
        <v>59</v>
      </c>
      <c r="G56" s="8">
        <v>4</v>
      </c>
      <c r="H56" s="8">
        <v>0</v>
      </c>
      <c r="I56" s="8">
        <v>0</v>
      </c>
      <c r="K56" s="53"/>
      <c r="L56" s="53" t="s">
        <v>11</v>
      </c>
      <c r="M56" s="53" t="s">
        <v>12</v>
      </c>
      <c r="N56" s="53" t="s">
        <v>13</v>
      </c>
      <c r="O56" s="53" t="s">
        <v>14</v>
      </c>
      <c r="P56" s="53" t="s">
        <v>15</v>
      </c>
    </row>
    <row r="57" spans="1:16" ht="15" x14ac:dyDescent="0.25">
      <c r="A57" s="11">
        <v>56</v>
      </c>
      <c r="B57" s="7">
        <v>9</v>
      </c>
      <c r="C57" s="8">
        <v>64</v>
      </c>
      <c r="D57" s="9">
        <v>1</v>
      </c>
      <c r="E57" s="8">
        <v>64</v>
      </c>
      <c r="F57" s="8">
        <v>65</v>
      </c>
      <c r="G57" s="8">
        <v>1</v>
      </c>
      <c r="H57" s="8">
        <v>5</v>
      </c>
      <c r="I57" s="8">
        <v>0</v>
      </c>
      <c r="K57" s="50"/>
      <c r="L57" s="50">
        <v>3.6</v>
      </c>
      <c r="M57" s="50">
        <v>0.53459999999999996</v>
      </c>
      <c r="N57" s="50">
        <v>0.35</v>
      </c>
      <c r="O57" s="50">
        <v>0.15</v>
      </c>
      <c r="P57" s="50">
        <v>2.3330000000000002</v>
      </c>
    </row>
    <row r="58" spans="1:16" ht="15" x14ac:dyDescent="0.25">
      <c r="A58" s="11">
        <v>57</v>
      </c>
      <c r="B58" s="7">
        <v>8</v>
      </c>
      <c r="C58" s="8">
        <v>72</v>
      </c>
      <c r="D58" s="9">
        <v>3</v>
      </c>
      <c r="E58" s="8">
        <v>72</v>
      </c>
      <c r="F58" s="8">
        <v>75</v>
      </c>
      <c r="G58" s="8">
        <v>3</v>
      </c>
      <c r="H58" s="8">
        <v>7</v>
      </c>
      <c r="I58" s="8">
        <v>0</v>
      </c>
      <c r="K58" s="50"/>
      <c r="L58" s="50">
        <v>4</v>
      </c>
      <c r="M58" s="50">
        <v>0.40928270042194093</v>
      </c>
      <c r="N58" s="50">
        <v>0.4</v>
      </c>
      <c r="O58" s="50">
        <v>0.22500000000000001</v>
      </c>
      <c r="P58" s="50">
        <v>1.7777777777777777</v>
      </c>
    </row>
    <row r="59" spans="1:16" ht="15" x14ac:dyDescent="0.25">
      <c r="A59" s="11">
        <v>58</v>
      </c>
      <c r="B59" s="7">
        <v>4</v>
      </c>
      <c r="C59" s="8">
        <v>76</v>
      </c>
      <c r="D59" s="9">
        <v>6</v>
      </c>
      <c r="E59" s="8">
        <v>76</v>
      </c>
      <c r="F59" s="8">
        <v>82</v>
      </c>
      <c r="G59" s="8">
        <v>6</v>
      </c>
      <c r="H59" s="8">
        <v>1</v>
      </c>
      <c r="I59" s="8">
        <v>0</v>
      </c>
      <c r="K59" s="50"/>
      <c r="L59" s="50">
        <f>(SUM(G2:G61)/60)</f>
        <v>4.1500000000000004</v>
      </c>
      <c r="M59" s="50">
        <f>(SUM(H2:H61)/(F41+F61+F21))</f>
        <v>0.35562310030395139</v>
      </c>
      <c r="N59" s="50">
        <f>SUM(I2:I61)/60</f>
        <v>0.55000000000000004</v>
      </c>
      <c r="O59" s="50">
        <f>17/60</f>
        <v>0.28333333333333333</v>
      </c>
      <c r="P59" s="50">
        <f>SUM(I2:I61)/17</f>
        <v>1.9411764705882353</v>
      </c>
    </row>
    <row r="60" spans="1:16" ht="15" x14ac:dyDescent="0.25">
      <c r="A60" s="11">
        <v>59</v>
      </c>
      <c r="B60" s="7">
        <v>4</v>
      </c>
      <c r="C60" s="8">
        <v>80</v>
      </c>
      <c r="D60" s="9">
        <v>3</v>
      </c>
      <c r="E60" s="8">
        <v>82</v>
      </c>
      <c r="F60" s="8">
        <v>85</v>
      </c>
      <c r="G60" s="8">
        <v>5</v>
      </c>
      <c r="H60" s="8">
        <v>0</v>
      </c>
      <c r="I60" s="8">
        <v>2</v>
      </c>
      <c r="K60" s="51" t="s">
        <v>45</v>
      </c>
      <c r="L60" s="50">
        <f>AVERAGE(L57:L59)</f>
        <v>3.9166666666666665</v>
      </c>
      <c r="M60" s="50">
        <f t="shared" ref="M60:P60" si="2">AVERAGE(M57:M59)</f>
        <v>0.43316860024196407</v>
      </c>
      <c r="N60" s="50">
        <f t="shared" si="2"/>
        <v>0.43333333333333335</v>
      </c>
      <c r="O60" s="50">
        <f t="shared" si="2"/>
        <v>0.21944444444444444</v>
      </c>
      <c r="P60" s="50">
        <f t="shared" si="2"/>
        <v>2.017318082788671</v>
      </c>
    </row>
    <row r="61" spans="1:16" ht="15" x14ac:dyDescent="0.25">
      <c r="A61" s="11">
        <v>60</v>
      </c>
      <c r="B61" s="7">
        <v>8</v>
      </c>
      <c r="C61" s="8">
        <v>88</v>
      </c>
      <c r="D61" s="9">
        <v>4</v>
      </c>
      <c r="E61" s="8">
        <v>88</v>
      </c>
      <c r="F61" s="8">
        <v>92</v>
      </c>
      <c r="G61" s="8">
        <v>4</v>
      </c>
      <c r="H61" s="8">
        <v>3</v>
      </c>
      <c r="I61" s="8">
        <v>0</v>
      </c>
      <c r="K61" s="51" t="s">
        <v>46</v>
      </c>
      <c r="L61" s="50">
        <f>STDEVA(L57:L59)</f>
        <v>0.28431203515386644</v>
      </c>
      <c r="M61" s="50">
        <f t="shared" ref="M61:P61" si="3">STDEVA(M57:M59)</f>
        <v>9.1848161733708883E-2</v>
      </c>
      <c r="N61" s="50">
        <f t="shared" si="3"/>
        <v>0.10408329997330677</v>
      </c>
      <c r="O61" s="50">
        <f t="shared" si="3"/>
        <v>6.6840052308422021E-2</v>
      </c>
      <c r="P61" s="50">
        <f t="shared" si="3"/>
        <v>0.28533504489232736</v>
      </c>
    </row>
    <row r="62" spans="1:16" ht="15" x14ac:dyDescent="0.25">
      <c r="A62" s="11">
        <v>61</v>
      </c>
      <c r="B62" s="7"/>
      <c r="C62" s="8">
        <v>0</v>
      </c>
      <c r="D62" s="9">
        <v>5</v>
      </c>
      <c r="E62" s="8">
        <v>0</v>
      </c>
      <c r="F62" s="8">
        <v>5</v>
      </c>
      <c r="G62" s="8">
        <v>5</v>
      </c>
      <c r="H62" s="8">
        <v>0</v>
      </c>
      <c r="I62" s="8">
        <v>0</v>
      </c>
    </row>
    <row r="63" spans="1:16" ht="15" x14ac:dyDescent="0.25">
      <c r="A63" s="11">
        <v>62</v>
      </c>
      <c r="B63" s="7">
        <v>5</v>
      </c>
      <c r="C63" s="8">
        <v>5</v>
      </c>
      <c r="D63" s="9">
        <v>6</v>
      </c>
      <c r="E63" s="8">
        <v>5</v>
      </c>
      <c r="F63" s="8">
        <v>11</v>
      </c>
      <c r="G63" s="8">
        <v>6</v>
      </c>
      <c r="H63" s="8">
        <v>0</v>
      </c>
      <c r="I63" s="8">
        <v>0</v>
      </c>
    </row>
    <row r="64" spans="1:16" ht="15" x14ac:dyDescent="0.25">
      <c r="A64" s="11">
        <v>63</v>
      </c>
      <c r="B64" s="7">
        <v>1</v>
      </c>
      <c r="C64" s="8">
        <v>6</v>
      </c>
      <c r="D64" s="9">
        <v>4</v>
      </c>
      <c r="E64" s="8">
        <v>11</v>
      </c>
      <c r="F64" s="8">
        <v>15</v>
      </c>
      <c r="G64" s="8">
        <v>9</v>
      </c>
      <c r="H64" s="8">
        <v>0</v>
      </c>
      <c r="I64" s="8">
        <v>5</v>
      </c>
    </row>
    <row r="65" spans="1:17" ht="15" x14ac:dyDescent="0.25">
      <c r="A65" s="11">
        <v>64</v>
      </c>
      <c r="B65" s="7">
        <v>4</v>
      </c>
      <c r="C65" s="8">
        <v>10</v>
      </c>
      <c r="D65" s="9">
        <v>6</v>
      </c>
      <c r="E65" s="8">
        <v>15</v>
      </c>
      <c r="F65" s="8">
        <v>21</v>
      </c>
      <c r="G65" s="8">
        <v>11</v>
      </c>
      <c r="H65" s="8">
        <v>0</v>
      </c>
      <c r="I65" s="8">
        <v>5</v>
      </c>
    </row>
    <row r="66" spans="1:17" ht="15" x14ac:dyDescent="0.25">
      <c r="A66" s="11">
        <v>65</v>
      </c>
      <c r="B66" s="7">
        <v>5</v>
      </c>
      <c r="C66" s="8">
        <v>15</v>
      </c>
      <c r="D66" s="9">
        <v>1</v>
      </c>
      <c r="E66" s="8">
        <v>21</v>
      </c>
      <c r="F66" s="8">
        <v>22</v>
      </c>
      <c r="G66" s="8">
        <v>7</v>
      </c>
      <c r="H66" s="8">
        <v>0</v>
      </c>
      <c r="I66" s="8">
        <v>6</v>
      </c>
    </row>
    <row r="67" spans="1:17" ht="15" x14ac:dyDescent="0.25">
      <c r="A67" s="11">
        <v>66</v>
      </c>
      <c r="B67" s="7">
        <v>3</v>
      </c>
      <c r="C67" s="8">
        <v>18</v>
      </c>
      <c r="D67" s="9">
        <v>4</v>
      </c>
      <c r="E67" s="8">
        <v>22</v>
      </c>
      <c r="F67" s="8">
        <v>26</v>
      </c>
      <c r="G67" s="8">
        <v>8</v>
      </c>
      <c r="H67" s="8">
        <v>0</v>
      </c>
      <c r="I67" s="8">
        <v>4</v>
      </c>
    </row>
    <row r="68" spans="1:17" ht="15" x14ac:dyDescent="0.25">
      <c r="A68" s="11">
        <v>67</v>
      </c>
      <c r="B68" s="7">
        <v>5</v>
      </c>
      <c r="C68" s="8">
        <v>23</v>
      </c>
      <c r="D68" s="9">
        <v>4</v>
      </c>
      <c r="E68" s="8">
        <v>26</v>
      </c>
      <c r="F68" s="8">
        <v>30</v>
      </c>
      <c r="G68" s="8">
        <v>7</v>
      </c>
      <c r="H68" s="8">
        <v>0</v>
      </c>
      <c r="I68" s="8">
        <v>3</v>
      </c>
    </row>
    <row r="69" spans="1:17" ht="15" x14ac:dyDescent="0.25">
      <c r="A69" s="11">
        <v>68</v>
      </c>
      <c r="B69" s="7">
        <v>8</v>
      </c>
      <c r="C69" s="8">
        <v>31</v>
      </c>
      <c r="D69" s="9">
        <v>2</v>
      </c>
      <c r="E69" s="8">
        <v>31</v>
      </c>
      <c r="F69" s="8">
        <v>33</v>
      </c>
      <c r="G69" s="8">
        <v>2</v>
      </c>
      <c r="H69" s="8">
        <v>1</v>
      </c>
      <c r="I69" s="8">
        <v>0</v>
      </c>
    </row>
    <row r="70" spans="1:17" ht="15" x14ac:dyDescent="0.25">
      <c r="A70" s="11">
        <v>69</v>
      </c>
      <c r="B70" s="7">
        <v>7</v>
      </c>
      <c r="C70" s="8">
        <v>38</v>
      </c>
      <c r="D70" s="9">
        <v>3</v>
      </c>
      <c r="E70" s="8">
        <v>38</v>
      </c>
      <c r="F70" s="8">
        <v>41</v>
      </c>
      <c r="G70" s="8">
        <v>3</v>
      </c>
      <c r="H70" s="8">
        <v>5</v>
      </c>
      <c r="I70" s="8">
        <v>0</v>
      </c>
    </row>
    <row r="71" spans="1:17" ht="15" x14ac:dyDescent="0.25">
      <c r="A71" s="11">
        <v>70</v>
      </c>
      <c r="B71" s="7">
        <v>7</v>
      </c>
      <c r="C71" s="8">
        <v>45</v>
      </c>
      <c r="D71" s="9">
        <v>3</v>
      </c>
      <c r="E71" s="8">
        <v>45</v>
      </c>
      <c r="F71" s="8">
        <v>48</v>
      </c>
      <c r="G71" s="8">
        <v>3</v>
      </c>
      <c r="H71" s="8">
        <v>4</v>
      </c>
      <c r="I71" s="8">
        <v>0</v>
      </c>
    </row>
    <row r="72" spans="1:17" ht="15" x14ac:dyDescent="0.25">
      <c r="A72" s="11">
        <v>71</v>
      </c>
      <c r="B72" s="7">
        <v>2</v>
      </c>
      <c r="C72" s="8">
        <v>47</v>
      </c>
      <c r="D72" s="9">
        <v>3</v>
      </c>
      <c r="E72" s="8">
        <v>48</v>
      </c>
      <c r="F72" s="8">
        <v>51</v>
      </c>
      <c r="G72" s="8">
        <v>4</v>
      </c>
      <c r="H72" s="8">
        <v>0</v>
      </c>
      <c r="I72" s="8">
        <v>1</v>
      </c>
    </row>
    <row r="73" spans="1:17" ht="15" x14ac:dyDescent="0.25">
      <c r="A73" s="11">
        <v>72</v>
      </c>
      <c r="B73" s="7">
        <v>6</v>
      </c>
      <c r="C73" s="8">
        <v>53</v>
      </c>
      <c r="D73" s="9">
        <v>4</v>
      </c>
      <c r="E73" s="8">
        <v>53</v>
      </c>
      <c r="F73" s="8">
        <v>57</v>
      </c>
      <c r="G73" s="8">
        <v>4</v>
      </c>
      <c r="H73" s="8">
        <v>2</v>
      </c>
      <c r="I73" s="8">
        <v>0</v>
      </c>
    </row>
    <row r="74" spans="1:17" ht="15" x14ac:dyDescent="0.25">
      <c r="A74" s="11">
        <v>73</v>
      </c>
      <c r="B74" s="7">
        <v>7</v>
      </c>
      <c r="C74" s="8">
        <v>60</v>
      </c>
      <c r="D74" s="9">
        <v>1</v>
      </c>
      <c r="E74" s="8">
        <v>60</v>
      </c>
      <c r="F74" s="8">
        <v>61</v>
      </c>
      <c r="G74" s="8">
        <v>1</v>
      </c>
      <c r="H74" s="8">
        <v>3</v>
      </c>
      <c r="I74" s="8">
        <v>0</v>
      </c>
    </row>
    <row r="75" spans="1:17" ht="39" x14ac:dyDescent="0.25">
      <c r="A75" s="11">
        <v>74</v>
      </c>
      <c r="B75" s="7">
        <v>6</v>
      </c>
      <c r="C75" s="8">
        <v>66</v>
      </c>
      <c r="D75" s="9">
        <v>3</v>
      </c>
      <c r="E75" s="8">
        <v>66</v>
      </c>
      <c r="F75" s="8">
        <v>69</v>
      </c>
      <c r="G75" s="8">
        <v>3</v>
      </c>
      <c r="H75" s="8">
        <v>5</v>
      </c>
      <c r="I75" s="8">
        <v>0</v>
      </c>
      <c r="L75" s="50"/>
      <c r="M75" s="53" t="s">
        <v>11</v>
      </c>
      <c r="N75" s="53" t="s">
        <v>12</v>
      </c>
      <c r="O75" s="53" t="s">
        <v>13</v>
      </c>
      <c r="P75" s="53" t="s">
        <v>14</v>
      </c>
      <c r="Q75" s="53" t="s">
        <v>15</v>
      </c>
    </row>
    <row r="76" spans="1:17" ht="15" x14ac:dyDescent="0.25">
      <c r="A76" s="11">
        <v>75</v>
      </c>
      <c r="B76" s="7">
        <v>1</v>
      </c>
      <c r="C76" s="8">
        <v>67</v>
      </c>
      <c r="D76" s="9">
        <v>2</v>
      </c>
      <c r="E76" s="8">
        <v>69</v>
      </c>
      <c r="F76" s="8">
        <v>71</v>
      </c>
      <c r="G76" s="8">
        <v>4</v>
      </c>
      <c r="H76" s="8">
        <v>0</v>
      </c>
      <c r="I76" s="8">
        <v>2</v>
      </c>
      <c r="L76" s="50"/>
      <c r="M76" s="53">
        <v>3.6</v>
      </c>
      <c r="N76" s="53">
        <v>0.53459999999999996</v>
      </c>
      <c r="O76" s="53">
        <v>0.35</v>
      </c>
      <c r="P76" s="53">
        <v>0.15</v>
      </c>
      <c r="Q76" s="53">
        <v>2.3330000000000002</v>
      </c>
    </row>
    <row r="77" spans="1:17" ht="15" x14ac:dyDescent="0.25">
      <c r="A77" s="11">
        <v>76</v>
      </c>
      <c r="B77" s="7">
        <v>5</v>
      </c>
      <c r="C77" s="8">
        <v>72</v>
      </c>
      <c r="D77" s="9">
        <v>4</v>
      </c>
      <c r="E77" s="8">
        <v>72</v>
      </c>
      <c r="F77" s="8">
        <v>76</v>
      </c>
      <c r="G77" s="8">
        <v>4</v>
      </c>
      <c r="H77" s="8">
        <v>1</v>
      </c>
      <c r="I77" s="8">
        <v>0</v>
      </c>
      <c r="L77" s="50"/>
      <c r="M77" s="53">
        <v>4</v>
      </c>
      <c r="N77" s="53">
        <v>0.40928270042194093</v>
      </c>
      <c r="O77" s="53">
        <v>0.4</v>
      </c>
      <c r="P77" s="53">
        <v>0.22500000000000001</v>
      </c>
      <c r="Q77" s="53">
        <v>1.7777777777777777</v>
      </c>
    </row>
    <row r="78" spans="1:17" ht="15" x14ac:dyDescent="0.25">
      <c r="A78" s="11">
        <v>77</v>
      </c>
      <c r="B78" s="7">
        <v>1</v>
      </c>
      <c r="C78" s="8">
        <v>82</v>
      </c>
      <c r="D78" s="9">
        <v>2</v>
      </c>
      <c r="E78" s="8">
        <v>82</v>
      </c>
      <c r="F78" s="8">
        <v>84</v>
      </c>
      <c r="G78" s="8">
        <v>2</v>
      </c>
      <c r="H78" s="8">
        <v>6</v>
      </c>
      <c r="I78" s="8">
        <v>0</v>
      </c>
      <c r="L78" s="50"/>
      <c r="M78" s="53">
        <v>4.1500000000000004</v>
      </c>
      <c r="N78" s="53">
        <v>0.35562310030395139</v>
      </c>
      <c r="O78" s="53">
        <v>0.55000000000000004</v>
      </c>
      <c r="P78" s="53">
        <v>0.28333333333333333</v>
      </c>
      <c r="Q78" s="53">
        <v>1.9411764705882353</v>
      </c>
    </row>
    <row r="79" spans="1:17" ht="15" x14ac:dyDescent="0.25">
      <c r="A79" s="11">
        <v>78</v>
      </c>
      <c r="B79" s="7">
        <v>7</v>
      </c>
      <c r="C79" s="8">
        <v>89</v>
      </c>
      <c r="D79" s="9">
        <v>5</v>
      </c>
      <c r="E79" s="8">
        <v>89</v>
      </c>
      <c r="F79" s="8">
        <v>94</v>
      </c>
      <c r="G79" s="8">
        <v>5</v>
      </c>
      <c r="H79" s="8">
        <v>5</v>
      </c>
      <c r="I79" s="8">
        <v>0</v>
      </c>
      <c r="L79" s="50"/>
      <c r="M79" s="50">
        <f>(SUM(G2:G81)/80)</f>
        <v>4.3375000000000004</v>
      </c>
      <c r="N79" s="50">
        <f>(SUM(H2:H81)/(F61+F81+F41+F21))</f>
        <v>0.34731934731934733</v>
      </c>
      <c r="O79" s="50">
        <f>SUM(I2:I81)/80</f>
        <v>0.78749999999999998</v>
      </c>
      <c r="P79" s="50">
        <f>26/80</f>
        <v>0.32500000000000001</v>
      </c>
      <c r="Q79" s="50">
        <f>SUM(I2:I81)/26</f>
        <v>2.4230769230769229</v>
      </c>
    </row>
    <row r="80" spans="1:17" ht="15" x14ac:dyDescent="0.25">
      <c r="A80" s="11">
        <v>79</v>
      </c>
      <c r="B80" s="7">
        <v>3</v>
      </c>
      <c r="C80" s="8">
        <v>92</v>
      </c>
      <c r="D80" s="9">
        <v>4</v>
      </c>
      <c r="E80" s="8">
        <v>94</v>
      </c>
      <c r="F80" s="8">
        <v>98</v>
      </c>
      <c r="G80" s="8">
        <v>6</v>
      </c>
      <c r="H80" s="8">
        <v>0</v>
      </c>
      <c r="I80" s="8">
        <v>2</v>
      </c>
      <c r="L80" s="51" t="s">
        <v>45</v>
      </c>
      <c r="M80" s="50">
        <f>AVERAGE(M76:M79)</f>
        <v>4.0218749999999996</v>
      </c>
      <c r="N80" s="50">
        <f t="shared" ref="N80:Q80" si="4">AVERAGE(N76:N79)</f>
        <v>0.41170628701130985</v>
      </c>
      <c r="O80" s="50">
        <f t="shared" si="4"/>
        <v>0.52187499999999998</v>
      </c>
      <c r="P80" s="50">
        <f t="shared" si="4"/>
        <v>0.24583333333333335</v>
      </c>
      <c r="Q80" s="50">
        <f t="shared" si="4"/>
        <v>2.118757792860734</v>
      </c>
    </row>
    <row r="81" spans="1:17" ht="15" x14ac:dyDescent="0.25">
      <c r="A81" s="11">
        <v>80</v>
      </c>
      <c r="B81" s="7">
        <v>4</v>
      </c>
      <c r="C81" s="8">
        <v>96</v>
      </c>
      <c r="D81" s="9">
        <v>2</v>
      </c>
      <c r="E81" s="8">
        <v>98</v>
      </c>
      <c r="F81" s="8">
        <v>100</v>
      </c>
      <c r="G81" s="8">
        <v>4</v>
      </c>
      <c r="H81" s="8">
        <v>0</v>
      </c>
      <c r="I81" s="8">
        <v>2</v>
      </c>
      <c r="L81" s="51" t="s">
        <v>47</v>
      </c>
      <c r="M81" s="50">
        <f>STDEVA(M76:M79)</f>
        <v>0.3133114464873572</v>
      </c>
      <c r="N81" s="50">
        <f t="shared" ref="N81:Q81" si="5">STDEVA(N76:N79)</f>
        <v>8.6409375066697783E-2</v>
      </c>
      <c r="O81" s="50">
        <f t="shared" si="5"/>
        <v>0.19641977794169979</v>
      </c>
      <c r="P81" s="50">
        <f t="shared" si="5"/>
        <v>7.5920279826202461E-2</v>
      </c>
      <c r="Q81" s="50">
        <f t="shared" si="5"/>
        <v>0.30892952434790222</v>
      </c>
    </row>
    <row r="82" spans="1:17" ht="15" x14ac:dyDescent="0.25">
      <c r="A82" s="11">
        <v>81</v>
      </c>
      <c r="B82" s="7"/>
      <c r="C82" s="8">
        <v>0</v>
      </c>
      <c r="D82" s="9">
        <v>1</v>
      </c>
      <c r="E82" s="8">
        <v>0</v>
      </c>
      <c r="F82" s="8">
        <v>1</v>
      </c>
      <c r="G82" s="8">
        <v>1</v>
      </c>
      <c r="H82" s="8">
        <v>0</v>
      </c>
      <c r="I82" s="8">
        <v>0</v>
      </c>
    </row>
    <row r="83" spans="1:17" ht="15" x14ac:dyDescent="0.25">
      <c r="A83" s="11">
        <v>82</v>
      </c>
      <c r="B83" s="7">
        <v>8</v>
      </c>
      <c r="C83" s="8">
        <v>8</v>
      </c>
      <c r="D83" s="9">
        <v>3</v>
      </c>
      <c r="E83" s="8">
        <v>8</v>
      </c>
      <c r="F83" s="8">
        <v>11</v>
      </c>
      <c r="G83" s="8">
        <v>3</v>
      </c>
      <c r="H83" s="8">
        <v>7</v>
      </c>
      <c r="I83" s="8">
        <v>0</v>
      </c>
    </row>
    <row r="84" spans="1:17" ht="15" x14ac:dyDescent="0.25">
      <c r="A84" s="11">
        <v>83</v>
      </c>
      <c r="B84" s="7">
        <v>8</v>
      </c>
      <c r="C84" s="8">
        <v>16</v>
      </c>
      <c r="D84" s="9">
        <v>4</v>
      </c>
      <c r="E84" s="8">
        <v>16</v>
      </c>
      <c r="F84" s="8">
        <v>20</v>
      </c>
      <c r="G84" s="8">
        <v>4</v>
      </c>
      <c r="H84" s="8">
        <v>5</v>
      </c>
      <c r="I84" s="8">
        <v>0</v>
      </c>
    </row>
    <row r="85" spans="1:17" ht="15" x14ac:dyDescent="0.25">
      <c r="A85" s="11">
        <v>84</v>
      </c>
      <c r="B85" s="7">
        <v>5</v>
      </c>
      <c r="C85" s="8">
        <v>21</v>
      </c>
      <c r="D85" s="9">
        <v>2</v>
      </c>
      <c r="E85" s="8">
        <v>21</v>
      </c>
      <c r="F85" s="8">
        <v>23</v>
      </c>
      <c r="G85" s="8">
        <v>2</v>
      </c>
      <c r="H85" s="8">
        <v>1</v>
      </c>
      <c r="I85" s="8">
        <v>0</v>
      </c>
    </row>
    <row r="86" spans="1:17" ht="15" x14ac:dyDescent="0.25">
      <c r="A86" s="11">
        <v>85</v>
      </c>
      <c r="B86" s="7">
        <v>2</v>
      </c>
      <c r="C86" s="8">
        <v>23</v>
      </c>
      <c r="D86" s="9">
        <v>3</v>
      </c>
      <c r="E86" s="8">
        <v>23</v>
      </c>
      <c r="F86" s="8">
        <v>26</v>
      </c>
      <c r="G86" s="8">
        <v>3</v>
      </c>
      <c r="H86" s="8">
        <v>0</v>
      </c>
      <c r="I86" s="8">
        <v>0</v>
      </c>
    </row>
    <row r="87" spans="1:17" ht="15" x14ac:dyDescent="0.25">
      <c r="A87" s="11">
        <v>86</v>
      </c>
      <c r="B87" s="7">
        <v>9</v>
      </c>
      <c r="C87" s="8">
        <v>32</v>
      </c>
      <c r="D87" s="9">
        <v>1</v>
      </c>
      <c r="E87" s="8">
        <v>32</v>
      </c>
      <c r="F87" s="8">
        <v>33</v>
      </c>
      <c r="G87" s="8">
        <v>1</v>
      </c>
      <c r="H87" s="8">
        <v>6</v>
      </c>
      <c r="I87" s="8">
        <v>0</v>
      </c>
    </row>
    <row r="88" spans="1:17" ht="15" x14ac:dyDescent="0.25">
      <c r="A88" s="11">
        <v>87</v>
      </c>
      <c r="B88" s="7">
        <v>2</v>
      </c>
      <c r="C88" s="8">
        <v>34</v>
      </c>
      <c r="D88" s="9">
        <v>6</v>
      </c>
      <c r="E88" s="8">
        <v>34</v>
      </c>
      <c r="F88" s="8">
        <v>40</v>
      </c>
      <c r="G88" s="8">
        <v>6</v>
      </c>
      <c r="H88" s="8">
        <v>1</v>
      </c>
      <c r="I88" s="8">
        <v>0</v>
      </c>
    </row>
    <row r="89" spans="1:17" ht="15" x14ac:dyDescent="0.25">
      <c r="A89" s="11">
        <v>88</v>
      </c>
      <c r="B89" s="7">
        <v>6</v>
      </c>
      <c r="C89" s="8">
        <v>40</v>
      </c>
      <c r="D89" s="9">
        <v>1</v>
      </c>
      <c r="E89" s="8">
        <v>40</v>
      </c>
      <c r="F89" s="8">
        <v>41</v>
      </c>
      <c r="G89" s="8">
        <v>1</v>
      </c>
      <c r="H89" s="8">
        <v>0</v>
      </c>
      <c r="I89" s="8">
        <v>0</v>
      </c>
    </row>
    <row r="90" spans="1:17" ht="15" x14ac:dyDescent="0.25">
      <c r="A90" s="11">
        <v>89</v>
      </c>
      <c r="B90" s="7">
        <v>1</v>
      </c>
      <c r="C90" s="8">
        <v>41</v>
      </c>
      <c r="D90" s="9">
        <v>2</v>
      </c>
      <c r="E90" s="8">
        <v>41</v>
      </c>
      <c r="F90" s="8">
        <v>43</v>
      </c>
      <c r="G90" s="8">
        <v>2</v>
      </c>
      <c r="H90" s="8">
        <v>0</v>
      </c>
      <c r="I90" s="8">
        <v>0</v>
      </c>
    </row>
    <row r="91" spans="1:17" ht="15" x14ac:dyDescent="0.25">
      <c r="A91" s="11">
        <v>90</v>
      </c>
      <c r="B91" s="7">
        <v>4</v>
      </c>
      <c r="C91" s="8">
        <v>45</v>
      </c>
      <c r="D91" s="9">
        <v>6</v>
      </c>
      <c r="E91" s="8">
        <v>45</v>
      </c>
      <c r="F91" s="8">
        <v>51</v>
      </c>
      <c r="G91" s="8">
        <v>6</v>
      </c>
      <c r="H91" s="8">
        <v>2</v>
      </c>
      <c r="I91" s="8">
        <v>0</v>
      </c>
    </row>
    <row r="92" spans="1:17" ht="15" x14ac:dyDescent="0.25">
      <c r="A92" s="11">
        <v>91</v>
      </c>
      <c r="B92" s="7">
        <v>6</v>
      </c>
      <c r="C92" s="8">
        <v>51</v>
      </c>
      <c r="D92" s="9">
        <v>6</v>
      </c>
      <c r="E92" s="8">
        <v>51</v>
      </c>
      <c r="F92" s="8">
        <v>57</v>
      </c>
      <c r="G92" s="8">
        <v>6</v>
      </c>
      <c r="H92" s="8">
        <v>0</v>
      </c>
      <c r="I92" s="8">
        <v>0</v>
      </c>
    </row>
    <row r="93" spans="1:17" ht="15" x14ac:dyDescent="0.25">
      <c r="A93" s="11">
        <v>92</v>
      </c>
      <c r="B93" s="7">
        <v>5</v>
      </c>
      <c r="C93" s="8">
        <v>56</v>
      </c>
      <c r="D93" s="9">
        <v>3</v>
      </c>
      <c r="E93" s="8">
        <v>57</v>
      </c>
      <c r="F93" s="8">
        <v>60</v>
      </c>
      <c r="G93" s="8">
        <v>4</v>
      </c>
      <c r="H93" s="8">
        <v>0</v>
      </c>
      <c r="I93" s="8">
        <v>1</v>
      </c>
    </row>
    <row r="94" spans="1:17" ht="15" x14ac:dyDescent="0.25">
      <c r="A94" s="11">
        <v>93</v>
      </c>
      <c r="B94" s="7">
        <v>7</v>
      </c>
      <c r="C94" s="8">
        <v>63</v>
      </c>
      <c r="D94" s="9">
        <v>1</v>
      </c>
      <c r="E94" s="8">
        <v>63</v>
      </c>
      <c r="F94" s="8">
        <v>64</v>
      </c>
      <c r="G94" s="8">
        <v>1</v>
      </c>
      <c r="H94" s="8">
        <v>3</v>
      </c>
      <c r="I94" s="8">
        <v>0</v>
      </c>
    </row>
    <row r="95" spans="1:17" ht="15" x14ac:dyDescent="0.25">
      <c r="A95" s="11">
        <v>94</v>
      </c>
      <c r="B95" s="7">
        <v>2</v>
      </c>
      <c r="C95" s="8">
        <v>65</v>
      </c>
      <c r="D95" s="9">
        <v>6</v>
      </c>
      <c r="E95" s="8">
        <v>65</v>
      </c>
      <c r="F95" s="8">
        <v>71</v>
      </c>
      <c r="G95" s="8">
        <v>6</v>
      </c>
      <c r="H95" s="8">
        <v>1</v>
      </c>
      <c r="I95" s="8">
        <v>0</v>
      </c>
    </row>
    <row r="96" spans="1:17" ht="15" x14ac:dyDescent="0.25">
      <c r="A96" s="11">
        <v>95</v>
      </c>
      <c r="B96" s="7">
        <v>3</v>
      </c>
      <c r="C96" s="8">
        <v>68</v>
      </c>
      <c r="D96" s="9">
        <v>3</v>
      </c>
      <c r="E96" s="8">
        <v>71</v>
      </c>
      <c r="F96" s="8">
        <v>74</v>
      </c>
      <c r="G96" s="8">
        <v>6</v>
      </c>
      <c r="H96" s="8">
        <v>0</v>
      </c>
      <c r="I96" s="8">
        <v>3</v>
      </c>
    </row>
    <row r="97" spans="1:17" ht="15" x14ac:dyDescent="0.25">
      <c r="A97" s="11">
        <v>96</v>
      </c>
      <c r="B97" s="7">
        <v>1</v>
      </c>
      <c r="C97" s="8">
        <v>69</v>
      </c>
      <c r="D97" s="9">
        <v>5</v>
      </c>
      <c r="E97" s="8">
        <v>74</v>
      </c>
      <c r="F97" s="8">
        <v>79</v>
      </c>
      <c r="G97" s="8">
        <v>10</v>
      </c>
      <c r="H97" s="8">
        <v>0</v>
      </c>
      <c r="I97" s="8">
        <v>5</v>
      </c>
    </row>
    <row r="98" spans="1:17" ht="39" x14ac:dyDescent="0.25">
      <c r="A98" s="11">
        <v>97</v>
      </c>
      <c r="B98" s="7">
        <v>4</v>
      </c>
      <c r="C98" s="8">
        <v>73</v>
      </c>
      <c r="D98" s="9">
        <v>5</v>
      </c>
      <c r="E98" s="8">
        <v>79</v>
      </c>
      <c r="F98" s="8">
        <v>84</v>
      </c>
      <c r="G98" s="8">
        <v>11</v>
      </c>
      <c r="H98" s="8">
        <v>0</v>
      </c>
      <c r="I98" s="8">
        <v>6</v>
      </c>
      <c r="M98" s="53" t="s">
        <v>11</v>
      </c>
      <c r="N98" s="53" t="s">
        <v>12</v>
      </c>
      <c r="O98" s="53" t="s">
        <v>13</v>
      </c>
      <c r="P98" s="53" t="s">
        <v>14</v>
      </c>
      <c r="Q98" s="53" t="s">
        <v>15</v>
      </c>
    </row>
    <row r="99" spans="1:17" ht="15" x14ac:dyDescent="0.25">
      <c r="A99" s="11">
        <v>98</v>
      </c>
      <c r="B99" s="7">
        <v>1</v>
      </c>
      <c r="C99" s="8">
        <v>74</v>
      </c>
      <c r="D99" s="9">
        <v>5</v>
      </c>
      <c r="E99" s="8">
        <v>84</v>
      </c>
      <c r="F99" s="8">
        <v>89</v>
      </c>
      <c r="G99" s="8">
        <v>15</v>
      </c>
      <c r="H99" s="8">
        <v>0</v>
      </c>
      <c r="I99" s="8">
        <v>10</v>
      </c>
      <c r="M99" s="53">
        <v>3.6</v>
      </c>
      <c r="N99" s="53">
        <v>0.53459999999999996</v>
      </c>
      <c r="O99" s="53">
        <v>0.35</v>
      </c>
      <c r="P99" s="53">
        <v>0.15</v>
      </c>
      <c r="Q99" s="53">
        <v>2.3330000000000002</v>
      </c>
    </row>
    <row r="100" spans="1:17" ht="15" x14ac:dyDescent="0.25">
      <c r="A100" s="11">
        <v>99</v>
      </c>
      <c r="B100" s="7">
        <v>8</v>
      </c>
      <c r="C100" s="8">
        <v>82</v>
      </c>
      <c r="D100" s="9">
        <v>4</v>
      </c>
      <c r="E100" s="8">
        <v>89</v>
      </c>
      <c r="F100" s="8">
        <v>93</v>
      </c>
      <c r="G100" s="8">
        <v>11</v>
      </c>
      <c r="H100" s="8">
        <v>0</v>
      </c>
      <c r="I100" s="8">
        <v>7</v>
      </c>
      <c r="M100" s="53">
        <v>4</v>
      </c>
      <c r="N100" s="53">
        <v>0.40928270042194093</v>
      </c>
      <c r="O100" s="53">
        <v>0.4</v>
      </c>
      <c r="P100" s="53">
        <v>0.22500000000000001</v>
      </c>
      <c r="Q100" s="53">
        <v>1.7777777777777777</v>
      </c>
    </row>
    <row r="101" spans="1:17" ht="15" x14ac:dyDescent="0.25">
      <c r="A101" s="11">
        <v>100</v>
      </c>
      <c r="B101" s="7">
        <v>8</v>
      </c>
      <c r="C101" s="8">
        <v>90</v>
      </c>
      <c r="D101" s="9">
        <v>6</v>
      </c>
      <c r="E101" s="8">
        <v>93</v>
      </c>
      <c r="F101" s="8">
        <v>99</v>
      </c>
      <c r="G101" s="8">
        <v>9</v>
      </c>
      <c r="H101" s="8">
        <v>0</v>
      </c>
      <c r="I101" s="8">
        <v>3</v>
      </c>
      <c r="M101" s="53">
        <v>4.1500000000000004</v>
      </c>
      <c r="N101" s="53">
        <v>0.35562310030395139</v>
      </c>
      <c r="O101" s="53">
        <v>0.55000000000000004</v>
      </c>
      <c r="P101" s="53">
        <v>0.28333333333333333</v>
      </c>
      <c r="Q101" s="53">
        <v>1.9411764705882353</v>
      </c>
    </row>
    <row r="102" spans="1:17" ht="15" x14ac:dyDescent="0.25">
      <c r="A102" s="11">
        <v>101</v>
      </c>
      <c r="B102" s="7"/>
      <c r="C102" s="8">
        <v>0</v>
      </c>
      <c r="D102" s="9">
        <v>2</v>
      </c>
      <c r="E102" s="8">
        <v>0</v>
      </c>
      <c r="F102" s="8">
        <v>2</v>
      </c>
      <c r="G102" s="8">
        <v>2</v>
      </c>
      <c r="H102" s="8">
        <v>0</v>
      </c>
      <c r="I102" s="8">
        <v>0</v>
      </c>
      <c r="M102" s="53">
        <v>4.3375000000000004</v>
      </c>
      <c r="N102" s="53">
        <v>0.34731934731934733</v>
      </c>
      <c r="O102" s="53">
        <v>0.78749999999999998</v>
      </c>
      <c r="P102" s="53">
        <v>0.32500000000000001</v>
      </c>
      <c r="Q102" s="53">
        <v>2.4230769230769229</v>
      </c>
    </row>
    <row r="103" spans="1:17" ht="15" x14ac:dyDescent="0.25">
      <c r="A103" s="11">
        <v>102</v>
      </c>
      <c r="B103" s="7">
        <v>7</v>
      </c>
      <c r="C103" s="8">
        <v>7</v>
      </c>
      <c r="D103" s="9">
        <v>4</v>
      </c>
      <c r="E103" s="8">
        <v>7</v>
      </c>
      <c r="F103" s="8">
        <v>11</v>
      </c>
      <c r="G103" s="8">
        <v>4</v>
      </c>
      <c r="H103" s="8">
        <v>5</v>
      </c>
      <c r="I103" s="8">
        <v>0</v>
      </c>
      <c r="M103" s="54">
        <f>(SUM(G2:G101)/100)</f>
        <v>4.55</v>
      </c>
      <c r="N103" s="54">
        <f>(SUM(H2:H101)/(F21+F41+F61+F81+F101))</f>
        <v>0.33143939393939392</v>
      </c>
      <c r="O103" s="54">
        <f>SUM(I2:I101)/100</f>
        <v>0.98</v>
      </c>
      <c r="P103" s="54">
        <f>(COUNTIF(I2:I101,"&gt;0")/100)</f>
        <v>0.33</v>
      </c>
      <c r="Q103" s="54">
        <f>SUM(I2:I101)/(COUNTIF(I2:I101,"&gt;0"))</f>
        <v>2.9696969696969697</v>
      </c>
    </row>
    <row r="104" spans="1:17" ht="15" x14ac:dyDescent="0.25">
      <c r="A104" s="11">
        <v>103</v>
      </c>
      <c r="B104" s="7">
        <v>1</v>
      </c>
      <c r="C104" s="8">
        <v>8</v>
      </c>
      <c r="D104" s="9">
        <v>3</v>
      </c>
      <c r="E104" s="8">
        <v>11</v>
      </c>
      <c r="F104" s="8">
        <v>14</v>
      </c>
      <c r="G104" s="8">
        <v>6</v>
      </c>
      <c r="H104" s="8">
        <v>0</v>
      </c>
      <c r="I104" s="8">
        <v>3</v>
      </c>
      <c r="L104" s="51" t="s">
        <v>45</v>
      </c>
      <c r="M104" s="50">
        <f>AVERAGE(M99:M103)</f>
        <v>4.1274999999999995</v>
      </c>
      <c r="N104" s="50">
        <f t="shared" ref="N104:Q104" si="6">AVERAGE(N99:N103)</f>
        <v>0.39565290839692668</v>
      </c>
      <c r="O104" s="50">
        <f t="shared" si="6"/>
        <v>0.61349999999999993</v>
      </c>
      <c r="P104" s="50">
        <f t="shared" si="6"/>
        <v>0.26266666666666671</v>
      </c>
      <c r="Q104" s="50">
        <f t="shared" si="6"/>
        <v>2.2889456282279808</v>
      </c>
    </row>
    <row r="105" spans="1:17" ht="15" x14ac:dyDescent="0.25">
      <c r="A105" s="11">
        <v>104</v>
      </c>
      <c r="B105" s="7">
        <v>1</v>
      </c>
      <c r="C105" s="8">
        <v>9</v>
      </c>
      <c r="D105" s="9">
        <v>5</v>
      </c>
      <c r="E105" s="8">
        <v>14</v>
      </c>
      <c r="F105" s="8">
        <v>19</v>
      </c>
      <c r="G105" s="8">
        <v>10</v>
      </c>
      <c r="H105" s="8">
        <v>0</v>
      </c>
      <c r="I105" s="8">
        <v>5</v>
      </c>
      <c r="L105" s="51" t="s">
        <v>47</v>
      </c>
      <c r="M105" s="50">
        <f>STDEVA(M99:M103)</f>
        <v>0.35973080212848046</v>
      </c>
      <c r="N105" s="50">
        <f t="shared" ref="N105:Q105" si="7">STDEVA(N99:N103)</f>
        <v>8.2996927047009172E-2</v>
      </c>
      <c r="O105" s="50">
        <f t="shared" si="7"/>
        <v>0.26629166340687421</v>
      </c>
      <c r="P105" s="50">
        <f t="shared" si="7"/>
        <v>7.5760954470110803E-2</v>
      </c>
      <c r="Q105" s="50">
        <f t="shared" si="7"/>
        <v>0.46518553803328205</v>
      </c>
    </row>
    <row r="106" spans="1:17" ht="15" x14ac:dyDescent="0.25">
      <c r="A106" s="11">
        <v>105</v>
      </c>
      <c r="B106" s="7">
        <v>3</v>
      </c>
      <c r="C106" s="8">
        <v>12</v>
      </c>
      <c r="D106" s="9">
        <v>6</v>
      </c>
      <c r="E106" s="8">
        <v>19</v>
      </c>
      <c r="F106" s="8">
        <v>25</v>
      </c>
      <c r="G106" s="8">
        <v>13</v>
      </c>
      <c r="H106" s="8">
        <v>0</v>
      </c>
      <c r="I106" s="8">
        <v>7</v>
      </c>
    </row>
    <row r="107" spans="1:17" ht="15" x14ac:dyDescent="0.25">
      <c r="A107" s="11">
        <v>106</v>
      </c>
      <c r="B107" s="7">
        <v>4</v>
      </c>
      <c r="C107" s="8">
        <v>16</v>
      </c>
      <c r="D107" s="9">
        <v>6</v>
      </c>
      <c r="E107" s="8">
        <v>25</v>
      </c>
      <c r="F107" s="8">
        <v>31</v>
      </c>
      <c r="G107" s="8">
        <v>15</v>
      </c>
      <c r="H107" s="8">
        <v>0</v>
      </c>
      <c r="I107" s="8">
        <v>9</v>
      </c>
    </row>
    <row r="108" spans="1:17" ht="15" x14ac:dyDescent="0.25">
      <c r="A108" s="11">
        <v>107</v>
      </c>
      <c r="B108" s="7">
        <v>4</v>
      </c>
      <c r="C108" s="8">
        <v>20</v>
      </c>
      <c r="D108" s="9">
        <v>5</v>
      </c>
      <c r="E108" s="8">
        <v>31</v>
      </c>
      <c r="F108" s="8">
        <v>36</v>
      </c>
      <c r="G108" s="8">
        <v>16</v>
      </c>
      <c r="H108" s="8">
        <v>0</v>
      </c>
      <c r="I108" s="8">
        <v>11</v>
      </c>
    </row>
    <row r="109" spans="1:17" ht="15" x14ac:dyDescent="0.25">
      <c r="A109" s="11">
        <v>108</v>
      </c>
      <c r="B109" s="7">
        <v>5</v>
      </c>
      <c r="C109" s="8">
        <v>25</v>
      </c>
      <c r="D109" s="9">
        <v>6</v>
      </c>
      <c r="E109" s="8">
        <v>36</v>
      </c>
      <c r="F109" s="8">
        <v>42</v>
      </c>
      <c r="G109" s="8">
        <v>17</v>
      </c>
      <c r="H109" s="8">
        <v>0</v>
      </c>
      <c r="I109" s="8">
        <v>11</v>
      </c>
    </row>
    <row r="110" spans="1:17" ht="15" x14ac:dyDescent="0.25">
      <c r="A110" s="11">
        <v>109</v>
      </c>
      <c r="B110" s="7">
        <v>7</v>
      </c>
      <c r="C110" s="8">
        <v>32</v>
      </c>
      <c r="D110" s="9">
        <v>6</v>
      </c>
      <c r="E110" s="8">
        <v>42</v>
      </c>
      <c r="F110" s="8">
        <v>48</v>
      </c>
      <c r="G110" s="8">
        <v>16</v>
      </c>
      <c r="H110" s="8">
        <v>0</v>
      </c>
      <c r="I110" s="8">
        <v>10</v>
      </c>
    </row>
    <row r="111" spans="1:17" ht="15" x14ac:dyDescent="0.25">
      <c r="A111" s="11">
        <v>110</v>
      </c>
      <c r="B111" s="7">
        <v>6</v>
      </c>
      <c r="C111" s="8">
        <v>38</v>
      </c>
      <c r="D111" s="9">
        <v>3</v>
      </c>
      <c r="E111" s="8">
        <v>48</v>
      </c>
      <c r="F111" s="8">
        <v>51</v>
      </c>
      <c r="G111" s="8">
        <v>13</v>
      </c>
      <c r="H111" s="8">
        <v>0</v>
      </c>
      <c r="I111" s="8">
        <v>10</v>
      </c>
    </row>
    <row r="112" spans="1:17" ht="15" x14ac:dyDescent="0.25">
      <c r="A112" s="11">
        <v>111</v>
      </c>
      <c r="B112" s="7">
        <v>2</v>
      </c>
      <c r="C112" s="8">
        <v>40</v>
      </c>
      <c r="D112" s="9">
        <v>4</v>
      </c>
      <c r="E112" s="8">
        <v>51</v>
      </c>
      <c r="F112" s="8">
        <v>55</v>
      </c>
      <c r="G112" s="8">
        <v>15</v>
      </c>
      <c r="H112" s="8">
        <v>0</v>
      </c>
      <c r="I112" s="8">
        <v>11</v>
      </c>
    </row>
    <row r="113" spans="1:16" ht="15" x14ac:dyDescent="0.25">
      <c r="A113" s="11">
        <v>112</v>
      </c>
      <c r="B113" s="7">
        <v>8</v>
      </c>
      <c r="C113" s="8">
        <v>48</v>
      </c>
      <c r="D113" s="9">
        <v>3</v>
      </c>
      <c r="E113" s="8">
        <v>55</v>
      </c>
      <c r="F113" s="8">
        <v>58</v>
      </c>
      <c r="G113" s="8">
        <v>10</v>
      </c>
      <c r="H113" s="8">
        <v>0</v>
      </c>
      <c r="I113" s="8">
        <v>7</v>
      </c>
    </row>
    <row r="114" spans="1:16" ht="39" x14ac:dyDescent="0.25">
      <c r="A114" s="11">
        <v>113</v>
      </c>
      <c r="B114" s="7">
        <v>4</v>
      </c>
      <c r="C114" s="8">
        <v>52</v>
      </c>
      <c r="D114" s="9">
        <v>2</v>
      </c>
      <c r="E114" s="8">
        <v>58</v>
      </c>
      <c r="F114" s="8">
        <v>60</v>
      </c>
      <c r="G114" s="8">
        <v>8</v>
      </c>
      <c r="H114" s="8">
        <v>0</v>
      </c>
      <c r="I114" s="8">
        <v>6</v>
      </c>
      <c r="L114" s="53" t="s">
        <v>11</v>
      </c>
      <c r="M114" s="53" t="s">
        <v>12</v>
      </c>
      <c r="N114" s="53" t="s">
        <v>13</v>
      </c>
      <c r="O114" s="53" t="s">
        <v>14</v>
      </c>
      <c r="P114" s="53" t="s">
        <v>15</v>
      </c>
    </row>
    <row r="115" spans="1:16" ht="15" x14ac:dyDescent="0.25">
      <c r="A115" s="11">
        <v>114</v>
      </c>
      <c r="B115" s="7">
        <v>3</v>
      </c>
      <c r="C115" s="8">
        <v>55</v>
      </c>
      <c r="D115" s="9">
        <v>5</v>
      </c>
      <c r="E115" s="8">
        <v>60</v>
      </c>
      <c r="F115" s="8">
        <v>65</v>
      </c>
      <c r="G115" s="8">
        <v>10</v>
      </c>
      <c r="H115" s="8">
        <v>0</v>
      </c>
      <c r="I115" s="8">
        <v>5</v>
      </c>
      <c r="L115" s="53">
        <v>3.6</v>
      </c>
      <c r="M115" s="53">
        <v>0.53459999999999996</v>
      </c>
      <c r="N115" s="53">
        <v>0.35</v>
      </c>
      <c r="O115" s="53">
        <v>0.15</v>
      </c>
      <c r="P115" s="53">
        <v>2.3330000000000002</v>
      </c>
    </row>
    <row r="116" spans="1:16" ht="15" x14ac:dyDescent="0.25">
      <c r="A116" s="11">
        <v>115</v>
      </c>
      <c r="B116" s="7">
        <v>2</v>
      </c>
      <c r="C116" s="8">
        <v>57</v>
      </c>
      <c r="D116" s="9">
        <v>6</v>
      </c>
      <c r="E116" s="8">
        <v>65</v>
      </c>
      <c r="F116" s="8">
        <v>71</v>
      </c>
      <c r="G116" s="8">
        <v>14</v>
      </c>
      <c r="H116" s="8">
        <v>0</v>
      </c>
      <c r="I116" s="8">
        <v>8</v>
      </c>
      <c r="L116" s="53">
        <v>4</v>
      </c>
      <c r="M116" s="53">
        <v>0.40928270042194093</v>
      </c>
      <c r="N116" s="53">
        <v>0.4</v>
      </c>
      <c r="O116" s="53">
        <v>0.22500000000000001</v>
      </c>
      <c r="P116" s="53">
        <v>1.7777777777777777</v>
      </c>
    </row>
    <row r="117" spans="1:16" ht="15" x14ac:dyDescent="0.25">
      <c r="A117" s="11">
        <v>116</v>
      </c>
      <c r="B117" s="7">
        <v>4</v>
      </c>
      <c r="C117" s="8">
        <v>61</v>
      </c>
      <c r="D117" s="9">
        <v>3</v>
      </c>
      <c r="E117" s="8">
        <v>71</v>
      </c>
      <c r="F117" s="8">
        <v>74</v>
      </c>
      <c r="G117" s="8">
        <v>13</v>
      </c>
      <c r="H117" s="8">
        <v>0</v>
      </c>
      <c r="I117" s="8">
        <v>10</v>
      </c>
      <c r="L117" s="53">
        <v>4.1500000000000004</v>
      </c>
      <c r="M117" s="53">
        <v>0.35562310030395139</v>
      </c>
      <c r="N117" s="53">
        <v>0.55000000000000004</v>
      </c>
      <c r="O117" s="53">
        <v>0.28333333333333333</v>
      </c>
      <c r="P117" s="53">
        <v>1.9411764705882353</v>
      </c>
    </row>
    <row r="118" spans="1:16" ht="15" x14ac:dyDescent="0.25">
      <c r="A118" s="11">
        <v>117</v>
      </c>
      <c r="B118" s="7">
        <v>1</v>
      </c>
      <c r="C118" s="8">
        <v>62</v>
      </c>
      <c r="D118" s="9">
        <v>3</v>
      </c>
      <c r="E118" s="8">
        <v>74</v>
      </c>
      <c r="F118" s="8">
        <v>77</v>
      </c>
      <c r="G118" s="8">
        <v>15</v>
      </c>
      <c r="H118" s="8">
        <v>0</v>
      </c>
      <c r="I118" s="8">
        <v>12</v>
      </c>
      <c r="L118" s="53">
        <v>4.3375000000000004</v>
      </c>
      <c r="M118" s="53">
        <v>0.34731934731934733</v>
      </c>
      <c r="N118" s="53">
        <v>0.78749999999999998</v>
      </c>
      <c r="O118" s="53">
        <v>0.32500000000000001</v>
      </c>
      <c r="P118" s="53">
        <v>2.4230769230769229</v>
      </c>
    </row>
    <row r="119" spans="1:16" ht="15" x14ac:dyDescent="0.25">
      <c r="A119" s="11">
        <v>118</v>
      </c>
      <c r="B119" s="7">
        <v>6</v>
      </c>
      <c r="C119" s="8">
        <v>68</v>
      </c>
      <c r="D119" s="9">
        <v>2</v>
      </c>
      <c r="E119" s="8">
        <v>77</v>
      </c>
      <c r="F119" s="8">
        <v>79</v>
      </c>
      <c r="G119" s="8">
        <v>11</v>
      </c>
      <c r="H119" s="8">
        <v>0</v>
      </c>
      <c r="I119" s="8">
        <v>9</v>
      </c>
      <c r="L119" s="53">
        <v>4.55</v>
      </c>
      <c r="M119" s="53">
        <v>0.33143939393939392</v>
      </c>
      <c r="N119" s="53">
        <v>0.98</v>
      </c>
      <c r="O119" s="53">
        <v>0.33</v>
      </c>
      <c r="P119" s="53">
        <v>2.9696969700000002</v>
      </c>
    </row>
    <row r="120" spans="1:16" ht="15" x14ac:dyDescent="0.25">
      <c r="A120" s="11">
        <v>119</v>
      </c>
      <c r="B120" s="7">
        <v>2</v>
      </c>
      <c r="C120" s="8">
        <v>70</v>
      </c>
      <c r="D120" s="9">
        <v>2</v>
      </c>
      <c r="E120" s="8">
        <v>79</v>
      </c>
      <c r="F120" s="8">
        <v>81</v>
      </c>
      <c r="G120" s="8">
        <v>11</v>
      </c>
      <c r="H120" s="8">
        <v>0</v>
      </c>
      <c r="I120" s="8">
        <v>9</v>
      </c>
      <c r="L120" s="50">
        <f>(SUM($G$2:$G$121)/120)</f>
        <v>5.7333333333333334</v>
      </c>
      <c r="M120" s="50">
        <f>(SUM($H$2:$H$121)/($F$21+$F$41+$F$61+$F$81+$F$101+$F$121))</f>
        <v>0.29268292682926828</v>
      </c>
      <c r="N120" s="50">
        <f>SUM($I$2:$I$121)/120</f>
        <v>2.0750000000000002</v>
      </c>
      <c r="O120" s="50">
        <f>(COUNTIF(I2:I121,"&gt;0")/120)</f>
        <v>0.42499999999999999</v>
      </c>
      <c r="P120" s="50">
        <f>SUM(I2:I121)/(COUNTIF(I2:I121,"&gt;0"))</f>
        <v>4.882352941176471</v>
      </c>
    </row>
    <row r="121" spans="1:16" ht="15" x14ac:dyDescent="0.25">
      <c r="A121" s="11">
        <v>120</v>
      </c>
      <c r="B121" s="7">
        <v>3</v>
      </c>
      <c r="C121" s="8">
        <v>73</v>
      </c>
      <c r="D121" s="9">
        <v>6</v>
      </c>
      <c r="E121" s="8">
        <v>81</v>
      </c>
      <c r="F121" s="8">
        <v>87</v>
      </c>
      <c r="G121" s="8">
        <v>14</v>
      </c>
      <c r="H121" s="8">
        <v>0</v>
      </c>
      <c r="I121" s="8">
        <v>8</v>
      </c>
      <c r="K121" s="51" t="s">
        <v>45</v>
      </c>
      <c r="L121" s="50">
        <f>AVERAGE(L115:L120)</f>
        <v>4.3951388888888889</v>
      </c>
      <c r="M121" s="50">
        <f t="shared" ref="M121:P121" si="8">AVERAGE(M115:M120)</f>
        <v>0.37849124480231694</v>
      </c>
      <c r="N121" s="50">
        <f t="shared" si="8"/>
        <v>0.85708333333333331</v>
      </c>
      <c r="O121" s="50">
        <f t="shared" si="8"/>
        <v>0.28972222222222227</v>
      </c>
      <c r="P121" s="50">
        <f t="shared" si="8"/>
        <v>2.7211801804365678</v>
      </c>
    </row>
    <row r="122" spans="1:16" ht="15" x14ac:dyDescent="0.25">
      <c r="A122" s="11">
        <v>121</v>
      </c>
      <c r="B122" s="7"/>
      <c r="C122" s="8">
        <v>0</v>
      </c>
      <c r="D122" s="9">
        <v>2</v>
      </c>
      <c r="E122" s="8">
        <v>0</v>
      </c>
      <c r="F122" s="8">
        <v>2</v>
      </c>
      <c r="G122" s="8">
        <v>2</v>
      </c>
      <c r="H122" s="8">
        <v>0</v>
      </c>
      <c r="I122" s="8">
        <v>0</v>
      </c>
      <c r="K122" s="51" t="s">
        <v>47</v>
      </c>
      <c r="L122" s="50">
        <f>STDEVA(L115:L120)</f>
        <v>0.73027970605383719</v>
      </c>
      <c r="M122" s="50">
        <f t="shared" ref="M122:P122" si="9">STDEVA(M115:M120)</f>
        <v>8.531077366549078E-2</v>
      </c>
      <c r="N122" s="50">
        <f t="shared" si="9"/>
        <v>0.64243757803125645</v>
      </c>
      <c r="O122" s="50">
        <f t="shared" si="9"/>
        <v>9.4782890314108303E-2</v>
      </c>
      <c r="P122" s="50">
        <f t="shared" si="9"/>
        <v>1.1375756310426817</v>
      </c>
    </row>
    <row r="123" spans="1:16" ht="15" x14ac:dyDescent="0.25">
      <c r="A123" s="11">
        <v>122</v>
      </c>
      <c r="B123" s="7">
        <v>9</v>
      </c>
      <c r="C123" s="8">
        <v>9</v>
      </c>
      <c r="D123" s="9">
        <v>2</v>
      </c>
      <c r="E123" s="8">
        <v>9</v>
      </c>
      <c r="F123" s="8">
        <v>11</v>
      </c>
      <c r="G123" s="8">
        <v>2</v>
      </c>
      <c r="H123" s="8">
        <v>7</v>
      </c>
      <c r="I123" s="8">
        <v>0</v>
      </c>
    </row>
    <row r="124" spans="1:16" ht="15" x14ac:dyDescent="0.25">
      <c r="A124" s="11">
        <v>123</v>
      </c>
      <c r="B124" s="7">
        <v>4</v>
      </c>
      <c r="C124" s="8">
        <v>13</v>
      </c>
      <c r="D124" s="9">
        <v>3</v>
      </c>
      <c r="E124" s="8">
        <v>13</v>
      </c>
      <c r="F124" s="8">
        <v>16</v>
      </c>
      <c r="G124" s="8">
        <v>3</v>
      </c>
      <c r="H124" s="8">
        <v>2</v>
      </c>
      <c r="I124" s="8">
        <v>0</v>
      </c>
    </row>
    <row r="125" spans="1:16" ht="15" x14ac:dyDescent="0.25">
      <c r="A125" s="11">
        <v>124</v>
      </c>
      <c r="B125" s="7">
        <v>1</v>
      </c>
      <c r="C125" s="8">
        <v>23</v>
      </c>
      <c r="D125" s="9">
        <v>1</v>
      </c>
      <c r="E125" s="8">
        <v>23</v>
      </c>
      <c r="F125" s="8">
        <v>24</v>
      </c>
      <c r="G125" s="8">
        <v>1</v>
      </c>
      <c r="H125" s="8">
        <v>7</v>
      </c>
      <c r="I125" s="8">
        <v>0</v>
      </c>
    </row>
    <row r="126" spans="1:16" ht="39" x14ac:dyDescent="0.25">
      <c r="A126" s="11">
        <v>125</v>
      </c>
      <c r="B126" s="7">
        <v>6</v>
      </c>
      <c r="C126" s="8">
        <v>29</v>
      </c>
      <c r="D126" s="9">
        <v>3</v>
      </c>
      <c r="E126" s="8">
        <v>29</v>
      </c>
      <c r="F126" s="8">
        <v>32</v>
      </c>
      <c r="G126" s="8">
        <v>3</v>
      </c>
      <c r="H126" s="8">
        <v>5</v>
      </c>
      <c r="I126" s="8">
        <v>0</v>
      </c>
      <c r="L126" s="53" t="s">
        <v>11</v>
      </c>
      <c r="M126" s="53" t="s">
        <v>12</v>
      </c>
      <c r="N126" s="53" t="s">
        <v>13</v>
      </c>
      <c r="O126" s="53" t="s">
        <v>14</v>
      </c>
      <c r="P126" s="53" t="s">
        <v>15</v>
      </c>
    </row>
    <row r="127" spans="1:16" ht="15" x14ac:dyDescent="0.25">
      <c r="A127" s="11">
        <v>126</v>
      </c>
      <c r="B127" s="7">
        <v>7</v>
      </c>
      <c r="C127" s="8">
        <v>36</v>
      </c>
      <c r="D127" s="9">
        <v>1</v>
      </c>
      <c r="E127" s="8">
        <v>36</v>
      </c>
      <c r="F127" s="8">
        <v>37</v>
      </c>
      <c r="G127" s="8">
        <v>1</v>
      </c>
      <c r="H127" s="8">
        <v>4</v>
      </c>
      <c r="I127" s="8">
        <v>0</v>
      </c>
      <c r="L127" s="53">
        <v>3.6</v>
      </c>
      <c r="M127" s="53">
        <v>0.53459999999999996</v>
      </c>
      <c r="N127" s="53">
        <v>0.35</v>
      </c>
      <c r="O127" s="53">
        <v>0.15</v>
      </c>
      <c r="P127" s="53">
        <v>2.3330000000000002</v>
      </c>
    </row>
    <row r="128" spans="1:16" ht="15" x14ac:dyDescent="0.25">
      <c r="A128" s="11">
        <v>127</v>
      </c>
      <c r="B128" s="7">
        <v>9</v>
      </c>
      <c r="C128" s="8">
        <v>45</v>
      </c>
      <c r="D128" s="9">
        <v>6</v>
      </c>
      <c r="E128" s="8">
        <v>45</v>
      </c>
      <c r="F128" s="8">
        <v>51</v>
      </c>
      <c r="G128" s="8">
        <v>6</v>
      </c>
      <c r="H128" s="8">
        <v>8</v>
      </c>
      <c r="I128" s="8">
        <v>0</v>
      </c>
      <c r="L128" s="53">
        <v>4</v>
      </c>
      <c r="M128" s="53">
        <v>0.40928270042194093</v>
      </c>
      <c r="N128" s="53">
        <v>0.4</v>
      </c>
      <c r="O128" s="53">
        <v>0.22500000000000001</v>
      </c>
      <c r="P128" s="53">
        <v>1.7777777777777777</v>
      </c>
    </row>
    <row r="129" spans="1:16" ht="15" x14ac:dyDescent="0.25">
      <c r="A129" s="11">
        <v>128</v>
      </c>
      <c r="B129" s="7">
        <v>8</v>
      </c>
      <c r="C129" s="8">
        <v>53</v>
      </c>
      <c r="D129" s="9">
        <v>6</v>
      </c>
      <c r="E129" s="8">
        <v>53</v>
      </c>
      <c r="F129" s="8">
        <v>59</v>
      </c>
      <c r="G129" s="8">
        <v>6</v>
      </c>
      <c r="H129" s="8">
        <v>2</v>
      </c>
      <c r="I129" s="8">
        <v>0</v>
      </c>
      <c r="L129" s="53">
        <v>4.1500000000000004</v>
      </c>
      <c r="M129" s="53">
        <v>0.35562310030395139</v>
      </c>
      <c r="N129" s="53">
        <v>0.55000000000000004</v>
      </c>
      <c r="O129" s="53">
        <v>0.28333333333333333</v>
      </c>
      <c r="P129" s="53">
        <v>1.9411764705882353</v>
      </c>
    </row>
    <row r="130" spans="1:16" ht="15" x14ac:dyDescent="0.25">
      <c r="A130" s="11">
        <v>129</v>
      </c>
      <c r="B130" s="7">
        <v>1</v>
      </c>
      <c r="C130" s="8">
        <v>63</v>
      </c>
      <c r="D130" s="9">
        <v>5</v>
      </c>
      <c r="E130" s="8">
        <v>63</v>
      </c>
      <c r="F130" s="8">
        <v>68</v>
      </c>
      <c r="G130" s="8">
        <v>5</v>
      </c>
      <c r="H130" s="8">
        <v>4</v>
      </c>
      <c r="I130" s="8">
        <v>0</v>
      </c>
      <c r="L130" s="53">
        <v>4.3375000000000004</v>
      </c>
      <c r="M130" s="53">
        <v>0.34731934731934733</v>
      </c>
      <c r="N130" s="53">
        <v>0.78749999999999998</v>
      </c>
      <c r="O130" s="53">
        <v>0.32500000000000001</v>
      </c>
      <c r="P130" s="53">
        <v>2.4230769230769229</v>
      </c>
    </row>
    <row r="131" spans="1:16" ht="15" x14ac:dyDescent="0.25">
      <c r="A131" s="11">
        <v>130</v>
      </c>
      <c r="B131" s="7">
        <v>4</v>
      </c>
      <c r="C131" s="8">
        <v>67</v>
      </c>
      <c r="D131" s="9">
        <v>4</v>
      </c>
      <c r="E131" s="8">
        <v>68</v>
      </c>
      <c r="F131" s="8">
        <v>72</v>
      </c>
      <c r="G131" s="8">
        <v>5</v>
      </c>
      <c r="H131" s="8">
        <v>0</v>
      </c>
      <c r="I131" s="8">
        <v>1</v>
      </c>
      <c r="L131" s="53">
        <v>4.55</v>
      </c>
      <c r="M131" s="53">
        <v>0.33143939393939392</v>
      </c>
      <c r="N131" s="53">
        <v>0.98</v>
      </c>
      <c r="O131" s="53">
        <v>0.33</v>
      </c>
      <c r="P131" s="53">
        <v>2.9696969700000002</v>
      </c>
    </row>
    <row r="132" spans="1:16" ht="15" x14ac:dyDescent="0.25">
      <c r="A132" s="11">
        <v>131</v>
      </c>
      <c r="B132" s="7">
        <v>5</v>
      </c>
      <c r="C132" s="8">
        <v>72</v>
      </c>
      <c r="D132" s="9">
        <v>1</v>
      </c>
      <c r="E132" s="8">
        <v>72</v>
      </c>
      <c r="F132" s="8">
        <v>73</v>
      </c>
      <c r="G132" s="8">
        <v>1</v>
      </c>
      <c r="H132" s="8">
        <v>0</v>
      </c>
      <c r="I132" s="8">
        <v>0</v>
      </c>
      <c r="L132" s="53">
        <v>5.7333333333333334</v>
      </c>
      <c r="M132" s="53">
        <v>0.29268292682926828</v>
      </c>
      <c r="N132" s="53">
        <v>2.0750000000000002</v>
      </c>
      <c r="O132" s="53">
        <v>0.42499999999999999</v>
      </c>
      <c r="P132" s="53">
        <v>4.882352941176471</v>
      </c>
    </row>
    <row r="133" spans="1:16" ht="15" x14ac:dyDescent="0.25">
      <c r="A133" s="11">
        <v>132</v>
      </c>
      <c r="B133" s="7">
        <v>8</v>
      </c>
      <c r="C133" s="8">
        <v>80</v>
      </c>
      <c r="D133" s="9">
        <v>3</v>
      </c>
      <c r="E133" s="8">
        <v>80</v>
      </c>
      <c r="F133" s="8">
        <v>83</v>
      </c>
      <c r="G133" s="8">
        <v>7</v>
      </c>
      <c r="H133" s="8">
        <v>7</v>
      </c>
      <c r="I133" s="8">
        <v>0</v>
      </c>
      <c r="K133" s="44"/>
      <c r="L133" s="50">
        <f>(SUM($G$2:$G$141)/140)</f>
        <v>5.4214285714285717</v>
      </c>
      <c r="M133" s="50">
        <f>(SUM($H$2:$H$141)/($F$21+$F$41+$F$61+$F$81+$F$101+$F$121+$F$141))</f>
        <v>0.33555259653794939</v>
      </c>
      <c r="N133" s="50">
        <f>SUM($I$2:$I$141)/140</f>
        <v>1.8</v>
      </c>
      <c r="O133" s="50">
        <f>(COUNTIF(I12:I141,"&gt;0")/140)</f>
        <v>0.37142857142857144</v>
      </c>
      <c r="P133" s="50">
        <f>SUM(I12:I141)/(COUNTIF(I12:I141,"&gt;0"))</f>
        <v>4.75</v>
      </c>
    </row>
    <row r="134" spans="1:16" ht="15" x14ac:dyDescent="0.25">
      <c r="A134" s="11">
        <v>133</v>
      </c>
      <c r="B134" s="7">
        <v>9</v>
      </c>
      <c r="C134" s="8">
        <v>89</v>
      </c>
      <c r="D134" s="9">
        <v>6</v>
      </c>
      <c r="E134" s="8">
        <v>89</v>
      </c>
      <c r="F134" s="8">
        <v>95</v>
      </c>
      <c r="G134" s="8">
        <v>6</v>
      </c>
      <c r="H134" s="8">
        <v>6</v>
      </c>
      <c r="I134" s="8">
        <v>0</v>
      </c>
      <c r="K134" s="51" t="s">
        <v>45</v>
      </c>
      <c r="L134" s="50">
        <f>AVERAGE(L127:L133)</f>
        <v>4.5417517006802717</v>
      </c>
      <c r="M134" s="50">
        <f t="shared" ref="M134:P134" si="10">AVERAGE(M127:M133)</f>
        <v>0.3723571521931216</v>
      </c>
      <c r="N134" s="50">
        <f t="shared" si="10"/>
        <v>0.99178571428571427</v>
      </c>
      <c r="O134" s="50">
        <f t="shared" si="10"/>
        <v>0.30139455782312929</v>
      </c>
      <c r="P134" s="50">
        <f t="shared" si="10"/>
        <v>3.011011583231344</v>
      </c>
    </row>
    <row r="135" spans="1:16" ht="15" x14ac:dyDescent="0.25">
      <c r="A135" s="11">
        <v>134</v>
      </c>
      <c r="B135" s="7">
        <v>7</v>
      </c>
      <c r="C135" s="8">
        <v>96</v>
      </c>
      <c r="D135" s="9">
        <v>1</v>
      </c>
      <c r="E135" s="8">
        <v>96</v>
      </c>
      <c r="F135" s="8">
        <v>97</v>
      </c>
      <c r="G135" s="8">
        <v>1</v>
      </c>
      <c r="H135" s="8">
        <v>1</v>
      </c>
      <c r="I135" s="8">
        <v>0</v>
      </c>
      <c r="K135" s="51" t="s">
        <v>47</v>
      </c>
      <c r="L135" s="53">
        <f>STDEVA(L127:L133)</f>
        <v>0.7712917240780941</v>
      </c>
      <c r="M135" s="53">
        <f t="shared" ref="M135:P135" si="11">STDEVA(M127:M133)</f>
        <v>7.9550799688863999E-2</v>
      </c>
      <c r="N135" s="53">
        <f t="shared" si="11"/>
        <v>0.68625905319728797</v>
      </c>
      <c r="O135" s="53">
        <f t="shared" si="11"/>
        <v>9.187056570110809E-2</v>
      </c>
      <c r="P135" s="53">
        <f t="shared" si="11"/>
        <v>1.290896700465886</v>
      </c>
    </row>
    <row r="136" spans="1:16" ht="15" x14ac:dyDescent="0.25">
      <c r="A136" s="11">
        <v>135</v>
      </c>
      <c r="B136" s="7">
        <v>1</v>
      </c>
      <c r="C136" s="8">
        <v>106</v>
      </c>
      <c r="D136" s="9">
        <v>4</v>
      </c>
      <c r="E136" s="8">
        <v>106</v>
      </c>
      <c r="F136" s="8">
        <v>110</v>
      </c>
      <c r="G136" s="8">
        <v>4</v>
      </c>
      <c r="H136" s="8">
        <v>9</v>
      </c>
      <c r="I136" s="8">
        <v>0</v>
      </c>
      <c r="K136" s="44"/>
      <c r="L136" s="55"/>
      <c r="M136" s="55"/>
      <c r="N136" s="55"/>
      <c r="O136" s="55"/>
      <c r="P136" s="55"/>
    </row>
    <row r="137" spans="1:16" ht="15" x14ac:dyDescent="0.25">
      <c r="A137" s="11">
        <v>136</v>
      </c>
      <c r="B137" s="7">
        <v>3</v>
      </c>
      <c r="C137" s="8">
        <v>109</v>
      </c>
      <c r="D137" s="9">
        <v>4</v>
      </c>
      <c r="E137" s="8">
        <v>110</v>
      </c>
      <c r="F137" s="8">
        <v>114</v>
      </c>
      <c r="G137" s="8">
        <v>5</v>
      </c>
      <c r="H137" s="8">
        <v>0</v>
      </c>
      <c r="I137" s="8">
        <v>1</v>
      </c>
      <c r="K137" s="44"/>
      <c r="L137" s="55"/>
      <c r="M137" s="55"/>
      <c r="N137" s="55"/>
      <c r="O137" s="55"/>
      <c r="P137" s="55"/>
    </row>
    <row r="138" spans="1:16" ht="15" x14ac:dyDescent="0.25">
      <c r="A138" s="11">
        <v>137</v>
      </c>
      <c r="B138" s="7">
        <v>4</v>
      </c>
      <c r="C138" s="8">
        <v>113</v>
      </c>
      <c r="D138" s="9">
        <v>3</v>
      </c>
      <c r="E138" s="8">
        <v>114</v>
      </c>
      <c r="F138" s="8">
        <v>117</v>
      </c>
      <c r="G138" s="8">
        <v>4</v>
      </c>
      <c r="H138" s="8">
        <v>0</v>
      </c>
      <c r="I138" s="8">
        <v>1</v>
      </c>
      <c r="K138" s="44"/>
      <c r="L138" s="55"/>
      <c r="M138" s="55"/>
      <c r="N138" s="55"/>
      <c r="O138" s="55"/>
      <c r="P138" s="55"/>
    </row>
    <row r="139" spans="1:16" ht="15" x14ac:dyDescent="0.25">
      <c r="A139" s="11">
        <v>138</v>
      </c>
      <c r="B139" s="7">
        <v>7</v>
      </c>
      <c r="C139" s="8">
        <v>120</v>
      </c>
      <c r="D139" s="9">
        <v>5</v>
      </c>
      <c r="E139" s="8">
        <v>120</v>
      </c>
      <c r="F139" s="8">
        <v>125</v>
      </c>
      <c r="G139" s="8">
        <v>5</v>
      </c>
      <c r="H139" s="8">
        <v>3</v>
      </c>
      <c r="I139" s="8">
        <v>0</v>
      </c>
      <c r="K139" s="44"/>
      <c r="L139" s="44"/>
      <c r="M139" s="44"/>
      <c r="N139" s="44"/>
      <c r="O139" s="44"/>
      <c r="P139" s="44"/>
    </row>
    <row r="140" spans="1:16" ht="15" x14ac:dyDescent="0.25">
      <c r="A140" s="11">
        <v>139</v>
      </c>
      <c r="B140" s="7">
        <v>9</v>
      </c>
      <c r="C140" s="8">
        <v>129</v>
      </c>
      <c r="D140" s="9">
        <v>3</v>
      </c>
      <c r="E140" s="8">
        <v>129</v>
      </c>
      <c r="F140" s="8">
        <v>132</v>
      </c>
      <c r="G140" s="8">
        <v>3</v>
      </c>
      <c r="H140" s="8">
        <v>4</v>
      </c>
      <c r="I140" s="8">
        <v>0</v>
      </c>
      <c r="K140" s="56"/>
      <c r="L140" s="44"/>
      <c r="M140" s="44"/>
      <c r="N140" s="44"/>
      <c r="O140" s="44"/>
      <c r="P140" s="44"/>
    </row>
    <row r="141" spans="1:16" ht="15" x14ac:dyDescent="0.25">
      <c r="A141" s="11">
        <v>140</v>
      </c>
      <c r="B141" s="7">
        <v>6</v>
      </c>
      <c r="C141" s="8">
        <v>135</v>
      </c>
      <c r="D141" s="9">
        <v>1</v>
      </c>
      <c r="E141" s="8">
        <v>135</v>
      </c>
      <c r="F141" s="8">
        <v>136</v>
      </c>
      <c r="G141" s="8">
        <v>1</v>
      </c>
      <c r="H141" s="8">
        <v>3</v>
      </c>
      <c r="I141" s="8">
        <v>0</v>
      </c>
      <c r="K141" s="56"/>
      <c r="L141" s="44"/>
      <c r="M141" s="44"/>
      <c r="N141" s="44"/>
      <c r="O141" s="44"/>
      <c r="P141" s="44"/>
    </row>
    <row r="142" spans="1:16" ht="39" x14ac:dyDescent="0.25">
      <c r="A142" s="11">
        <v>141</v>
      </c>
      <c r="B142" s="7"/>
      <c r="C142" s="8">
        <v>0</v>
      </c>
      <c r="D142" s="9">
        <v>2</v>
      </c>
      <c r="E142" s="8">
        <v>0</v>
      </c>
      <c r="F142" s="8">
        <v>2</v>
      </c>
      <c r="G142" s="8">
        <v>2</v>
      </c>
      <c r="H142" s="8">
        <v>0</v>
      </c>
      <c r="I142" s="8">
        <v>0</v>
      </c>
      <c r="L142" s="53" t="s">
        <v>11</v>
      </c>
      <c r="M142" s="53" t="s">
        <v>12</v>
      </c>
      <c r="N142" s="53" t="s">
        <v>13</v>
      </c>
      <c r="O142" s="53" t="s">
        <v>14</v>
      </c>
      <c r="P142" s="53" t="s">
        <v>15</v>
      </c>
    </row>
    <row r="143" spans="1:16" ht="15" x14ac:dyDescent="0.25">
      <c r="A143" s="11">
        <v>142</v>
      </c>
      <c r="B143" s="7">
        <v>6</v>
      </c>
      <c r="C143" s="8">
        <v>6</v>
      </c>
      <c r="D143" s="9">
        <v>1</v>
      </c>
      <c r="E143" s="8">
        <v>6</v>
      </c>
      <c r="F143" s="8">
        <v>7</v>
      </c>
      <c r="G143" s="8">
        <v>1</v>
      </c>
      <c r="H143" s="8">
        <v>4</v>
      </c>
      <c r="I143" s="8">
        <v>0</v>
      </c>
      <c r="L143" s="53">
        <v>3.6</v>
      </c>
      <c r="M143" s="53">
        <v>0.53459999999999996</v>
      </c>
      <c r="N143" s="53">
        <v>0.35</v>
      </c>
      <c r="O143" s="53">
        <v>0.15</v>
      </c>
      <c r="P143" s="53">
        <v>2.3330000000000002</v>
      </c>
    </row>
    <row r="144" spans="1:16" ht="15" x14ac:dyDescent="0.25">
      <c r="A144" s="11">
        <v>143</v>
      </c>
      <c r="B144" s="7">
        <v>1</v>
      </c>
      <c r="C144" s="8">
        <v>7</v>
      </c>
      <c r="D144" s="9">
        <v>6</v>
      </c>
      <c r="E144" s="8">
        <v>7</v>
      </c>
      <c r="F144" s="8">
        <v>13</v>
      </c>
      <c r="G144" s="8">
        <v>8</v>
      </c>
      <c r="H144" s="8">
        <v>0</v>
      </c>
      <c r="I144" s="8">
        <v>1</v>
      </c>
      <c r="L144" s="53">
        <v>4</v>
      </c>
      <c r="M144" s="53">
        <v>0.40928270042194093</v>
      </c>
      <c r="N144" s="53">
        <v>0.4</v>
      </c>
      <c r="O144" s="53">
        <v>0.22500000000000001</v>
      </c>
      <c r="P144" s="53">
        <v>1.7777777777777777</v>
      </c>
    </row>
    <row r="145" spans="1:16" ht="15" x14ac:dyDescent="0.25">
      <c r="A145" s="11">
        <v>144</v>
      </c>
      <c r="B145" s="7">
        <v>1</v>
      </c>
      <c r="C145" s="8">
        <v>8</v>
      </c>
      <c r="D145" s="9">
        <v>1</v>
      </c>
      <c r="E145" s="8">
        <v>13</v>
      </c>
      <c r="F145" s="8">
        <v>14</v>
      </c>
      <c r="G145" s="8">
        <v>6</v>
      </c>
      <c r="H145" s="8">
        <v>0</v>
      </c>
      <c r="I145" s="8">
        <v>5</v>
      </c>
      <c r="L145" s="53">
        <v>4.1500000000000004</v>
      </c>
      <c r="M145" s="53">
        <v>0.35562310030395139</v>
      </c>
      <c r="N145" s="53">
        <v>0.55000000000000004</v>
      </c>
      <c r="O145" s="53">
        <v>0.28333333333333333</v>
      </c>
      <c r="P145" s="53">
        <v>1.9411764705882353</v>
      </c>
    </row>
    <row r="146" spans="1:16" ht="15" x14ac:dyDescent="0.25">
      <c r="A146" s="11">
        <v>145</v>
      </c>
      <c r="B146" s="7">
        <v>2</v>
      </c>
      <c r="C146" s="8">
        <v>10</v>
      </c>
      <c r="D146" s="9">
        <v>2</v>
      </c>
      <c r="E146" s="8">
        <v>14</v>
      </c>
      <c r="F146" s="8">
        <v>16</v>
      </c>
      <c r="G146" s="8">
        <v>6</v>
      </c>
      <c r="H146" s="8">
        <v>0</v>
      </c>
      <c r="I146" s="8">
        <v>4</v>
      </c>
      <c r="L146" s="53">
        <v>4.3375000000000004</v>
      </c>
      <c r="M146" s="53">
        <v>0.34731934731934733</v>
      </c>
      <c r="N146" s="53">
        <v>0.78749999999999998</v>
      </c>
      <c r="O146" s="53">
        <v>0.32500000000000001</v>
      </c>
      <c r="P146" s="53">
        <v>2.4230769230769229</v>
      </c>
    </row>
    <row r="147" spans="1:16" ht="15" x14ac:dyDescent="0.25">
      <c r="A147" s="11">
        <v>146</v>
      </c>
      <c r="B147" s="7">
        <v>1</v>
      </c>
      <c r="C147" s="8">
        <v>11</v>
      </c>
      <c r="D147" s="9">
        <v>2</v>
      </c>
      <c r="E147" s="8">
        <v>16</v>
      </c>
      <c r="F147" s="8">
        <v>18</v>
      </c>
      <c r="G147" s="8">
        <v>7</v>
      </c>
      <c r="H147" s="8">
        <v>0</v>
      </c>
      <c r="I147" s="8">
        <v>5</v>
      </c>
      <c r="L147" s="53">
        <v>4.55</v>
      </c>
      <c r="M147" s="53">
        <v>0.33143939393939392</v>
      </c>
      <c r="N147" s="53">
        <v>0.98</v>
      </c>
      <c r="O147" s="53">
        <v>0.33</v>
      </c>
      <c r="P147" s="53">
        <v>2.9696969700000002</v>
      </c>
    </row>
    <row r="148" spans="1:16" ht="15" x14ac:dyDescent="0.25">
      <c r="A148" s="11">
        <v>147</v>
      </c>
      <c r="B148" s="7">
        <v>7</v>
      </c>
      <c r="C148" s="8">
        <v>18</v>
      </c>
      <c r="D148" s="9">
        <v>5</v>
      </c>
      <c r="E148" s="8">
        <v>18</v>
      </c>
      <c r="F148" s="8">
        <v>23</v>
      </c>
      <c r="G148" s="8">
        <v>5</v>
      </c>
      <c r="H148" s="8">
        <v>0</v>
      </c>
      <c r="I148" s="8">
        <v>0</v>
      </c>
      <c r="K148" s="44"/>
      <c r="L148" s="53">
        <v>5.7333333333333334</v>
      </c>
      <c r="M148" s="53">
        <v>0.29268292682926828</v>
      </c>
      <c r="N148" s="53">
        <v>2.0750000000000002</v>
      </c>
      <c r="O148" s="53">
        <v>0.42499999999999999</v>
      </c>
      <c r="P148" s="53">
        <v>4.882352941176471</v>
      </c>
    </row>
    <row r="149" spans="1:16" ht="15" x14ac:dyDescent="0.25">
      <c r="A149" s="11">
        <v>148</v>
      </c>
      <c r="B149" s="7">
        <v>4</v>
      </c>
      <c r="C149" s="8">
        <v>22</v>
      </c>
      <c r="D149" s="9">
        <v>5</v>
      </c>
      <c r="E149" s="8">
        <v>23</v>
      </c>
      <c r="F149" s="8">
        <v>28</v>
      </c>
      <c r="G149" s="8">
        <v>6</v>
      </c>
      <c r="H149" s="8">
        <v>0</v>
      </c>
      <c r="I149" s="8">
        <v>1</v>
      </c>
      <c r="K149" s="44"/>
      <c r="L149" s="53">
        <v>5.4214285714285717</v>
      </c>
      <c r="M149" s="53">
        <v>0.33555259653794939</v>
      </c>
      <c r="N149" s="53">
        <v>1.8</v>
      </c>
      <c r="O149" s="53">
        <v>0.37142857142857144</v>
      </c>
      <c r="P149" s="53">
        <v>4.75</v>
      </c>
    </row>
    <row r="150" spans="1:16" ht="15" x14ac:dyDescent="0.25">
      <c r="A150" s="11">
        <v>149</v>
      </c>
      <c r="B150" s="7">
        <v>4</v>
      </c>
      <c r="C150" s="8">
        <v>26</v>
      </c>
      <c r="D150" s="9">
        <v>6</v>
      </c>
      <c r="E150" s="8">
        <v>28</v>
      </c>
      <c r="F150" s="8">
        <v>34</v>
      </c>
      <c r="G150" s="8">
        <v>8</v>
      </c>
      <c r="H150" s="8">
        <v>0</v>
      </c>
      <c r="I150" s="8">
        <v>2</v>
      </c>
      <c r="K150" s="44"/>
      <c r="L150" s="50">
        <f>(SUM($G$2:$G$161)/160)</f>
        <v>5.4874999999999998</v>
      </c>
      <c r="M150" s="50">
        <f>(SUM($H$2:$H$161)/($F$21+$F$41+$F$61+$F$81+$F$101+$F$121+$F$141+$F$161))</f>
        <v>0.32113341204250295</v>
      </c>
      <c r="N150" s="50">
        <f>SUM($I$2:$I$161)/160</f>
        <v>1.8374999999999999</v>
      </c>
      <c r="O150" s="50">
        <f>(COUNTIF(I2:I161,"&gt;0")/160)</f>
        <v>0.41875000000000001</v>
      </c>
      <c r="P150" s="50">
        <f>SUM(I2:I161)/(COUNTIF(I2:I161,"&gt;0"))</f>
        <v>4.3880597014925371</v>
      </c>
    </row>
    <row r="151" spans="1:16" ht="15" x14ac:dyDescent="0.25">
      <c r="A151" s="11">
        <v>150</v>
      </c>
      <c r="B151" s="7">
        <v>5</v>
      </c>
      <c r="C151" s="8">
        <v>31</v>
      </c>
      <c r="D151" s="9">
        <v>5</v>
      </c>
      <c r="E151" s="8">
        <v>34</v>
      </c>
      <c r="F151" s="8">
        <v>39</v>
      </c>
      <c r="G151" s="8">
        <v>8</v>
      </c>
      <c r="H151" s="8">
        <v>0</v>
      </c>
      <c r="I151" s="8">
        <v>3</v>
      </c>
      <c r="K151" s="51" t="s">
        <v>45</v>
      </c>
      <c r="L151" s="53">
        <f>AVERAGE(L143:L150)</f>
        <v>4.6599702380952381</v>
      </c>
      <c r="M151" s="53">
        <f t="shared" ref="M151:P151" si="12">AVERAGE(M143:M150)</f>
        <v>0.36595418467429425</v>
      </c>
      <c r="N151" s="53">
        <f t="shared" si="12"/>
        <v>1.0974999999999999</v>
      </c>
      <c r="O151" s="53">
        <f t="shared" si="12"/>
        <v>0.31606398809523817</v>
      </c>
      <c r="P151" s="53">
        <f t="shared" si="12"/>
        <v>3.1831425980139931</v>
      </c>
    </row>
    <row r="152" spans="1:16" ht="15" x14ac:dyDescent="0.25">
      <c r="A152" s="11">
        <v>151</v>
      </c>
      <c r="B152" s="7">
        <v>5</v>
      </c>
      <c r="C152" s="8">
        <v>36</v>
      </c>
      <c r="D152" s="9">
        <v>6</v>
      </c>
      <c r="E152" s="8">
        <v>39</v>
      </c>
      <c r="F152" s="8">
        <v>45</v>
      </c>
      <c r="G152" s="8">
        <v>9</v>
      </c>
      <c r="H152" s="8">
        <v>0</v>
      </c>
      <c r="I152" s="8">
        <v>3</v>
      </c>
      <c r="K152" s="51" t="s">
        <v>47</v>
      </c>
      <c r="L152" s="53">
        <f>STDEVA(L143:L150)</f>
        <v>0.78848683354765114</v>
      </c>
      <c r="M152" s="53">
        <f t="shared" ref="M152:P152" si="13">STDEVA(M143:M150)</f>
        <v>7.5843698295025061E-2</v>
      </c>
      <c r="N152" s="53">
        <f t="shared" si="13"/>
        <v>0.70219426493975723</v>
      </c>
      <c r="O152" s="53">
        <f t="shared" si="13"/>
        <v>9.4636120698413123E-2</v>
      </c>
      <c r="P152" s="53">
        <f t="shared" si="13"/>
        <v>1.2904990495180051</v>
      </c>
    </row>
    <row r="153" spans="1:16" ht="15" x14ac:dyDescent="0.25">
      <c r="A153" s="11">
        <v>152</v>
      </c>
      <c r="B153" s="7">
        <v>3</v>
      </c>
      <c r="C153" s="8">
        <v>39</v>
      </c>
      <c r="D153" s="9">
        <v>5</v>
      </c>
      <c r="E153" s="8">
        <v>45</v>
      </c>
      <c r="F153" s="8">
        <v>50</v>
      </c>
      <c r="G153" s="8">
        <v>11</v>
      </c>
      <c r="H153" s="8">
        <v>0</v>
      </c>
      <c r="I153" s="8">
        <v>6</v>
      </c>
      <c r="K153" s="44"/>
      <c r="L153" s="55"/>
      <c r="M153" s="55"/>
      <c r="N153" s="55"/>
      <c r="O153" s="55"/>
      <c r="P153" s="55"/>
    </row>
    <row r="154" spans="1:16" ht="15" x14ac:dyDescent="0.25">
      <c r="A154" s="11">
        <v>153</v>
      </c>
      <c r="B154" s="7">
        <v>4</v>
      </c>
      <c r="C154" s="8">
        <v>43</v>
      </c>
      <c r="D154" s="9">
        <v>1</v>
      </c>
      <c r="E154" s="8">
        <v>50</v>
      </c>
      <c r="F154" s="8">
        <v>51</v>
      </c>
      <c r="G154" s="8">
        <v>8</v>
      </c>
      <c r="H154" s="8">
        <v>0</v>
      </c>
      <c r="I154" s="8">
        <v>7</v>
      </c>
      <c r="K154" s="44"/>
      <c r="L154" s="55"/>
      <c r="M154" s="55"/>
      <c r="N154" s="55"/>
      <c r="O154" s="55"/>
      <c r="P154" s="55"/>
    </row>
    <row r="155" spans="1:16" ht="15" x14ac:dyDescent="0.25">
      <c r="A155" s="11">
        <v>154</v>
      </c>
      <c r="B155" s="7">
        <v>7</v>
      </c>
      <c r="C155" s="8">
        <v>50</v>
      </c>
      <c r="D155" s="9">
        <v>2</v>
      </c>
      <c r="E155" s="8">
        <v>51</v>
      </c>
      <c r="F155" s="8">
        <v>53</v>
      </c>
      <c r="G155" s="8">
        <v>3</v>
      </c>
      <c r="H155" s="8">
        <v>0</v>
      </c>
      <c r="I155" s="8">
        <v>1</v>
      </c>
      <c r="K155" s="44"/>
      <c r="L155" s="55"/>
      <c r="M155" s="55"/>
      <c r="N155" s="55"/>
      <c r="O155" s="55"/>
      <c r="P155" s="55"/>
    </row>
    <row r="156" spans="1:16" ht="15" x14ac:dyDescent="0.25">
      <c r="A156" s="11">
        <v>155</v>
      </c>
      <c r="B156" s="7">
        <v>6</v>
      </c>
      <c r="C156" s="8">
        <v>56</v>
      </c>
      <c r="D156" s="9">
        <v>6</v>
      </c>
      <c r="E156" s="8">
        <v>56</v>
      </c>
      <c r="F156" s="8">
        <v>62</v>
      </c>
      <c r="G156" s="8">
        <v>6</v>
      </c>
      <c r="H156" s="8">
        <v>3</v>
      </c>
      <c r="I156" s="8">
        <v>0</v>
      </c>
      <c r="K156" s="44"/>
      <c r="L156" s="44"/>
      <c r="M156" s="44"/>
      <c r="N156" s="44"/>
      <c r="O156" s="44"/>
      <c r="P156" s="44"/>
    </row>
    <row r="157" spans="1:16" ht="15" x14ac:dyDescent="0.25">
      <c r="A157" s="11">
        <v>156</v>
      </c>
      <c r="B157" s="7">
        <v>1</v>
      </c>
      <c r="C157" s="8">
        <v>66</v>
      </c>
      <c r="D157" s="9">
        <v>6</v>
      </c>
      <c r="E157" s="8">
        <v>66</v>
      </c>
      <c r="F157" s="8">
        <v>72</v>
      </c>
      <c r="G157" s="8">
        <v>6</v>
      </c>
      <c r="H157" s="8">
        <v>4</v>
      </c>
      <c r="I157" s="8">
        <v>0</v>
      </c>
      <c r="K157" s="56"/>
      <c r="L157" s="44"/>
      <c r="M157" s="44"/>
      <c r="N157" s="44"/>
      <c r="O157" s="44"/>
      <c r="P157" s="44"/>
    </row>
    <row r="158" spans="1:16" ht="39" x14ac:dyDescent="0.25">
      <c r="A158" s="11">
        <v>157</v>
      </c>
      <c r="B158" s="7">
        <v>5</v>
      </c>
      <c r="C158" s="8">
        <v>71</v>
      </c>
      <c r="D158" s="9">
        <v>4</v>
      </c>
      <c r="E158" s="8">
        <v>72</v>
      </c>
      <c r="F158" s="8">
        <v>76</v>
      </c>
      <c r="G158" s="8">
        <v>5</v>
      </c>
      <c r="H158" s="8">
        <v>0</v>
      </c>
      <c r="I158" s="8">
        <v>1</v>
      </c>
      <c r="K158" s="56"/>
      <c r="L158" s="53" t="s">
        <v>11</v>
      </c>
      <c r="M158" s="53" t="s">
        <v>12</v>
      </c>
      <c r="N158" s="53" t="s">
        <v>13</v>
      </c>
      <c r="O158" s="53" t="s">
        <v>14</v>
      </c>
      <c r="P158" s="53" t="s">
        <v>15</v>
      </c>
    </row>
    <row r="159" spans="1:16" ht="15" x14ac:dyDescent="0.25">
      <c r="A159" s="11">
        <v>158</v>
      </c>
      <c r="B159" s="7">
        <v>9</v>
      </c>
      <c r="C159" s="8">
        <v>80</v>
      </c>
      <c r="D159" s="9">
        <v>5</v>
      </c>
      <c r="E159" s="8">
        <v>80</v>
      </c>
      <c r="F159" s="8">
        <v>85</v>
      </c>
      <c r="G159" s="8">
        <v>5</v>
      </c>
      <c r="H159" s="8">
        <v>4</v>
      </c>
      <c r="I159" s="8">
        <v>0</v>
      </c>
      <c r="K159" s="44"/>
      <c r="L159" s="53">
        <v>3.6</v>
      </c>
      <c r="M159" s="53">
        <v>0.53459999999999996</v>
      </c>
      <c r="N159" s="53">
        <v>0.35</v>
      </c>
      <c r="O159" s="53">
        <v>0.15</v>
      </c>
      <c r="P159" s="53">
        <v>2.3330000000000002</v>
      </c>
    </row>
    <row r="160" spans="1:16" ht="15" x14ac:dyDescent="0.25">
      <c r="A160" s="11">
        <v>159</v>
      </c>
      <c r="B160" s="7">
        <v>2</v>
      </c>
      <c r="C160" s="8">
        <v>82</v>
      </c>
      <c r="D160" s="9">
        <v>1</v>
      </c>
      <c r="E160" s="8">
        <v>85</v>
      </c>
      <c r="F160" s="8">
        <v>86</v>
      </c>
      <c r="G160" s="8">
        <v>4</v>
      </c>
      <c r="H160" s="8">
        <v>0</v>
      </c>
      <c r="I160" s="8">
        <v>3</v>
      </c>
      <c r="K160" s="44"/>
      <c r="L160" s="53">
        <v>4</v>
      </c>
      <c r="M160" s="53">
        <v>0.40928270042194093</v>
      </c>
      <c r="N160" s="53">
        <v>0.4</v>
      </c>
      <c r="O160" s="53">
        <v>0.22500000000000001</v>
      </c>
      <c r="P160" s="53">
        <v>1.7777777777777777</v>
      </c>
    </row>
    <row r="161" spans="1:16" ht="15" x14ac:dyDescent="0.25">
      <c r="A161" s="11">
        <v>160</v>
      </c>
      <c r="B161" s="7">
        <v>9</v>
      </c>
      <c r="C161" s="8">
        <v>91</v>
      </c>
      <c r="D161" s="9">
        <v>5</v>
      </c>
      <c r="E161" s="8">
        <v>91</v>
      </c>
      <c r="F161" s="8">
        <v>96</v>
      </c>
      <c r="G161" s="8">
        <v>5</v>
      </c>
      <c r="H161" s="8">
        <v>5</v>
      </c>
      <c r="I161" s="8">
        <v>0</v>
      </c>
      <c r="L161" s="53">
        <v>4.1500000000000004</v>
      </c>
      <c r="M161" s="53">
        <v>0.35562310030395139</v>
      </c>
      <c r="N161" s="53">
        <v>0.55000000000000004</v>
      </c>
      <c r="O161" s="53">
        <v>0.28333333333333333</v>
      </c>
      <c r="P161" s="53">
        <v>1.9411764705882353</v>
      </c>
    </row>
    <row r="162" spans="1:16" ht="15" x14ac:dyDescent="0.25">
      <c r="A162" s="11">
        <v>161</v>
      </c>
      <c r="B162" s="7"/>
      <c r="C162" s="8">
        <v>0</v>
      </c>
      <c r="D162" s="9">
        <v>1</v>
      </c>
      <c r="E162" s="8">
        <v>0</v>
      </c>
      <c r="F162" s="8">
        <v>1</v>
      </c>
      <c r="G162" s="8">
        <v>1</v>
      </c>
      <c r="H162" s="8">
        <v>0</v>
      </c>
      <c r="I162" s="8">
        <v>0</v>
      </c>
      <c r="L162" s="53">
        <v>4.3375000000000004</v>
      </c>
      <c r="M162" s="53">
        <v>0.34731934731934733</v>
      </c>
      <c r="N162" s="53">
        <v>0.78749999999999998</v>
      </c>
      <c r="O162" s="53">
        <v>0.32500000000000001</v>
      </c>
      <c r="P162" s="53">
        <v>2.4230769230769229</v>
      </c>
    </row>
    <row r="163" spans="1:16" ht="15" x14ac:dyDescent="0.25">
      <c r="A163" s="11">
        <v>162</v>
      </c>
      <c r="B163" s="7">
        <v>6</v>
      </c>
      <c r="C163" s="8">
        <v>6</v>
      </c>
      <c r="D163" s="9">
        <v>3</v>
      </c>
      <c r="E163" s="8">
        <v>6</v>
      </c>
      <c r="F163" s="8">
        <v>9</v>
      </c>
      <c r="G163" s="8">
        <v>3</v>
      </c>
      <c r="H163" s="8">
        <v>5</v>
      </c>
      <c r="I163" s="8">
        <v>0</v>
      </c>
      <c r="L163" s="53">
        <v>4.55</v>
      </c>
      <c r="M163" s="53">
        <v>0.33143939393939392</v>
      </c>
      <c r="N163" s="53">
        <v>0.98</v>
      </c>
      <c r="O163" s="53">
        <v>0.33</v>
      </c>
      <c r="P163" s="53">
        <v>2.9696969700000002</v>
      </c>
    </row>
    <row r="164" spans="1:16" ht="15" x14ac:dyDescent="0.25">
      <c r="A164" s="11">
        <v>163</v>
      </c>
      <c r="B164" s="7">
        <v>7</v>
      </c>
      <c r="C164" s="8">
        <v>13</v>
      </c>
      <c r="D164" s="9">
        <v>3</v>
      </c>
      <c r="E164" s="8">
        <v>13</v>
      </c>
      <c r="F164" s="8">
        <v>16</v>
      </c>
      <c r="G164" s="8">
        <v>3</v>
      </c>
      <c r="H164" s="8">
        <v>4</v>
      </c>
      <c r="I164" s="8">
        <v>0</v>
      </c>
      <c r="L164" s="53">
        <v>5.7333333333333334</v>
      </c>
      <c r="M164" s="53">
        <v>0.29268292682926828</v>
      </c>
      <c r="N164" s="53">
        <v>2.0750000000000002</v>
      </c>
      <c r="O164" s="53">
        <v>0.42499999999999999</v>
      </c>
      <c r="P164" s="53">
        <v>4.882352941176471</v>
      </c>
    </row>
    <row r="165" spans="1:16" ht="15" x14ac:dyDescent="0.25">
      <c r="A165" s="11">
        <v>164</v>
      </c>
      <c r="B165" s="7">
        <v>5</v>
      </c>
      <c r="C165" s="8">
        <v>18</v>
      </c>
      <c r="D165" s="9">
        <v>6</v>
      </c>
      <c r="E165" s="8">
        <v>18</v>
      </c>
      <c r="F165" s="8">
        <v>24</v>
      </c>
      <c r="G165" s="8">
        <v>6</v>
      </c>
      <c r="H165" s="8">
        <v>2</v>
      </c>
      <c r="I165" s="8">
        <v>0</v>
      </c>
      <c r="L165" s="53">
        <v>5.4214285714285717</v>
      </c>
      <c r="M165" s="53">
        <v>0.33555259653794939</v>
      </c>
      <c r="N165" s="53">
        <v>1.8</v>
      </c>
      <c r="O165" s="53">
        <v>0.37142857142857144</v>
      </c>
      <c r="P165" s="53">
        <v>4.75</v>
      </c>
    </row>
    <row r="166" spans="1:16" ht="15" x14ac:dyDescent="0.25">
      <c r="A166" s="11">
        <v>165</v>
      </c>
      <c r="B166" s="7">
        <v>3</v>
      </c>
      <c r="C166" s="8">
        <v>21</v>
      </c>
      <c r="D166" s="9">
        <v>2</v>
      </c>
      <c r="E166" s="8">
        <v>24</v>
      </c>
      <c r="F166" s="8">
        <v>26</v>
      </c>
      <c r="G166" s="8">
        <v>5</v>
      </c>
      <c r="H166" s="8">
        <v>0</v>
      </c>
      <c r="I166" s="8">
        <v>3</v>
      </c>
      <c r="L166" s="53">
        <v>5.4874999999999998</v>
      </c>
      <c r="M166" s="53">
        <v>0.32113341204250295</v>
      </c>
      <c r="N166" s="53">
        <v>1.8374999999999999</v>
      </c>
      <c r="O166" s="53">
        <v>0.41875000000000001</v>
      </c>
      <c r="P166" s="53">
        <v>4.3880597014925371</v>
      </c>
    </row>
    <row r="167" spans="1:16" ht="15" x14ac:dyDescent="0.25">
      <c r="A167" s="11">
        <v>166</v>
      </c>
      <c r="B167" s="7">
        <v>9</v>
      </c>
      <c r="C167" s="8">
        <v>30</v>
      </c>
      <c r="D167" s="9">
        <v>3</v>
      </c>
      <c r="E167" s="8">
        <v>30</v>
      </c>
      <c r="F167" s="8">
        <v>33</v>
      </c>
      <c r="G167" s="8">
        <v>3</v>
      </c>
      <c r="H167" s="8">
        <v>4</v>
      </c>
      <c r="I167" s="8">
        <v>0</v>
      </c>
      <c r="L167" s="53">
        <f>(SUM($G$2:$G$181)/180)</f>
        <v>5.3944444444444448</v>
      </c>
      <c r="M167" s="53">
        <f>(SUM($H$2:$H$181)/($F$21+$F$41+$F$61+$F$81+$F$101+$F$121+$F$141+$F$161+$F$181))</f>
        <v>0.31991525423728812</v>
      </c>
      <c r="N167" s="53">
        <f>SUM($I$2:$I$181)/180</f>
        <v>1.7777777777777777</v>
      </c>
      <c r="O167" s="53">
        <f>(COUNTIF(I2:I181,"&gt;0")/180)</f>
        <v>0.42777777777777776</v>
      </c>
      <c r="P167" s="53">
        <f>SUM(I2:I181)/(COUNTIF(I2:I181,"&gt;0"))</f>
        <v>4.1558441558441555</v>
      </c>
    </row>
    <row r="168" spans="1:16" ht="15" x14ac:dyDescent="0.25">
      <c r="A168" s="11">
        <v>167</v>
      </c>
      <c r="B168" s="7">
        <v>1</v>
      </c>
      <c r="C168" s="8">
        <v>31</v>
      </c>
      <c r="D168" s="9">
        <v>2</v>
      </c>
      <c r="E168" s="8">
        <v>33</v>
      </c>
      <c r="F168" s="8">
        <v>35</v>
      </c>
      <c r="G168" s="8">
        <v>4</v>
      </c>
      <c r="H168" s="8">
        <v>0</v>
      </c>
      <c r="I168" s="8">
        <v>2</v>
      </c>
      <c r="K168" s="51" t="s">
        <v>45</v>
      </c>
      <c r="L168" s="53">
        <f>AVERAGE(L159:L167)</f>
        <v>4.7415784832451502</v>
      </c>
      <c r="M168" s="53">
        <f t="shared" ref="M168:P168" si="14">AVERAGE(M159:M167)</f>
        <v>0.36083874795907134</v>
      </c>
      <c r="N168" s="53">
        <f t="shared" si="14"/>
        <v>1.1730864197530861</v>
      </c>
      <c r="O168" s="53">
        <f t="shared" si="14"/>
        <v>0.32847663139329808</v>
      </c>
      <c r="P168" s="53">
        <f t="shared" si="14"/>
        <v>3.2912205488840112</v>
      </c>
    </row>
    <row r="169" spans="1:16" ht="15" x14ac:dyDescent="0.25">
      <c r="A169" s="11">
        <v>168</v>
      </c>
      <c r="B169" s="7">
        <v>3</v>
      </c>
      <c r="C169" s="8">
        <v>33</v>
      </c>
      <c r="D169" s="9">
        <v>3</v>
      </c>
      <c r="E169" s="8">
        <v>35</v>
      </c>
      <c r="F169" s="8">
        <v>38</v>
      </c>
      <c r="G169" s="8">
        <v>5</v>
      </c>
      <c r="H169" s="8">
        <v>0</v>
      </c>
      <c r="I169" s="8">
        <v>2</v>
      </c>
      <c r="K169" s="51" t="s">
        <v>47</v>
      </c>
      <c r="L169" s="53">
        <f>STDEVA(L159:L167)</f>
        <v>0.77713364483290903</v>
      </c>
      <c r="M169" s="53">
        <f t="shared" ref="M169:P169" si="15">STDEVA(M159:M167)</f>
        <v>7.2586103937120741E-2</v>
      </c>
      <c r="N169" s="53">
        <f t="shared" si="15"/>
        <v>0.69488268733636505</v>
      </c>
      <c r="O169" s="53">
        <f t="shared" si="15"/>
        <v>9.6037281021710066E-2</v>
      </c>
      <c r="P169" s="53">
        <f t="shared" si="15"/>
        <v>1.2499367637542198</v>
      </c>
    </row>
    <row r="170" spans="1:16" ht="15" x14ac:dyDescent="0.25">
      <c r="A170" s="11">
        <v>169</v>
      </c>
      <c r="B170" s="7">
        <v>1</v>
      </c>
      <c r="C170" s="8">
        <v>34</v>
      </c>
      <c r="D170" s="9">
        <v>4</v>
      </c>
      <c r="E170" s="8">
        <v>38</v>
      </c>
      <c r="F170" s="8">
        <v>42</v>
      </c>
      <c r="G170" s="8">
        <v>8</v>
      </c>
      <c r="H170" s="8">
        <v>0</v>
      </c>
      <c r="I170" s="8">
        <v>4</v>
      </c>
      <c r="K170" s="44"/>
      <c r="L170" s="44"/>
      <c r="M170" s="44"/>
      <c r="N170" s="44"/>
      <c r="O170" s="44"/>
      <c r="P170" s="44"/>
    </row>
    <row r="171" spans="1:16" ht="15" x14ac:dyDescent="0.25">
      <c r="A171" s="11">
        <v>170</v>
      </c>
      <c r="B171" s="7">
        <v>7</v>
      </c>
      <c r="C171" s="8">
        <v>41</v>
      </c>
      <c r="D171" s="9">
        <v>5</v>
      </c>
      <c r="E171" s="8">
        <v>42</v>
      </c>
      <c r="F171" s="8">
        <v>47</v>
      </c>
      <c r="G171" s="8">
        <v>6</v>
      </c>
      <c r="H171" s="8">
        <v>0</v>
      </c>
      <c r="I171" s="8">
        <v>1</v>
      </c>
      <c r="K171" s="44"/>
      <c r="L171" s="55"/>
      <c r="M171" s="55"/>
      <c r="N171" s="55"/>
      <c r="O171" s="55"/>
      <c r="P171" s="55"/>
    </row>
    <row r="172" spans="1:16" ht="15" x14ac:dyDescent="0.25">
      <c r="A172" s="11">
        <v>171</v>
      </c>
      <c r="B172" s="7">
        <v>1</v>
      </c>
      <c r="C172" s="8">
        <v>42</v>
      </c>
      <c r="D172" s="9">
        <v>4</v>
      </c>
      <c r="E172" s="8">
        <v>47</v>
      </c>
      <c r="F172" s="8">
        <v>51</v>
      </c>
      <c r="G172" s="8">
        <v>9</v>
      </c>
      <c r="H172" s="8">
        <v>0</v>
      </c>
      <c r="I172" s="8">
        <v>5</v>
      </c>
      <c r="K172" s="44"/>
      <c r="L172" s="55"/>
      <c r="M172" s="55"/>
      <c r="N172" s="55"/>
      <c r="O172" s="55"/>
      <c r="P172" s="55"/>
    </row>
    <row r="173" spans="1:16" ht="15" x14ac:dyDescent="0.25">
      <c r="A173" s="11">
        <v>172</v>
      </c>
      <c r="B173" s="7">
        <v>8</v>
      </c>
      <c r="C173" s="8">
        <v>50</v>
      </c>
      <c r="D173" s="9">
        <v>1</v>
      </c>
      <c r="E173" s="8">
        <v>51</v>
      </c>
      <c r="F173" s="8">
        <v>52</v>
      </c>
      <c r="G173" s="8">
        <v>2</v>
      </c>
      <c r="H173" s="8">
        <v>0</v>
      </c>
      <c r="I173" s="8">
        <v>1</v>
      </c>
      <c r="K173" s="44"/>
      <c r="L173" s="55"/>
      <c r="M173" s="55"/>
      <c r="N173" s="55"/>
      <c r="O173" s="55"/>
      <c r="P173" s="55"/>
    </row>
    <row r="174" spans="1:16" ht="15" x14ac:dyDescent="0.25">
      <c r="A174" s="11">
        <v>173</v>
      </c>
      <c r="B174" s="7">
        <v>6</v>
      </c>
      <c r="C174" s="8">
        <v>56</v>
      </c>
      <c r="D174" s="9">
        <v>2</v>
      </c>
      <c r="E174" s="8">
        <v>56</v>
      </c>
      <c r="F174" s="8">
        <v>58</v>
      </c>
      <c r="G174" s="8">
        <v>2</v>
      </c>
      <c r="H174" s="8">
        <v>4</v>
      </c>
      <c r="I174" s="8">
        <v>0</v>
      </c>
      <c r="K174" s="44"/>
      <c r="L174" s="55"/>
      <c r="M174" s="55"/>
      <c r="N174" s="55"/>
      <c r="O174" s="55"/>
      <c r="P174" s="55"/>
    </row>
    <row r="175" spans="1:16" ht="15" x14ac:dyDescent="0.25">
      <c r="A175" s="11">
        <v>174</v>
      </c>
      <c r="B175" s="7">
        <v>9</v>
      </c>
      <c r="C175" s="8">
        <v>65</v>
      </c>
      <c r="D175" s="9">
        <v>5</v>
      </c>
      <c r="E175" s="8">
        <v>65</v>
      </c>
      <c r="F175" s="8">
        <v>70</v>
      </c>
      <c r="G175" s="8">
        <v>5</v>
      </c>
      <c r="H175" s="8">
        <v>7</v>
      </c>
      <c r="I175" s="8">
        <v>0</v>
      </c>
      <c r="K175" s="44"/>
      <c r="L175" s="55"/>
      <c r="M175" s="55"/>
      <c r="N175" s="55"/>
      <c r="O175" s="55"/>
      <c r="P175" s="55"/>
    </row>
    <row r="176" spans="1:16" ht="15" x14ac:dyDescent="0.25">
      <c r="A176" s="11">
        <v>175</v>
      </c>
      <c r="B176" s="7">
        <v>5</v>
      </c>
      <c r="C176" s="8">
        <v>70</v>
      </c>
      <c r="D176" s="9">
        <v>1</v>
      </c>
      <c r="E176" s="8">
        <v>70</v>
      </c>
      <c r="F176" s="8">
        <v>71</v>
      </c>
      <c r="G176" s="8">
        <v>1</v>
      </c>
      <c r="H176" s="8">
        <v>0</v>
      </c>
      <c r="I176" s="8">
        <v>0</v>
      </c>
      <c r="K176" s="44"/>
      <c r="L176" s="55"/>
      <c r="M176" s="55"/>
      <c r="N176" s="55"/>
      <c r="O176" s="55"/>
      <c r="P176" s="55"/>
    </row>
    <row r="177" spans="1:16" ht="15" x14ac:dyDescent="0.25">
      <c r="A177" s="11">
        <v>176</v>
      </c>
      <c r="B177" s="7">
        <v>1</v>
      </c>
      <c r="C177" s="8">
        <v>71</v>
      </c>
      <c r="D177" s="9">
        <v>1</v>
      </c>
      <c r="E177" s="8">
        <v>71</v>
      </c>
      <c r="F177" s="8">
        <v>72</v>
      </c>
      <c r="G177" s="8">
        <v>1</v>
      </c>
      <c r="H177" s="8">
        <v>0</v>
      </c>
      <c r="I177" s="8">
        <v>0</v>
      </c>
      <c r="K177" s="44"/>
      <c r="L177" s="44"/>
      <c r="M177" s="44"/>
      <c r="N177" s="44"/>
      <c r="O177" s="44"/>
      <c r="P177" s="44"/>
    </row>
    <row r="178" spans="1:16" ht="15" x14ac:dyDescent="0.25">
      <c r="A178" s="11">
        <v>177</v>
      </c>
      <c r="B178" s="7">
        <v>5</v>
      </c>
      <c r="C178" s="8">
        <v>76</v>
      </c>
      <c r="D178" s="9">
        <v>6</v>
      </c>
      <c r="E178" s="8">
        <v>76</v>
      </c>
      <c r="F178" s="8">
        <v>82</v>
      </c>
      <c r="G178" s="8">
        <v>6</v>
      </c>
      <c r="H178" s="8">
        <v>4</v>
      </c>
      <c r="I178" s="8">
        <v>0</v>
      </c>
      <c r="K178" s="44"/>
      <c r="L178" s="44"/>
      <c r="M178" s="44"/>
      <c r="N178" s="44"/>
      <c r="O178" s="44"/>
      <c r="P178" s="44"/>
    </row>
    <row r="179" spans="1:16" ht="39" x14ac:dyDescent="0.25">
      <c r="A179" s="11">
        <v>178</v>
      </c>
      <c r="B179" s="7">
        <v>4</v>
      </c>
      <c r="C179" s="8">
        <v>80</v>
      </c>
      <c r="D179" s="9">
        <v>4</v>
      </c>
      <c r="E179" s="8">
        <v>82</v>
      </c>
      <c r="F179" s="8">
        <v>86</v>
      </c>
      <c r="G179" s="8">
        <v>6</v>
      </c>
      <c r="H179" s="8">
        <v>0</v>
      </c>
      <c r="I179" s="8">
        <v>2</v>
      </c>
      <c r="K179" s="56"/>
      <c r="L179" s="53" t="s">
        <v>11</v>
      </c>
      <c r="M179" s="53" t="s">
        <v>12</v>
      </c>
      <c r="N179" s="53" t="s">
        <v>13</v>
      </c>
      <c r="O179" s="53" t="s">
        <v>14</v>
      </c>
      <c r="P179" s="53" t="s">
        <v>15</v>
      </c>
    </row>
    <row r="180" spans="1:16" ht="15" x14ac:dyDescent="0.25">
      <c r="A180" s="11">
        <v>179</v>
      </c>
      <c r="B180" s="7">
        <v>2</v>
      </c>
      <c r="C180" s="8">
        <v>82</v>
      </c>
      <c r="D180" s="9">
        <v>5</v>
      </c>
      <c r="E180" s="8">
        <v>86</v>
      </c>
      <c r="F180" s="8">
        <v>91</v>
      </c>
      <c r="G180" s="8">
        <v>9</v>
      </c>
      <c r="H180" s="8">
        <v>0</v>
      </c>
      <c r="I180" s="8">
        <v>4</v>
      </c>
      <c r="K180" s="56"/>
      <c r="L180" s="53">
        <v>3.6</v>
      </c>
      <c r="M180" s="53">
        <v>0.53459999999999996</v>
      </c>
      <c r="N180" s="53">
        <v>0.35</v>
      </c>
      <c r="O180" s="53">
        <v>0.15</v>
      </c>
      <c r="P180" s="53">
        <v>2.3330000000000002</v>
      </c>
    </row>
    <row r="181" spans="1:16" ht="15" x14ac:dyDescent="0.25">
      <c r="A181" s="11">
        <v>180</v>
      </c>
      <c r="B181" s="7">
        <v>7</v>
      </c>
      <c r="C181" s="8">
        <v>89</v>
      </c>
      <c r="D181" s="9">
        <v>6</v>
      </c>
      <c r="E181" s="8">
        <v>91</v>
      </c>
      <c r="F181" s="8">
        <v>97</v>
      </c>
      <c r="G181" s="8">
        <v>8</v>
      </c>
      <c r="H181" s="8">
        <v>0</v>
      </c>
      <c r="I181" s="8">
        <v>2</v>
      </c>
      <c r="K181" s="44"/>
      <c r="L181" s="53">
        <v>4</v>
      </c>
      <c r="M181" s="53">
        <v>0.40928270042194093</v>
      </c>
      <c r="N181" s="53">
        <v>0.4</v>
      </c>
      <c r="O181" s="53">
        <v>0.22500000000000001</v>
      </c>
      <c r="P181" s="53">
        <v>1.7777777777777777</v>
      </c>
    </row>
    <row r="182" spans="1:16" ht="15" x14ac:dyDescent="0.25">
      <c r="A182" s="11">
        <v>181</v>
      </c>
      <c r="B182" s="7"/>
      <c r="C182" s="8">
        <v>0</v>
      </c>
      <c r="D182" s="9">
        <v>2</v>
      </c>
      <c r="E182" s="8">
        <v>0</v>
      </c>
      <c r="F182" s="8">
        <v>2</v>
      </c>
      <c r="G182" s="8">
        <v>2</v>
      </c>
      <c r="H182" s="8">
        <v>0</v>
      </c>
      <c r="I182" s="8">
        <v>0</v>
      </c>
      <c r="L182" s="53">
        <v>4.1500000000000004</v>
      </c>
      <c r="M182" s="53">
        <v>0.35562310030395139</v>
      </c>
      <c r="N182" s="53">
        <v>0.55000000000000004</v>
      </c>
      <c r="O182" s="53">
        <v>0.28333333333333333</v>
      </c>
      <c r="P182" s="53">
        <v>1.9411764705882353</v>
      </c>
    </row>
    <row r="183" spans="1:16" ht="15" x14ac:dyDescent="0.25">
      <c r="A183" s="11">
        <v>182</v>
      </c>
      <c r="B183" s="7">
        <v>9</v>
      </c>
      <c r="C183" s="8">
        <v>9</v>
      </c>
      <c r="D183" s="9">
        <v>5</v>
      </c>
      <c r="E183" s="8">
        <v>9</v>
      </c>
      <c r="F183" s="8">
        <v>14</v>
      </c>
      <c r="G183" s="8">
        <v>5</v>
      </c>
      <c r="H183" s="8">
        <v>7</v>
      </c>
      <c r="I183" s="8">
        <v>0</v>
      </c>
      <c r="L183" s="53">
        <v>4.3375000000000004</v>
      </c>
      <c r="M183" s="53">
        <v>0.34731934731934733</v>
      </c>
      <c r="N183" s="53">
        <v>0.78749999999999998</v>
      </c>
      <c r="O183" s="53">
        <v>0.32500000000000001</v>
      </c>
      <c r="P183" s="53">
        <v>2.4230769230769229</v>
      </c>
    </row>
    <row r="184" spans="1:16" ht="15" x14ac:dyDescent="0.25">
      <c r="A184" s="11">
        <v>183</v>
      </c>
      <c r="B184" s="7">
        <v>3</v>
      </c>
      <c r="C184" s="8">
        <v>12</v>
      </c>
      <c r="D184" s="9">
        <v>2</v>
      </c>
      <c r="E184" s="8">
        <v>14</v>
      </c>
      <c r="F184" s="8">
        <v>16</v>
      </c>
      <c r="G184" s="8">
        <v>4</v>
      </c>
      <c r="H184" s="8">
        <v>0</v>
      </c>
      <c r="I184" s="8">
        <v>2</v>
      </c>
      <c r="L184" s="53">
        <v>4.55</v>
      </c>
      <c r="M184" s="53">
        <v>0.33143939393939392</v>
      </c>
      <c r="N184" s="53">
        <v>0.98</v>
      </c>
      <c r="O184" s="53">
        <v>0.33</v>
      </c>
      <c r="P184" s="53">
        <v>2.9696969700000002</v>
      </c>
    </row>
    <row r="185" spans="1:16" ht="15" x14ac:dyDescent="0.25">
      <c r="A185" s="11">
        <v>184</v>
      </c>
      <c r="B185" s="7">
        <v>6</v>
      </c>
      <c r="C185" s="8">
        <v>18</v>
      </c>
      <c r="D185" s="9">
        <v>4</v>
      </c>
      <c r="E185" s="8">
        <v>18</v>
      </c>
      <c r="F185" s="8">
        <v>22</v>
      </c>
      <c r="G185" s="8">
        <v>4</v>
      </c>
      <c r="H185" s="8">
        <v>2</v>
      </c>
      <c r="I185" s="8">
        <v>0</v>
      </c>
      <c r="L185" s="53">
        <v>5.7333333333333334</v>
      </c>
      <c r="M185" s="53">
        <v>0.29268292682926828</v>
      </c>
      <c r="N185" s="53">
        <v>2.0750000000000002</v>
      </c>
      <c r="O185" s="53">
        <v>0.42499999999999999</v>
      </c>
      <c r="P185" s="53">
        <v>4.882352941176471</v>
      </c>
    </row>
    <row r="186" spans="1:16" ht="15" x14ac:dyDescent="0.25">
      <c r="A186" s="11">
        <v>185</v>
      </c>
      <c r="B186" s="7">
        <v>8</v>
      </c>
      <c r="C186" s="8">
        <v>26</v>
      </c>
      <c r="D186" s="9">
        <v>3</v>
      </c>
      <c r="E186" s="8">
        <v>26</v>
      </c>
      <c r="F186" s="8">
        <v>29</v>
      </c>
      <c r="G186" s="8">
        <v>3</v>
      </c>
      <c r="H186" s="8">
        <v>4</v>
      </c>
      <c r="I186" s="8">
        <v>0</v>
      </c>
      <c r="L186" s="53">
        <v>5.4214285714285717</v>
      </c>
      <c r="M186" s="53">
        <v>0.33555259653794939</v>
      </c>
      <c r="N186" s="53">
        <v>1.8</v>
      </c>
      <c r="O186" s="53">
        <v>0.37142857142857144</v>
      </c>
      <c r="P186" s="53">
        <v>4.75</v>
      </c>
    </row>
    <row r="187" spans="1:16" ht="15" x14ac:dyDescent="0.25">
      <c r="A187" s="11">
        <v>186</v>
      </c>
      <c r="B187" s="7">
        <v>9</v>
      </c>
      <c r="C187" s="8">
        <v>35</v>
      </c>
      <c r="D187" s="9">
        <v>4</v>
      </c>
      <c r="E187" s="8">
        <v>35</v>
      </c>
      <c r="F187" s="8">
        <v>39</v>
      </c>
      <c r="G187" s="8">
        <v>4</v>
      </c>
      <c r="H187" s="8">
        <v>6</v>
      </c>
      <c r="I187" s="8">
        <v>0</v>
      </c>
      <c r="L187" s="53">
        <v>5.4874999999999998</v>
      </c>
      <c r="M187" s="53">
        <v>0.32113341204250295</v>
      </c>
      <c r="N187" s="53">
        <v>1.8374999999999999</v>
      </c>
      <c r="O187" s="53">
        <v>0.41875000000000001</v>
      </c>
      <c r="P187" s="53">
        <v>4.3880597014925371</v>
      </c>
    </row>
    <row r="188" spans="1:16" ht="15" x14ac:dyDescent="0.25">
      <c r="A188" s="11">
        <v>187</v>
      </c>
      <c r="B188" s="7">
        <v>7</v>
      </c>
      <c r="C188" s="8">
        <v>42</v>
      </c>
      <c r="D188" s="9">
        <v>1</v>
      </c>
      <c r="E188" s="8">
        <v>42</v>
      </c>
      <c r="F188" s="8">
        <v>43</v>
      </c>
      <c r="G188" s="8">
        <v>1</v>
      </c>
      <c r="H188" s="8">
        <v>3</v>
      </c>
      <c r="I188" s="8">
        <v>0</v>
      </c>
      <c r="K188" s="44"/>
      <c r="L188" s="53">
        <v>5.3944444444444448</v>
      </c>
      <c r="M188" s="53">
        <v>0.31991525423728812</v>
      </c>
      <c r="N188" s="53">
        <v>1.7777777777777777</v>
      </c>
      <c r="O188" s="53">
        <v>0.42777777777777776</v>
      </c>
      <c r="P188" s="53">
        <v>4.1558441558441555</v>
      </c>
    </row>
    <row r="189" spans="1:16" ht="15" x14ac:dyDescent="0.25">
      <c r="A189" s="11">
        <v>188</v>
      </c>
      <c r="B189" s="7">
        <v>2</v>
      </c>
      <c r="C189" s="8">
        <v>44</v>
      </c>
      <c r="D189" s="9">
        <v>2</v>
      </c>
      <c r="E189" s="8">
        <v>44</v>
      </c>
      <c r="F189" s="8">
        <v>46</v>
      </c>
      <c r="G189" s="8">
        <v>2</v>
      </c>
      <c r="H189" s="8">
        <v>1</v>
      </c>
      <c r="I189" s="8">
        <v>0</v>
      </c>
      <c r="K189" s="44"/>
      <c r="L189" s="53">
        <f>(SUM($G$2:$G$201)/200)</f>
        <v>5.2450000000000001</v>
      </c>
      <c r="M189" s="53">
        <f>(SUM($H$2:$H$201)/($F$21+$F$41+$F$61+$F$81+$F$101+$F$121+$F$141+$F$161+$F$181+$F$201))</f>
        <v>0.33301886792452828</v>
      </c>
      <c r="N189" s="53">
        <f>SUM($I$2:$I$201)/200</f>
        <v>1.665</v>
      </c>
      <c r="O189" s="53">
        <f>(COUNTIF(I2:I201,"&gt;0")/200)</f>
        <v>0.41</v>
      </c>
      <c r="P189" s="53">
        <f>SUM($I$2:$I$201)/(COUNTIF($I$2:$I$201,"&gt;0"))</f>
        <v>4.0609756097560972</v>
      </c>
    </row>
    <row r="190" spans="1:16" ht="15" x14ac:dyDescent="0.25">
      <c r="A190" s="11">
        <v>189</v>
      </c>
      <c r="B190" s="7">
        <v>7</v>
      </c>
      <c r="C190" s="8">
        <v>51</v>
      </c>
      <c r="D190" s="9">
        <v>5</v>
      </c>
      <c r="E190" s="8">
        <v>51</v>
      </c>
      <c r="F190" s="8">
        <v>56</v>
      </c>
      <c r="G190" s="8">
        <v>5</v>
      </c>
      <c r="H190" s="8">
        <v>5</v>
      </c>
      <c r="I190" s="8">
        <v>0</v>
      </c>
      <c r="K190" s="51" t="s">
        <v>45</v>
      </c>
      <c r="L190" s="53">
        <f>AVERAGE(L180:L189)</f>
        <v>4.7919206349206345</v>
      </c>
      <c r="M190" s="53">
        <f t="shared" ref="M190:P190" si="16">AVERAGE(M180:M189)</f>
        <v>0.35805675995561703</v>
      </c>
      <c r="N190" s="53">
        <f t="shared" si="16"/>
        <v>1.2222777777777776</v>
      </c>
      <c r="O190" s="53">
        <f t="shared" si="16"/>
        <v>0.33662896825396832</v>
      </c>
      <c r="P190" s="53">
        <f t="shared" si="16"/>
        <v>3.3681960549712202</v>
      </c>
    </row>
    <row r="191" spans="1:16" ht="15" x14ac:dyDescent="0.25">
      <c r="A191" s="11">
        <v>190</v>
      </c>
      <c r="B191" s="7">
        <v>7</v>
      </c>
      <c r="C191" s="8">
        <v>58</v>
      </c>
      <c r="D191" s="9">
        <v>6</v>
      </c>
      <c r="E191" s="8">
        <v>58</v>
      </c>
      <c r="F191" s="8">
        <v>64</v>
      </c>
      <c r="G191" s="8">
        <v>6</v>
      </c>
      <c r="H191" s="8">
        <v>2</v>
      </c>
      <c r="I191" s="8">
        <v>0</v>
      </c>
      <c r="K191" s="51" t="s">
        <v>47</v>
      </c>
      <c r="L191" s="53">
        <f>STDEVA(L180:L189)</f>
        <v>0.7497839330714543</v>
      </c>
      <c r="M191" s="53">
        <f t="shared" ref="M191:P191" si="17">STDEVA(M180:M189)</f>
        <v>6.8997979866391626E-2</v>
      </c>
      <c r="N191" s="53">
        <f t="shared" si="17"/>
        <v>0.67335616022913103</v>
      </c>
      <c r="O191" s="53">
        <f t="shared" si="17"/>
        <v>9.4143347221392476E-2</v>
      </c>
      <c r="P191" s="53">
        <f t="shared" si="17"/>
        <v>1.2033289877779025</v>
      </c>
    </row>
    <row r="192" spans="1:16" ht="15" x14ac:dyDescent="0.25">
      <c r="A192" s="11">
        <v>191</v>
      </c>
      <c r="B192" s="7">
        <v>9</v>
      </c>
      <c r="C192" s="8">
        <v>67</v>
      </c>
      <c r="D192" s="9">
        <v>5</v>
      </c>
      <c r="E192" s="8">
        <v>67</v>
      </c>
      <c r="F192" s="8">
        <v>72</v>
      </c>
      <c r="G192" s="8">
        <v>5</v>
      </c>
      <c r="H192" s="8">
        <v>3</v>
      </c>
      <c r="I192" s="8">
        <v>0</v>
      </c>
      <c r="K192" s="44"/>
      <c r="L192" s="55"/>
      <c r="M192" s="55"/>
      <c r="N192" s="55"/>
      <c r="O192" s="55"/>
      <c r="P192" s="55"/>
    </row>
    <row r="193" spans="1:16" ht="15" x14ac:dyDescent="0.25">
      <c r="A193" s="11">
        <v>192</v>
      </c>
      <c r="B193" s="7">
        <v>2</v>
      </c>
      <c r="C193" s="8">
        <v>69</v>
      </c>
      <c r="D193" s="9">
        <v>3</v>
      </c>
      <c r="E193" s="8">
        <v>72</v>
      </c>
      <c r="F193" s="8">
        <v>75</v>
      </c>
      <c r="G193" s="8">
        <v>6</v>
      </c>
      <c r="H193" s="8">
        <v>0</v>
      </c>
      <c r="I193" s="8">
        <v>3</v>
      </c>
      <c r="K193" s="44"/>
      <c r="L193" s="55"/>
      <c r="M193" s="55"/>
      <c r="N193" s="55"/>
      <c r="O193" s="55"/>
      <c r="P193" s="55"/>
    </row>
    <row r="194" spans="1:16" ht="15" x14ac:dyDescent="0.25">
      <c r="A194" s="11">
        <v>193</v>
      </c>
      <c r="B194" s="7">
        <v>2</v>
      </c>
      <c r="C194" s="8">
        <v>71</v>
      </c>
      <c r="D194" s="9">
        <v>2</v>
      </c>
      <c r="E194" s="8">
        <v>75</v>
      </c>
      <c r="F194" s="8">
        <v>77</v>
      </c>
      <c r="G194" s="8">
        <v>6</v>
      </c>
      <c r="H194" s="8">
        <v>0</v>
      </c>
      <c r="I194" s="8">
        <v>4</v>
      </c>
      <c r="K194" s="44"/>
      <c r="L194" s="55"/>
      <c r="M194" s="55"/>
      <c r="N194" s="55"/>
      <c r="O194" s="55"/>
      <c r="P194" s="55"/>
    </row>
    <row r="195" spans="1:16" ht="39" x14ac:dyDescent="0.25">
      <c r="A195" s="11">
        <v>194</v>
      </c>
      <c r="B195" s="7">
        <v>7</v>
      </c>
      <c r="C195" s="8">
        <v>78</v>
      </c>
      <c r="D195" s="9">
        <v>6</v>
      </c>
      <c r="E195" s="8">
        <v>78</v>
      </c>
      <c r="F195" s="8">
        <v>84</v>
      </c>
      <c r="G195" s="8">
        <v>6</v>
      </c>
      <c r="H195" s="8">
        <v>1</v>
      </c>
      <c r="I195" s="8">
        <v>0</v>
      </c>
      <c r="K195" s="44"/>
      <c r="L195" s="53" t="s">
        <v>11</v>
      </c>
      <c r="M195" s="53" t="s">
        <v>12</v>
      </c>
      <c r="N195" s="53" t="s">
        <v>13</v>
      </c>
      <c r="O195" s="53" t="s">
        <v>14</v>
      </c>
      <c r="P195" s="53" t="s">
        <v>15</v>
      </c>
    </row>
    <row r="196" spans="1:16" ht="15" x14ac:dyDescent="0.25">
      <c r="A196" s="11">
        <v>195</v>
      </c>
      <c r="B196" s="7">
        <v>3</v>
      </c>
      <c r="C196" s="8">
        <v>81</v>
      </c>
      <c r="D196" s="9">
        <v>2</v>
      </c>
      <c r="E196" s="8">
        <v>84</v>
      </c>
      <c r="F196" s="8">
        <v>86</v>
      </c>
      <c r="G196" s="8">
        <v>5</v>
      </c>
      <c r="H196" s="8">
        <v>0</v>
      </c>
      <c r="I196" s="8">
        <v>3</v>
      </c>
      <c r="K196" s="44"/>
      <c r="L196" s="53">
        <v>3.6</v>
      </c>
      <c r="M196" s="53">
        <v>0.53459999999999996</v>
      </c>
      <c r="N196" s="53">
        <v>0.35</v>
      </c>
      <c r="O196" s="53">
        <v>0.15</v>
      </c>
      <c r="P196" s="53">
        <v>2.3330000000000002</v>
      </c>
    </row>
    <row r="197" spans="1:16" ht="15" x14ac:dyDescent="0.25">
      <c r="A197" s="11">
        <v>196</v>
      </c>
      <c r="B197" s="7">
        <v>5</v>
      </c>
      <c r="C197" s="8">
        <v>86</v>
      </c>
      <c r="D197" s="9">
        <v>4</v>
      </c>
      <c r="E197" s="8">
        <v>86</v>
      </c>
      <c r="F197" s="8">
        <v>90</v>
      </c>
      <c r="G197" s="8">
        <v>4</v>
      </c>
      <c r="H197" s="8">
        <v>0</v>
      </c>
      <c r="I197" s="8">
        <v>0</v>
      </c>
      <c r="K197" s="44"/>
      <c r="L197" s="53">
        <v>4</v>
      </c>
      <c r="M197" s="53">
        <v>0.40928270042194093</v>
      </c>
      <c r="N197" s="53">
        <v>0.4</v>
      </c>
      <c r="O197" s="53">
        <v>0.22500000000000001</v>
      </c>
      <c r="P197" s="53">
        <v>1.7777777777777777</v>
      </c>
    </row>
    <row r="198" spans="1:16" ht="15" x14ac:dyDescent="0.25">
      <c r="A198" s="11">
        <v>197</v>
      </c>
      <c r="B198" s="7">
        <v>7</v>
      </c>
      <c r="C198" s="8">
        <v>93</v>
      </c>
      <c r="D198" s="9">
        <v>1</v>
      </c>
      <c r="E198" s="8">
        <v>93</v>
      </c>
      <c r="F198" s="8">
        <v>94</v>
      </c>
      <c r="G198" s="8">
        <v>1</v>
      </c>
      <c r="H198" s="8">
        <v>3</v>
      </c>
      <c r="I198" s="8">
        <v>0</v>
      </c>
      <c r="K198" s="56"/>
      <c r="L198" s="53">
        <v>4.1500000000000004</v>
      </c>
      <c r="M198" s="53">
        <v>0.35562310030395139</v>
      </c>
      <c r="N198" s="53">
        <v>0.55000000000000004</v>
      </c>
      <c r="O198" s="53">
        <v>0.28333333333333333</v>
      </c>
      <c r="P198" s="53">
        <v>1.9411764705882353</v>
      </c>
    </row>
    <row r="199" spans="1:16" ht="15" x14ac:dyDescent="0.25">
      <c r="A199" s="11">
        <v>198</v>
      </c>
      <c r="B199" s="7">
        <v>1</v>
      </c>
      <c r="C199" s="8">
        <v>103</v>
      </c>
      <c r="D199" s="9">
        <v>2</v>
      </c>
      <c r="E199" s="8">
        <v>103</v>
      </c>
      <c r="F199" s="8">
        <v>105</v>
      </c>
      <c r="G199" s="8">
        <v>2</v>
      </c>
      <c r="H199" s="8">
        <v>9</v>
      </c>
      <c r="I199" s="8">
        <v>0</v>
      </c>
      <c r="K199" s="56"/>
      <c r="L199" s="53">
        <v>4.3375000000000004</v>
      </c>
      <c r="M199" s="53">
        <v>0.34731934731934733</v>
      </c>
      <c r="N199" s="53">
        <v>0.78749999999999998</v>
      </c>
      <c r="O199" s="53">
        <v>0.32500000000000001</v>
      </c>
      <c r="P199" s="53">
        <v>2.4230769230769229</v>
      </c>
    </row>
    <row r="200" spans="1:16" ht="15" x14ac:dyDescent="0.25">
      <c r="A200" s="11">
        <v>199</v>
      </c>
      <c r="B200" s="7">
        <v>7</v>
      </c>
      <c r="C200" s="8">
        <v>110</v>
      </c>
      <c r="D200" s="9">
        <v>4</v>
      </c>
      <c r="E200" s="8">
        <v>110</v>
      </c>
      <c r="F200" s="8">
        <v>114</v>
      </c>
      <c r="G200" s="8">
        <v>4</v>
      </c>
      <c r="H200" s="8">
        <v>5</v>
      </c>
      <c r="I200" s="8">
        <v>0</v>
      </c>
      <c r="L200" s="53">
        <v>4.55</v>
      </c>
      <c r="M200" s="53">
        <v>0.33143939393939392</v>
      </c>
      <c r="N200" s="53">
        <v>0.98</v>
      </c>
      <c r="O200" s="53">
        <v>0.33</v>
      </c>
      <c r="P200" s="53">
        <v>2.9696969700000002</v>
      </c>
    </row>
    <row r="201" spans="1:16" ht="15" x14ac:dyDescent="0.25">
      <c r="A201" s="11">
        <v>200</v>
      </c>
      <c r="B201" s="7">
        <v>3</v>
      </c>
      <c r="C201" s="8">
        <v>113</v>
      </c>
      <c r="D201" s="9">
        <v>2</v>
      </c>
      <c r="E201" s="8">
        <v>114</v>
      </c>
      <c r="F201" s="8">
        <v>116</v>
      </c>
      <c r="G201" s="8">
        <v>3</v>
      </c>
      <c r="H201" s="8">
        <v>0</v>
      </c>
      <c r="I201" s="8">
        <v>1</v>
      </c>
      <c r="L201" s="53">
        <v>5.7333333333333334</v>
      </c>
      <c r="M201" s="53">
        <v>0.29268292682926828</v>
      </c>
      <c r="N201" s="53">
        <v>2.0750000000000002</v>
      </c>
      <c r="O201" s="53">
        <v>0.42499999999999999</v>
      </c>
      <c r="P201" s="53">
        <v>4.882352941176471</v>
      </c>
    </row>
    <row r="202" spans="1:16" ht="15" x14ac:dyDescent="0.25">
      <c r="A202" s="11">
        <v>201</v>
      </c>
      <c r="B202" s="7"/>
      <c r="C202" s="12">
        <v>0</v>
      </c>
      <c r="D202" s="13">
        <v>1</v>
      </c>
      <c r="E202" s="12">
        <v>0</v>
      </c>
      <c r="F202" s="12">
        <v>1</v>
      </c>
      <c r="G202" s="12">
        <v>1</v>
      </c>
      <c r="H202" s="12">
        <v>0</v>
      </c>
      <c r="I202" s="12">
        <v>0</v>
      </c>
      <c r="L202" s="53">
        <v>5.4214285714285717</v>
      </c>
      <c r="M202" s="53">
        <v>0.33555259653794939</v>
      </c>
      <c r="N202" s="53">
        <v>1.8</v>
      </c>
      <c r="O202" s="53">
        <v>0.37142857142857144</v>
      </c>
      <c r="P202" s="53">
        <v>4.75</v>
      </c>
    </row>
    <row r="203" spans="1:16" ht="15" x14ac:dyDescent="0.25">
      <c r="A203" s="11">
        <v>202</v>
      </c>
      <c r="B203" s="14">
        <v>8</v>
      </c>
      <c r="C203" s="12">
        <v>8</v>
      </c>
      <c r="D203" s="13">
        <v>6</v>
      </c>
      <c r="E203" s="12">
        <v>8</v>
      </c>
      <c r="F203" s="12">
        <v>14</v>
      </c>
      <c r="G203" s="12">
        <v>6</v>
      </c>
      <c r="H203" s="12">
        <v>7</v>
      </c>
      <c r="I203" s="12">
        <v>0</v>
      </c>
      <c r="L203" s="53">
        <v>5.4874999999999998</v>
      </c>
      <c r="M203" s="53">
        <v>0.32113341204250295</v>
      </c>
      <c r="N203" s="53">
        <v>1.8374999999999999</v>
      </c>
      <c r="O203" s="53">
        <v>0.41875000000000001</v>
      </c>
      <c r="P203" s="53">
        <v>4.3880597014925371</v>
      </c>
    </row>
    <row r="204" spans="1:16" ht="15" x14ac:dyDescent="0.25">
      <c r="A204" s="11">
        <v>203</v>
      </c>
      <c r="B204" s="14">
        <v>6</v>
      </c>
      <c r="C204" s="12">
        <v>14</v>
      </c>
      <c r="D204" s="13">
        <v>3</v>
      </c>
      <c r="E204" s="12">
        <v>14</v>
      </c>
      <c r="F204" s="12">
        <v>17</v>
      </c>
      <c r="G204" s="12">
        <v>3</v>
      </c>
      <c r="H204" s="12">
        <v>0</v>
      </c>
      <c r="I204" s="12">
        <v>0</v>
      </c>
      <c r="L204" s="53">
        <v>5.3944444444444448</v>
      </c>
      <c r="M204" s="53">
        <v>0.31991525423728812</v>
      </c>
      <c r="N204" s="53">
        <v>1.7777777777777777</v>
      </c>
      <c r="O204" s="53">
        <v>0.42777777777777776</v>
      </c>
      <c r="P204" s="53">
        <v>4.1558441558441555</v>
      </c>
    </row>
    <row r="205" spans="1:16" ht="15" x14ac:dyDescent="0.25">
      <c r="A205" s="11">
        <v>204</v>
      </c>
      <c r="B205" s="14">
        <v>2</v>
      </c>
      <c r="C205" s="12">
        <v>16</v>
      </c>
      <c r="D205" s="13">
        <v>2</v>
      </c>
      <c r="E205" s="12">
        <v>17</v>
      </c>
      <c r="F205" s="12">
        <v>19</v>
      </c>
      <c r="G205" s="12">
        <v>3</v>
      </c>
      <c r="H205" s="12">
        <v>0</v>
      </c>
      <c r="I205" s="12">
        <v>1</v>
      </c>
      <c r="L205" s="53">
        <v>5.2450000000000001</v>
      </c>
      <c r="M205" s="53">
        <v>0.33301886792452828</v>
      </c>
      <c r="N205" s="53">
        <v>1.665</v>
      </c>
      <c r="O205" s="53">
        <v>0.41</v>
      </c>
      <c r="P205" s="53">
        <v>4.0609756097560972</v>
      </c>
    </row>
    <row r="206" spans="1:16" ht="15" x14ac:dyDescent="0.25">
      <c r="A206" s="11">
        <v>205</v>
      </c>
      <c r="B206" s="14">
        <v>6</v>
      </c>
      <c r="C206" s="12">
        <v>22</v>
      </c>
      <c r="D206" s="13">
        <v>3</v>
      </c>
      <c r="E206" s="12">
        <v>22</v>
      </c>
      <c r="F206" s="12">
        <v>25</v>
      </c>
      <c r="G206" s="12">
        <v>3</v>
      </c>
      <c r="H206" s="12">
        <v>3</v>
      </c>
      <c r="I206" s="12">
        <v>0</v>
      </c>
      <c r="L206" s="53">
        <f>(SUM($G$2:$G$221)/220)</f>
        <v>5.0727272727272723</v>
      </c>
      <c r="M206" s="53">
        <f>(SUM($H$2:$H$221)/($F$21+$F$41+$F$61+$F$81+$F$101+$F$121+$F$141+$F$161+$F$181+$F$201+$F$221))</f>
        <v>0.34382978723404256</v>
      </c>
      <c r="N206" s="53">
        <f>SUM($I$2:$I$221)/220</f>
        <v>1.5727272727272728</v>
      </c>
      <c r="O206" s="53">
        <f>(COUNTIF($I$2:$I$221,"&gt;0")/220)</f>
        <v>0.4</v>
      </c>
      <c r="P206" s="53">
        <f>SUM($I$2:$I$201)/(COUNTIF($I$2:$I$201,"&gt;0"))</f>
        <v>4.0609756097560972</v>
      </c>
    </row>
    <row r="207" spans="1:16" ht="15" x14ac:dyDescent="0.25">
      <c r="A207" s="11">
        <v>206</v>
      </c>
      <c r="B207" s="14">
        <v>9</v>
      </c>
      <c r="C207" s="12">
        <v>31</v>
      </c>
      <c r="D207" s="13">
        <v>5</v>
      </c>
      <c r="E207" s="12">
        <v>31</v>
      </c>
      <c r="F207" s="12">
        <v>36</v>
      </c>
      <c r="G207" s="12">
        <v>5</v>
      </c>
      <c r="H207" s="12">
        <v>6</v>
      </c>
      <c r="I207" s="12">
        <v>0</v>
      </c>
      <c r="K207" s="51" t="s">
        <v>45</v>
      </c>
      <c r="L207" s="53">
        <f>AVERAGE(L196:L206)</f>
        <v>4.8174485110848746</v>
      </c>
      <c r="M207" s="53">
        <f t="shared" ref="M207:P207" si="18">AVERAGE(M196:M206)</f>
        <v>0.35676339879911029</v>
      </c>
      <c r="N207" s="53">
        <f t="shared" si="18"/>
        <v>1.2541368227731862</v>
      </c>
      <c r="O207" s="53">
        <f t="shared" si="18"/>
        <v>0.34238997113997116</v>
      </c>
      <c r="P207" s="53">
        <f t="shared" si="18"/>
        <v>3.4311760144971184</v>
      </c>
    </row>
    <row r="208" spans="1:16" ht="15" x14ac:dyDescent="0.25">
      <c r="A208" s="11">
        <v>207</v>
      </c>
      <c r="B208" s="14">
        <v>7</v>
      </c>
      <c r="C208" s="12">
        <v>38</v>
      </c>
      <c r="D208" s="13">
        <v>4</v>
      </c>
      <c r="E208" s="12">
        <v>38</v>
      </c>
      <c r="F208" s="12">
        <v>42</v>
      </c>
      <c r="G208" s="12">
        <v>4</v>
      </c>
      <c r="H208" s="12">
        <v>2</v>
      </c>
      <c r="I208" s="12">
        <v>0</v>
      </c>
      <c r="K208" s="51" t="s">
        <v>47</v>
      </c>
      <c r="L208" s="53">
        <f>STDEVA(L196:L206)</f>
        <v>0.71632865972185933</v>
      </c>
      <c r="M208" s="53">
        <f t="shared" ref="M208:P208" si="19">STDEVA(M196:M206)</f>
        <v>6.5597634995260626E-2</v>
      </c>
      <c r="N208" s="53">
        <f t="shared" si="19"/>
        <v>0.64748177804080442</v>
      </c>
      <c r="O208" s="53">
        <f t="shared" si="19"/>
        <v>9.1333200645881088E-2</v>
      </c>
      <c r="P208" s="53">
        <f t="shared" si="19"/>
        <v>1.1605308336552955</v>
      </c>
    </row>
    <row r="209" spans="1:16" ht="15" x14ac:dyDescent="0.25">
      <c r="A209" s="11">
        <v>208</v>
      </c>
      <c r="B209" s="14">
        <v>3</v>
      </c>
      <c r="C209" s="12">
        <v>41</v>
      </c>
      <c r="D209" s="13">
        <v>3</v>
      </c>
      <c r="E209" s="12">
        <v>42</v>
      </c>
      <c r="F209" s="12">
        <v>45</v>
      </c>
      <c r="G209" s="12">
        <v>4</v>
      </c>
      <c r="H209" s="12">
        <v>0</v>
      </c>
      <c r="I209" s="12">
        <v>1</v>
      </c>
    </row>
    <row r="210" spans="1:16" ht="15" x14ac:dyDescent="0.25">
      <c r="A210" s="11">
        <v>209</v>
      </c>
      <c r="B210" s="14">
        <v>2</v>
      </c>
      <c r="C210" s="12">
        <v>43</v>
      </c>
      <c r="D210" s="13">
        <v>1</v>
      </c>
      <c r="E210" s="12">
        <v>45</v>
      </c>
      <c r="F210" s="12">
        <v>46</v>
      </c>
      <c r="G210" s="12">
        <v>3</v>
      </c>
      <c r="H210" s="12">
        <v>0</v>
      </c>
      <c r="I210" s="12">
        <v>2</v>
      </c>
    </row>
    <row r="211" spans="1:16" ht="15" x14ac:dyDescent="0.25">
      <c r="A211" s="11">
        <v>210</v>
      </c>
      <c r="B211" s="7">
        <v>1</v>
      </c>
      <c r="C211" s="12">
        <v>53</v>
      </c>
      <c r="D211" s="13">
        <v>3</v>
      </c>
      <c r="E211" s="12">
        <v>53</v>
      </c>
      <c r="F211" s="12">
        <v>56</v>
      </c>
      <c r="G211" s="12">
        <v>3</v>
      </c>
      <c r="H211" s="12">
        <v>7</v>
      </c>
      <c r="I211" s="12">
        <v>0</v>
      </c>
      <c r="K211" s="44"/>
      <c r="L211" s="55"/>
      <c r="M211" s="55"/>
      <c r="N211" s="55"/>
      <c r="O211" s="55"/>
      <c r="P211" s="55"/>
    </row>
    <row r="212" spans="1:16" ht="15" x14ac:dyDescent="0.25">
      <c r="A212" s="11">
        <v>211</v>
      </c>
      <c r="B212" s="14">
        <v>4</v>
      </c>
      <c r="C212" s="12">
        <v>57</v>
      </c>
      <c r="D212" s="13">
        <v>3</v>
      </c>
      <c r="E212" s="12">
        <v>57</v>
      </c>
      <c r="F212" s="12">
        <v>60</v>
      </c>
      <c r="G212" s="12">
        <v>3</v>
      </c>
      <c r="H212" s="12">
        <v>1</v>
      </c>
      <c r="I212" s="12">
        <v>0</v>
      </c>
      <c r="K212" s="44"/>
      <c r="L212" s="55"/>
      <c r="M212" s="55"/>
      <c r="N212" s="55"/>
      <c r="O212" s="55"/>
      <c r="P212" s="55"/>
    </row>
    <row r="213" spans="1:16" ht="39" x14ac:dyDescent="0.25">
      <c r="A213" s="11">
        <v>212</v>
      </c>
      <c r="B213" s="14">
        <v>8</v>
      </c>
      <c r="C213" s="12">
        <v>65</v>
      </c>
      <c r="D213" s="13">
        <v>1</v>
      </c>
      <c r="E213" s="12">
        <v>65</v>
      </c>
      <c r="F213" s="12">
        <v>66</v>
      </c>
      <c r="G213" s="12">
        <v>1</v>
      </c>
      <c r="H213" s="12">
        <v>0</v>
      </c>
      <c r="I213" s="12">
        <v>5</v>
      </c>
      <c r="K213" s="44"/>
      <c r="L213" s="53" t="s">
        <v>11</v>
      </c>
      <c r="M213" s="53" t="s">
        <v>12</v>
      </c>
      <c r="N213" s="53" t="s">
        <v>13</v>
      </c>
      <c r="O213" s="53" t="s">
        <v>14</v>
      </c>
      <c r="P213" s="53" t="s">
        <v>15</v>
      </c>
    </row>
    <row r="214" spans="1:16" ht="15" x14ac:dyDescent="0.25">
      <c r="A214" s="11">
        <v>213</v>
      </c>
      <c r="B214" s="14">
        <v>5</v>
      </c>
      <c r="C214" s="12">
        <v>70</v>
      </c>
      <c r="D214" s="13">
        <v>2</v>
      </c>
      <c r="E214" s="12">
        <v>70</v>
      </c>
      <c r="F214" s="12">
        <v>72</v>
      </c>
      <c r="G214" s="12">
        <v>2</v>
      </c>
      <c r="H214" s="12">
        <v>4</v>
      </c>
      <c r="I214" s="12">
        <v>0</v>
      </c>
      <c r="K214" s="44"/>
      <c r="L214" s="53">
        <v>3.6</v>
      </c>
      <c r="M214" s="53">
        <v>0.53459999999999996</v>
      </c>
      <c r="N214" s="53">
        <v>0.35</v>
      </c>
      <c r="O214" s="53">
        <v>0.15</v>
      </c>
      <c r="P214" s="53">
        <v>2.3330000000000002</v>
      </c>
    </row>
    <row r="215" spans="1:16" ht="15" x14ac:dyDescent="0.25">
      <c r="A215" s="11">
        <v>214</v>
      </c>
      <c r="B215" s="14">
        <v>8</v>
      </c>
      <c r="C215" s="12">
        <v>78</v>
      </c>
      <c r="D215" s="13">
        <v>3</v>
      </c>
      <c r="E215" s="12">
        <v>78</v>
      </c>
      <c r="F215" s="12">
        <v>81</v>
      </c>
      <c r="G215" s="12">
        <v>3</v>
      </c>
      <c r="H215" s="12">
        <v>6</v>
      </c>
      <c r="I215" s="12">
        <v>0</v>
      </c>
      <c r="K215" s="44"/>
      <c r="L215" s="53">
        <v>4</v>
      </c>
      <c r="M215" s="53">
        <v>0.40928270042194093</v>
      </c>
      <c r="N215" s="53">
        <v>0.4</v>
      </c>
      <c r="O215" s="53">
        <v>0.22500000000000001</v>
      </c>
      <c r="P215" s="53">
        <v>1.7777777777777777</v>
      </c>
    </row>
    <row r="216" spans="1:16" ht="15" x14ac:dyDescent="0.25">
      <c r="A216" s="11">
        <v>215</v>
      </c>
      <c r="B216" s="14">
        <v>9</v>
      </c>
      <c r="C216" s="12">
        <v>87</v>
      </c>
      <c r="D216" s="13">
        <v>6</v>
      </c>
      <c r="E216" s="12">
        <v>87</v>
      </c>
      <c r="F216" s="12">
        <v>93</v>
      </c>
      <c r="G216" s="12">
        <v>6</v>
      </c>
      <c r="H216" s="12">
        <v>6</v>
      </c>
      <c r="I216" s="12">
        <v>0</v>
      </c>
      <c r="K216" s="44"/>
      <c r="L216" s="53">
        <v>4.1500000000000004</v>
      </c>
      <c r="M216" s="53">
        <v>0.35562310030395139</v>
      </c>
      <c r="N216" s="53">
        <v>0.55000000000000004</v>
      </c>
      <c r="O216" s="53">
        <v>0.28333333333333333</v>
      </c>
      <c r="P216" s="53">
        <v>1.9411764705882353</v>
      </c>
    </row>
    <row r="217" spans="1:16" ht="15" x14ac:dyDescent="0.25">
      <c r="A217" s="11">
        <v>216</v>
      </c>
      <c r="B217" s="14">
        <v>4</v>
      </c>
      <c r="C217" s="12">
        <v>91</v>
      </c>
      <c r="D217" s="13">
        <v>3</v>
      </c>
      <c r="E217" s="12">
        <v>93</v>
      </c>
      <c r="F217" s="12">
        <v>96</v>
      </c>
      <c r="G217" s="12">
        <v>5</v>
      </c>
      <c r="H217" s="12">
        <v>0</v>
      </c>
      <c r="I217" s="12">
        <v>2</v>
      </c>
      <c r="K217" s="44"/>
      <c r="L217" s="53">
        <v>4.3375000000000004</v>
      </c>
      <c r="M217" s="53">
        <v>0.34731934731934733</v>
      </c>
      <c r="N217" s="53">
        <v>0.78749999999999998</v>
      </c>
      <c r="O217" s="53">
        <v>0.32500000000000001</v>
      </c>
      <c r="P217" s="53">
        <v>2.4230769230769229</v>
      </c>
    </row>
    <row r="218" spans="1:16" ht="15" x14ac:dyDescent="0.25">
      <c r="A218" s="11">
        <v>217</v>
      </c>
      <c r="B218" s="14">
        <v>3</v>
      </c>
      <c r="C218" s="12">
        <v>94</v>
      </c>
      <c r="D218" s="13">
        <v>3</v>
      </c>
      <c r="E218" s="12">
        <v>96</v>
      </c>
      <c r="F218" s="12">
        <v>99</v>
      </c>
      <c r="G218" s="12">
        <v>5</v>
      </c>
      <c r="H218" s="12">
        <v>0</v>
      </c>
      <c r="I218" s="12">
        <v>2</v>
      </c>
      <c r="K218" s="44"/>
      <c r="L218" s="53">
        <v>4.55</v>
      </c>
      <c r="M218" s="53">
        <v>0.33143939393939392</v>
      </c>
      <c r="N218" s="53">
        <v>0.98</v>
      </c>
      <c r="O218" s="53">
        <v>0.33</v>
      </c>
      <c r="P218" s="53">
        <v>2.9696969700000002</v>
      </c>
    </row>
    <row r="219" spans="1:16" ht="15" x14ac:dyDescent="0.25">
      <c r="A219" s="11">
        <v>218</v>
      </c>
      <c r="B219" s="14">
        <v>9</v>
      </c>
      <c r="C219" s="12">
        <v>103</v>
      </c>
      <c r="D219" s="13">
        <v>4</v>
      </c>
      <c r="E219" s="12">
        <v>103</v>
      </c>
      <c r="F219" s="12">
        <v>107</v>
      </c>
      <c r="G219" s="12">
        <v>4</v>
      </c>
      <c r="H219" s="12">
        <v>4</v>
      </c>
      <c r="I219" s="12">
        <v>0</v>
      </c>
      <c r="K219" s="44"/>
      <c r="L219" s="53">
        <v>5.7333333333333334</v>
      </c>
      <c r="M219" s="53">
        <v>0.29268292682926828</v>
      </c>
      <c r="N219" s="53">
        <v>2.0750000000000002</v>
      </c>
      <c r="O219" s="53">
        <v>0.42499999999999999</v>
      </c>
      <c r="P219" s="53">
        <v>4.882352941176471</v>
      </c>
    </row>
    <row r="220" spans="1:16" ht="15" x14ac:dyDescent="0.25">
      <c r="A220" s="11">
        <v>219</v>
      </c>
      <c r="B220" s="14">
        <v>9</v>
      </c>
      <c r="C220" s="12">
        <v>112</v>
      </c>
      <c r="D220" s="13">
        <v>2</v>
      </c>
      <c r="E220" s="12">
        <v>112</v>
      </c>
      <c r="F220" s="12">
        <v>114</v>
      </c>
      <c r="G220" s="12">
        <v>2</v>
      </c>
      <c r="H220" s="12">
        <v>5</v>
      </c>
      <c r="I220" s="12">
        <v>0</v>
      </c>
      <c r="K220" s="44"/>
      <c r="L220" s="53">
        <v>5.4214285714285717</v>
      </c>
      <c r="M220" s="53">
        <v>0.33555259653794939</v>
      </c>
      <c r="N220" s="53">
        <v>1.8</v>
      </c>
      <c r="O220" s="53">
        <v>0.37142857142857144</v>
      </c>
      <c r="P220" s="53">
        <v>4.75</v>
      </c>
    </row>
    <row r="221" spans="1:16" ht="15" x14ac:dyDescent="0.25">
      <c r="A221" s="11">
        <v>220</v>
      </c>
      <c r="B221" s="14">
        <v>2</v>
      </c>
      <c r="C221" s="12">
        <v>114</v>
      </c>
      <c r="D221" s="13">
        <v>1</v>
      </c>
      <c r="E221" s="12">
        <v>114</v>
      </c>
      <c r="F221" s="12">
        <v>115</v>
      </c>
      <c r="G221" s="12">
        <v>1</v>
      </c>
      <c r="H221" s="12">
        <v>0</v>
      </c>
      <c r="I221" s="12">
        <v>0</v>
      </c>
      <c r="K221" s="44"/>
      <c r="L221" s="53">
        <v>5.4874999999999998</v>
      </c>
      <c r="M221" s="53">
        <v>0.32113341204250295</v>
      </c>
      <c r="N221" s="53">
        <v>1.8374999999999999</v>
      </c>
      <c r="O221" s="53">
        <v>0.41875000000000001</v>
      </c>
      <c r="P221" s="53">
        <v>4.3880597014925371</v>
      </c>
    </row>
    <row r="222" spans="1:16" ht="15" x14ac:dyDescent="0.25">
      <c r="A222" s="11">
        <v>221</v>
      </c>
      <c r="B222" s="7"/>
      <c r="C222" s="8">
        <v>0</v>
      </c>
      <c r="D222" s="9">
        <v>5</v>
      </c>
      <c r="E222" s="8">
        <v>0</v>
      </c>
      <c r="F222" s="8">
        <v>5</v>
      </c>
      <c r="G222" s="8">
        <v>5</v>
      </c>
      <c r="H222" s="8">
        <v>0</v>
      </c>
      <c r="I222" s="8">
        <v>0</v>
      </c>
      <c r="K222" s="56"/>
      <c r="L222" s="53">
        <v>5.3944444444444448</v>
      </c>
      <c r="M222" s="53">
        <v>0.31991525423728812</v>
      </c>
      <c r="N222" s="53">
        <v>1.7777777777777777</v>
      </c>
      <c r="O222" s="53">
        <v>0.42777777777777776</v>
      </c>
      <c r="P222" s="53">
        <v>4.1558441558441555</v>
      </c>
    </row>
    <row r="223" spans="1:16" ht="15" x14ac:dyDescent="0.25">
      <c r="A223" s="11">
        <v>222</v>
      </c>
      <c r="B223" s="7">
        <v>3</v>
      </c>
      <c r="C223" s="8">
        <v>3</v>
      </c>
      <c r="D223" s="9">
        <v>1</v>
      </c>
      <c r="E223" s="8">
        <v>5</v>
      </c>
      <c r="F223" s="8">
        <v>6</v>
      </c>
      <c r="G223" s="8">
        <v>3</v>
      </c>
      <c r="H223" s="8">
        <v>0</v>
      </c>
      <c r="I223" s="8">
        <v>2</v>
      </c>
      <c r="K223" s="56"/>
      <c r="L223" s="53">
        <v>5.2450000000000001</v>
      </c>
      <c r="M223" s="53">
        <v>0.33301886792452828</v>
      </c>
      <c r="N223" s="53">
        <v>1.665</v>
      </c>
      <c r="O223" s="53">
        <v>0.41</v>
      </c>
      <c r="P223" s="53">
        <v>4.0609756097560972</v>
      </c>
    </row>
    <row r="224" spans="1:16" ht="15" x14ac:dyDescent="0.25">
      <c r="A224" s="11">
        <v>223</v>
      </c>
      <c r="B224" s="7">
        <v>1</v>
      </c>
      <c r="C224" s="8">
        <v>4</v>
      </c>
      <c r="D224" s="9">
        <v>1</v>
      </c>
      <c r="E224" s="8">
        <v>6</v>
      </c>
      <c r="F224" s="8">
        <v>7</v>
      </c>
      <c r="G224" s="8">
        <v>3</v>
      </c>
      <c r="H224" s="8">
        <v>0</v>
      </c>
      <c r="I224" s="8">
        <v>2</v>
      </c>
      <c r="L224" s="50">
        <v>5.0727272727272723</v>
      </c>
      <c r="M224" s="50">
        <v>0.34382978723404256</v>
      </c>
      <c r="N224" s="50">
        <v>1.5727272727272728</v>
      </c>
      <c r="O224" s="50">
        <v>0.4</v>
      </c>
      <c r="P224" s="50">
        <v>4.0609756097560972</v>
      </c>
    </row>
    <row r="225" spans="1:16" ht="15" x14ac:dyDescent="0.25">
      <c r="A225" s="11">
        <v>224</v>
      </c>
      <c r="B225" s="7">
        <v>4</v>
      </c>
      <c r="C225" s="8">
        <v>8</v>
      </c>
      <c r="D225" s="9">
        <v>6</v>
      </c>
      <c r="E225" s="8">
        <v>8</v>
      </c>
      <c r="F225" s="8">
        <v>14</v>
      </c>
      <c r="G225" s="8">
        <v>6</v>
      </c>
      <c r="H225" s="8">
        <v>1</v>
      </c>
      <c r="I225" s="8">
        <v>0</v>
      </c>
      <c r="L225" s="53">
        <f>(SUM($G$2:$G$241)/240)</f>
        <v>5.1791666666666663</v>
      </c>
      <c r="M225" s="53">
        <f>(SUM($H$2:$H$241)/($F$21+$F$41+$F$61+$F$81+$F$101+$F$121+$F$141+$F$161+$F$181+$F$201+$F$221+$F$241))</f>
        <v>0.32939322301024426</v>
      </c>
      <c r="N225" s="53">
        <f>SUM($I$2:$I$241)/240</f>
        <v>1.6375</v>
      </c>
      <c r="O225" s="53">
        <f>(COUNTIF($I$2:$I$241,"&gt;0")/240)</f>
        <v>0.40833333333333333</v>
      </c>
      <c r="P225" s="53">
        <f>SUM($I$2:$I$241)/(COUNTIF($I$2:$I$241,"&gt;0"))</f>
        <v>4.0102040816326534</v>
      </c>
    </row>
    <row r="226" spans="1:16" ht="15" x14ac:dyDescent="0.25">
      <c r="A226" s="11">
        <v>225</v>
      </c>
      <c r="B226" s="7">
        <v>8</v>
      </c>
      <c r="C226" s="8">
        <v>16</v>
      </c>
      <c r="D226" s="9">
        <v>6</v>
      </c>
      <c r="E226" s="8">
        <v>16</v>
      </c>
      <c r="F226" s="8">
        <v>22</v>
      </c>
      <c r="G226" s="8">
        <v>6</v>
      </c>
      <c r="H226" s="8">
        <v>2</v>
      </c>
      <c r="I226" s="8">
        <v>0</v>
      </c>
      <c r="K226" s="51" t="s">
        <v>45</v>
      </c>
      <c r="L226" s="50">
        <f>AVERAGE(L214:L225)</f>
        <v>4.8475916907166905</v>
      </c>
      <c r="M226" s="50">
        <f t="shared" ref="M226:P226" si="20">AVERAGE(M214:M225)</f>
        <v>0.35448255081670482</v>
      </c>
      <c r="N226" s="50">
        <f t="shared" si="20"/>
        <v>1.286083754208754</v>
      </c>
      <c r="O226" s="50">
        <f t="shared" si="20"/>
        <v>0.34788525132275133</v>
      </c>
      <c r="P226" s="50">
        <f t="shared" si="20"/>
        <v>3.4794283534250794</v>
      </c>
    </row>
    <row r="227" spans="1:16" ht="15" x14ac:dyDescent="0.25">
      <c r="A227" s="11">
        <v>226</v>
      </c>
      <c r="B227" s="7">
        <v>3</v>
      </c>
      <c r="C227" s="8">
        <v>19</v>
      </c>
      <c r="D227" s="9">
        <v>5</v>
      </c>
      <c r="E227" s="8">
        <v>22</v>
      </c>
      <c r="F227" s="8">
        <v>27</v>
      </c>
      <c r="G227" s="8">
        <v>8</v>
      </c>
      <c r="H227" s="8">
        <v>0</v>
      </c>
      <c r="I227" s="8">
        <v>3</v>
      </c>
      <c r="K227" s="51" t="s">
        <v>47</v>
      </c>
      <c r="L227" s="50">
        <f>STDEVA(L214:L225)</f>
        <v>0.69092850413752271</v>
      </c>
      <c r="M227" s="50">
        <f t="shared" ref="M227:P227" si="21">STDEVA(M214:M225)</f>
        <v>6.3041974820678304E-2</v>
      </c>
      <c r="N227" s="50">
        <f t="shared" si="21"/>
        <v>0.62719045805766849</v>
      </c>
      <c r="O227" s="50">
        <f t="shared" si="21"/>
        <v>8.9139158402683494E-2</v>
      </c>
      <c r="P227" s="50">
        <f t="shared" si="21"/>
        <v>1.1190764131287843</v>
      </c>
    </row>
    <row r="228" spans="1:16" ht="15" x14ac:dyDescent="0.25">
      <c r="A228" s="11">
        <v>227</v>
      </c>
      <c r="B228" s="7">
        <v>3</v>
      </c>
      <c r="C228" s="8">
        <v>22</v>
      </c>
      <c r="D228" s="9">
        <v>6</v>
      </c>
      <c r="E228" s="8">
        <v>27</v>
      </c>
      <c r="F228" s="8">
        <v>33</v>
      </c>
      <c r="G228" s="8">
        <v>11</v>
      </c>
      <c r="H228" s="8">
        <v>0</v>
      </c>
      <c r="I228" s="8">
        <v>5</v>
      </c>
    </row>
    <row r="229" spans="1:16" ht="15" x14ac:dyDescent="0.25">
      <c r="A229" s="11">
        <v>228</v>
      </c>
      <c r="B229" s="7">
        <v>1</v>
      </c>
      <c r="C229" s="8">
        <v>23</v>
      </c>
      <c r="D229" s="9">
        <v>3</v>
      </c>
      <c r="E229" s="8">
        <v>33</v>
      </c>
      <c r="F229" s="8">
        <v>36</v>
      </c>
      <c r="G229" s="8">
        <v>13</v>
      </c>
      <c r="H229" s="8">
        <v>0</v>
      </c>
      <c r="I229" s="8">
        <v>10</v>
      </c>
    </row>
    <row r="230" spans="1:16" ht="15" x14ac:dyDescent="0.25">
      <c r="A230" s="11">
        <v>229</v>
      </c>
      <c r="B230" s="7">
        <v>7</v>
      </c>
      <c r="C230" s="8">
        <v>30</v>
      </c>
      <c r="D230" s="9">
        <v>5</v>
      </c>
      <c r="E230" s="8">
        <v>36</v>
      </c>
      <c r="F230" s="8">
        <v>41</v>
      </c>
      <c r="G230" s="8">
        <v>11</v>
      </c>
      <c r="H230" s="8">
        <v>0</v>
      </c>
      <c r="I230" s="8">
        <v>6</v>
      </c>
    </row>
    <row r="231" spans="1:16" ht="39" x14ac:dyDescent="0.25">
      <c r="A231" s="11">
        <v>230</v>
      </c>
      <c r="B231" s="7">
        <v>4</v>
      </c>
      <c r="C231" s="8">
        <v>34</v>
      </c>
      <c r="D231" s="9">
        <v>2</v>
      </c>
      <c r="E231" s="8">
        <v>41</v>
      </c>
      <c r="F231" s="8">
        <v>42</v>
      </c>
      <c r="G231" s="8">
        <v>9</v>
      </c>
      <c r="H231" s="8">
        <v>0</v>
      </c>
      <c r="I231" s="8">
        <v>7</v>
      </c>
      <c r="L231" s="53" t="s">
        <v>11</v>
      </c>
      <c r="M231" s="53" t="s">
        <v>12</v>
      </c>
      <c r="N231" s="53" t="s">
        <v>13</v>
      </c>
      <c r="O231" s="53" t="s">
        <v>14</v>
      </c>
      <c r="P231" s="53" t="s">
        <v>15</v>
      </c>
    </row>
    <row r="232" spans="1:16" ht="15" x14ac:dyDescent="0.25">
      <c r="A232" s="11">
        <v>231</v>
      </c>
      <c r="B232" s="7">
        <v>2</v>
      </c>
      <c r="C232" s="8">
        <v>36</v>
      </c>
      <c r="D232" s="9">
        <v>6</v>
      </c>
      <c r="E232" s="8">
        <v>43</v>
      </c>
      <c r="F232" s="8">
        <v>49</v>
      </c>
      <c r="G232" s="8">
        <v>13</v>
      </c>
      <c r="H232" s="8">
        <v>0</v>
      </c>
      <c r="I232" s="8">
        <v>7</v>
      </c>
      <c r="L232" s="53">
        <v>3.6</v>
      </c>
      <c r="M232" s="53">
        <v>0.53459999999999996</v>
      </c>
      <c r="N232" s="53">
        <v>0.35</v>
      </c>
      <c r="O232" s="53">
        <v>0.15</v>
      </c>
      <c r="P232" s="53">
        <v>2.3330000000000002</v>
      </c>
    </row>
    <row r="233" spans="1:16" ht="15" x14ac:dyDescent="0.25">
      <c r="A233" s="11">
        <v>232</v>
      </c>
      <c r="B233" s="7">
        <v>1</v>
      </c>
      <c r="C233" s="8">
        <v>46</v>
      </c>
      <c r="D233" s="9">
        <v>4</v>
      </c>
      <c r="E233" s="8">
        <v>49</v>
      </c>
      <c r="F233" s="8">
        <v>53</v>
      </c>
      <c r="G233" s="8">
        <v>7</v>
      </c>
      <c r="H233" s="8">
        <v>0</v>
      </c>
      <c r="I233" s="8">
        <v>3</v>
      </c>
      <c r="L233" s="53">
        <v>4</v>
      </c>
      <c r="M233" s="53">
        <v>0.40928270042194093</v>
      </c>
      <c r="N233" s="53">
        <v>0.4</v>
      </c>
      <c r="O233" s="53">
        <v>0.22500000000000001</v>
      </c>
      <c r="P233" s="53">
        <v>1.7777777777777777</v>
      </c>
    </row>
    <row r="234" spans="1:16" ht="15" x14ac:dyDescent="0.25">
      <c r="A234" s="11">
        <v>233</v>
      </c>
      <c r="B234" s="7">
        <v>8</v>
      </c>
      <c r="C234" s="8">
        <v>54</v>
      </c>
      <c r="D234" s="9">
        <v>4</v>
      </c>
      <c r="E234" s="8">
        <v>54</v>
      </c>
      <c r="F234" s="8">
        <v>58</v>
      </c>
      <c r="G234" s="8">
        <v>4</v>
      </c>
      <c r="H234" s="8">
        <v>1</v>
      </c>
      <c r="I234" s="8">
        <v>0</v>
      </c>
      <c r="K234" s="44"/>
      <c r="L234" s="53">
        <v>4.1500000000000004</v>
      </c>
      <c r="M234" s="53">
        <v>0.35562310030395139</v>
      </c>
      <c r="N234" s="53">
        <v>0.55000000000000004</v>
      </c>
      <c r="O234" s="53">
        <v>0.28333333333333333</v>
      </c>
      <c r="P234" s="53">
        <v>1.9411764705882353</v>
      </c>
    </row>
    <row r="235" spans="1:16" ht="15" x14ac:dyDescent="0.25">
      <c r="A235" s="11">
        <v>234</v>
      </c>
      <c r="B235" s="7">
        <v>4</v>
      </c>
      <c r="C235" s="8">
        <v>58</v>
      </c>
      <c r="D235" s="9">
        <v>3</v>
      </c>
      <c r="E235" s="8">
        <v>58</v>
      </c>
      <c r="F235" s="8">
        <v>61</v>
      </c>
      <c r="G235" s="8">
        <v>3</v>
      </c>
      <c r="H235" s="8">
        <v>0</v>
      </c>
      <c r="I235" s="8">
        <v>0</v>
      </c>
      <c r="K235" s="44"/>
      <c r="L235" s="53">
        <v>4.3375000000000004</v>
      </c>
      <c r="M235" s="53">
        <v>0.34731934731934733</v>
      </c>
      <c r="N235" s="53">
        <v>0.78749999999999998</v>
      </c>
      <c r="O235" s="53">
        <v>0.32500000000000001</v>
      </c>
      <c r="P235" s="53">
        <v>2.4230769230769229</v>
      </c>
    </row>
    <row r="236" spans="1:16" ht="15" x14ac:dyDescent="0.25">
      <c r="A236" s="11">
        <v>235</v>
      </c>
      <c r="B236" s="7">
        <v>1</v>
      </c>
      <c r="C236" s="8">
        <v>59</v>
      </c>
      <c r="D236" s="9">
        <v>5</v>
      </c>
      <c r="E236" s="8">
        <v>61</v>
      </c>
      <c r="F236" s="8">
        <v>66</v>
      </c>
      <c r="G236" s="8">
        <v>7</v>
      </c>
      <c r="H236" s="8">
        <v>0</v>
      </c>
      <c r="I236" s="8">
        <v>2</v>
      </c>
      <c r="K236" s="44"/>
      <c r="L236" s="53">
        <v>4.55</v>
      </c>
      <c r="M236" s="53">
        <v>0.33143939393939392</v>
      </c>
      <c r="N236" s="53">
        <v>0.98</v>
      </c>
      <c r="O236" s="53">
        <v>0.33</v>
      </c>
      <c r="P236" s="53">
        <v>2.9696969700000002</v>
      </c>
    </row>
    <row r="237" spans="1:16" ht="15" x14ac:dyDescent="0.25">
      <c r="A237" s="11">
        <v>236</v>
      </c>
      <c r="B237" s="7">
        <v>7</v>
      </c>
      <c r="C237" s="8">
        <v>66</v>
      </c>
      <c r="D237" s="9">
        <v>5</v>
      </c>
      <c r="E237" s="8">
        <v>66</v>
      </c>
      <c r="F237" s="8">
        <v>71</v>
      </c>
      <c r="G237" s="8">
        <v>5</v>
      </c>
      <c r="H237" s="8">
        <v>0</v>
      </c>
      <c r="I237" s="8">
        <v>0</v>
      </c>
      <c r="K237" s="44"/>
      <c r="L237" s="53">
        <v>5.7333333333333334</v>
      </c>
      <c r="M237" s="53">
        <v>0.29268292682926828</v>
      </c>
      <c r="N237" s="53">
        <v>2.0750000000000002</v>
      </c>
      <c r="O237" s="53">
        <v>0.42499999999999999</v>
      </c>
      <c r="P237" s="53">
        <v>4.882352941176471</v>
      </c>
    </row>
    <row r="238" spans="1:16" ht="15" x14ac:dyDescent="0.25">
      <c r="A238" s="11">
        <v>237</v>
      </c>
      <c r="B238" s="7">
        <v>7</v>
      </c>
      <c r="C238" s="8">
        <v>73</v>
      </c>
      <c r="D238" s="9">
        <v>1</v>
      </c>
      <c r="E238" s="8">
        <v>73</v>
      </c>
      <c r="F238" s="8">
        <v>74</v>
      </c>
      <c r="G238" s="8">
        <v>1</v>
      </c>
      <c r="H238" s="8">
        <v>2</v>
      </c>
      <c r="I238" s="8">
        <v>0</v>
      </c>
      <c r="K238" s="44"/>
      <c r="L238" s="53">
        <v>5.4214285714285717</v>
      </c>
      <c r="M238" s="53">
        <v>0.33555259653794939</v>
      </c>
      <c r="N238" s="53">
        <v>1.8</v>
      </c>
      <c r="O238" s="53">
        <v>0.37142857142857144</v>
      </c>
      <c r="P238" s="53">
        <v>4.75</v>
      </c>
    </row>
    <row r="239" spans="1:16" ht="15" x14ac:dyDescent="0.25">
      <c r="A239" s="11">
        <v>238</v>
      </c>
      <c r="B239" s="7">
        <v>8</v>
      </c>
      <c r="C239" s="8">
        <v>81</v>
      </c>
      <c r="D239" s="9">
        <v>5</v>
      </c>
      <c r="E239" s="8">
        <v>81</v>
      </c>
      <c r="F239" s="8">
        <v>86</v>
      </c>
      <c r="G239" s="8">
        <v>5</v>
      </c>
      <c r="H239" s="8">
        <v>7</v>
      </c>
      <c r="I239" s="8">
        <v>0</v>
      </c>
      <c r="K239" s="44"/>
      <c r="L239" s="53">
        <v>5.4874999999999998</v>
      </c>
      <c r="M239" s="53">
        <v>0.32113341204250295</v>
      </c>
      <c r="N239" s="53">
        <v>1.8374999999999999</v>
      </c>
      <c r="O239" s="53">
        <v>0.41875000000000001</v>
      </c>
      <c r="P239" s="53">
        <v>4.3880597014925371</v>
      </c>
    </row>
    <row r="240" spans="1:16" ht="15" x14ac:dyDescent="0.25">
      <c r="A240" s="11">
        <v>239</v>
      </c>
      <c r="B240" s="7">
        <v>5</v>
      </c>
      <c r="C240" s="8">
        <v>86</v>
      </c>
      <c r="D240" s="9">
        <v>2</v>
      </c>
      <c r="E240" s="8">
        <v>86</v>
      </c>
      <c r="F240" s="8">
        <v>88</v>
      </c>
      <c r="G240" s="8">
        <v>2</v>
      </c>
      <c r="H240" s="8">
        <v>0</v>
      </c>
      <c r="I240" s="8">
        <v>0</v>
      </c>
      <c r="K240" s="44"/>
      <c r="L240" s="53">
        <v>5.3944444444444448</v>
      </c>
      <c r="M240" s="53">
        <v>0.31991525423728812</v>
      </c>
      <c r="N240" s="53">
        <v>1.7777777777777777</v>
      </c>
      <c r="O240" s="53">
        <v>0.42777777777777776</v>
      </c>
      <c r="P240" s="53">
        <v>4.1558441558441555</v>
      </c>
    </row>
    <row r="241" spans="1:16" ht="15" x14ac:dyDescent="0.25">
      <c r="A241" s="11">
        <v>240</v>
      </c>
      <c r="B241" s="7">
        <v>3</v>
      </c>
      <c r="C241" s="8">
        <v>89</v>
      </c>
      <c r="D241" s="9">
        <v>5</v>
      </c>
      <c r="E241" s="8">
        <v>89</v>
      </c>
      <c r="F241" s="8">
        <v>94</v>
      </c>
      <c r="G241" s="8">
        <v>5</v>
      </c>
      <c r="H241" s="8">
        <v>1</v>
      </c>
      <c r="I241" s="8">
        <v>0</v>
      </c>
      <c r="K241" s="44"/>
      <c r="L241" s="53">
        <v>5.2450000000000001</v>
      </c>
      <c r="M241" s="53">
        <v>0.33301886792452828</v>
      </c>
      <c r="N241" s="53">
        <v>1.665</v>
      </c>
      <c r="O241" s="53">
        <v>0.41</v>
      </c>
      <c r="P241" s="53">
        <v>4.0609756097560972</v>
      </c>
    </row>
    <row r="242" spans="1:16" ht="15" x14ac:dyDescent="0.25">
      <c r="A242" s="11">
        <v>241</v>
      </c>
      <c r="B242" s="7"/>
      <c r="C242" s="8">
        <v>0</v>
      </c>
      <c r="D242" s="9">
        <v>3</v>
      </c>
      <c r="E242" s="8">
        <v>0</v>
      </c>
      <c r="F242" s="8">
        <v>3</v>
      </c>
      <c r="G242" s="8">
        <v>3</v>
      </c>
      <c r="H242" s="8">
        <v>0</v>
      </c>
      <c r="I242" s="8">
        <v>0</v>
      </c>
      <c r="K242" s="44"/>
      <c r="L242" s="53">
        <v>5.0727272727272723</v>
      </c>
      <c r="M242" s="53">
        <v>0.34382978723404256</v>
      </c>
      <c r="N242" s="53">
        <v>1.5727272727272728</v>
      </c>
      <c r="O242" s="53">
        <v>0.4</v>
      </c>
      <c r="P242" s="53">
        <v>4.0609756097560972</v>
      </c>
    </row>
    <row r="243" spans="1:16" ht="15" x14ac:dyDescent="0.25">
      <c r="A243" s="11">
        <v>242</v>
      </c>
      <c r="B243" s="7">
        <v>2</v>
      </c>
      <c r="C243" s="8">
        <v>2</v>
      </c>
      <c r="D243" s="9">
        <v>2</v>
      </c>
      <c r="E243" s="8">
        <v>3</v>
      </c>
      <c r="F243" s="8">
        <v>5</v>
      </c>
      <c r="G243" s="8">
        <v>3</v>
      </c>
      <c r="H243" s="8">
        <v>0</v>
      </c>
      <c r="I243" s="8">
        <v>1</v>
      </c>
      <c r="K243" s="44"/>
      <c r="L243" s="53">
        <v>5.1791666666666663</v>
      </c>
      <c r="M243" s="53">
        <v>0.32939322301024426</v>
      </c>
      <c r="N243" s="53">
        <v>1.6375</v>
      </c>
      <c r="O243" s="53">
        <v>0.40833333333333333</v>
      </c>
      <c r="P243" s="53">
        <v>4.0102040816326534</v>
      </c>
    </row>
    <row r="244" spans="1:16" ht="15" x14ac:dyDescent="0.25">
      <c r="A244" s="11">
        <v>243</v>
      </c>
      <c r="B244" s="7">
        <v>6</v>
      </c>
      <c r="C244" s="8">
        <v>8</v>
      </c>
      <c r="D244" s="9">
        <v>6</v>
      </c>
      <c r="E244" s="8">
        <v>8</v>
      </c>
      <c r="F244" s="8">
        <v>14</v>
      </c>
      <c r="G244" s="8">
        <v>6</v>
      </c>
      <c r="H244" s="8">
        <v>3</v>
      </c>
      <c r="I244" s="8">
        <v>0</v>
      </c>
      <c r="K244" s="44"/>
      <c r="L244" s="53">
        <f>(SUM($G$2:$G$261)/260)</f>
        <v>5.0999999999999996</v>
      </c>
      <c r="M244" s="53">
        <f>(SUM($H$2:$H$261)/($F$21+$F$41+$F$61+$F$81+$F$101+$F$121+$F$141+$F$161+$F$181+$F$201+$F$221+$F$241+$F$261))</f>
        <v>0.32472324723247231</v>
      </c>
      <c r="N244" s="53">
        <f>SUM($I$2:$I$261)/260</f>
        <v>1.5807692307692307</v>
      </c>
      <c r="O244" s="53">
        <f>(COUNTIF($I$2:$I$261,"&gt;0")/260)</f>
        <v>0.41153846153846152</v>
      </c>
      <c r="P244" s="53">
        <f>SUM($I$2:$I$261)/(COUNTIF($I$2:$I$261,"&gt;0"))</f>
        <v>3.8411214953271027</v>
      </c>
    </row>
    <row r="245" spans="1:16" ht="15" x14ac:dyDescent="0.25">
      <c r="A245" s="11">
        <v>244</v>
      </c>
      <c r="B245" s="7">
        <v>5</v>
      </c>
      <c r="C245" s="8">
        <v>13</v>
      </c>
      <c r="D245" s="9">
        <v>4</v>
      </c>
      <c r="E245" s="8">
        <v>13</v>
      </c>
      <c r="F245" s="8">
        <v>17</v>
      </c>
      <c r="G245" s="8">
        <v>5</v>
      </c>
      <c r="H245" s="8">
        <v>0</v>
      </c>
      <c r="I245" s="8">
        <v>1</v>
      </c>
      <c r="K245" s="51" t="s">
        <v>45</v>
      </c>
      <c r="L245" s="53">
        <f>AVERAGE(L232:L244)</f>
        <v>4.8670077145077144</v>
      </c>
      <c r="M245" s="53">
        <f t="shared" ref="M245:P245" si="22">AVERAGE(M232:M244)</f>
        <v>0.35219337361791769</v>
      </c>
      <c r="N245" s="53">
        <f t="shared" si="22"/>
        <v>1.3087518677903289</v>
      </c>
      <c r="O245" s="53">
        <f t="shared" si="22"/>
        <v>0.35278165210857526</v>
      </c>
      <c r="P245" s="53">
        <f t="shared" si="22"/>
        <v>3.5072509028021579</v>
      </c>
    </row>
    <row r="246" spans="1:16" ht="15" x14ac:dyDescent="0.25">
      <c r="A246" s="11">
        <v>245</v>
      </c>
      <c r="B246" s="7">
        <v>2</v>
      </c>
      <c r="C246" s="8">
        <v>15</v>
      </c>
      <c r="D246" s="9">
        <v>1</v>
      </c>
      <c r="E246" s="8">
        <v>17</v>
      </c>
      <c r="F246" s="8">
        <v>18</v>
      </c>
      <c r="G246" s="8">
        <v>3</v>
      </c>
      <c r="H246" s="8">
        <v>0</v>
      </c>
      <c r="I246" s="8">
        <v>2</v>
      </c>
      <c r="K246" s="51" t="s">
        <v>47</v>
      </c>
      <c r="L246" s="53">
        <f>STDEVA(L232:L244)</f>
        <v>0.66520757192673485</v>
      </c>
      <c r="M246" s="53">
        <f t="shared" ref="M246:P246" si="23">STDEVA(M232:M244)</f>
        <v>6.0919816365998178E-2</v>
      </c>
      <c r="N246" s="53">
        <f t="shared" si="23"/>
        <v>0.60602572440633162</v>
      </c>
      <c r="O246" s="53">
        <f t="shared" si="23"/>
        <v>8.7151087538811234E-2</v>
      </c>
      <c r="P246" s="53">
        <f t="shared" si="23"/>
        <v>1.076119994324986</v>
      </c>
    </row>
    <row r="247" spans="1:16" ht="15" x14ac:dyDescent="0.25">
      <c r="A247" s="11">
        <v>246</v>
      </c>
      <c r="B247" s="7">
        <v>3</v>
      </c>
      <c r="C247" s="8">
        <v>18</v>
      </c>
      <c r="D247" s="9">
        <v>2</v>
      </c>
      <c r="E247" s="8">
        <v>20</v>
      </c>
      <c r="F247" s="8">
        <v>22</v>
      </c>
      <c r="G247" s="8">
        <v>2</v>
      </c>
      <c r="H247" s="8">
        <v>0</v>
      </c>
      <c r="I247" s="8">
        <v>0</v>
      </c>
      <c r="K247" s="56"/>
      <c r="L247" s="55"/>
      <c r="M247" s="55"/>
      <c r="N247" s="55"/>
      <c r="O247" s="55"/>
      <c r="P247" s="55"/>
    </row>
    <row r="248" spans="1:16" ht="15" x14ac:dyDescent="0.25">
      <c r="A248" s="11">
        <v>247</v>
      </c>
      <c r="B248" s="7">
        <v>7</v>
      </c>
      <c r="C248" s="8">
        <v>25</v>
      </c>
      <c r="D248" s="9">
        <v>6</v>
      </c>
      <c r="E248" s="8">
        <v>25</v>
      </c>
      <c r="F248" s="8">
        <v>31</v>
      </c>
      <c r="G248" s="8">
        <v>6</v>
      </c>
      <c r="H248" s="8">
        <v>3</v>
      </c>
      <c r="I248" s="8">
        <v>0</v>
      </c>
    </row>
    <row r="249" spans="1:16" ht="15" x14ac:dyDescent="0.25">
      <c r="A249" s="11">
        <v>248</v>
      </c>
      <c r="B249" s="7">
        <v>5</v>
      </c>
      <c r="C249" s="8">
        <v>30</v>
      </c>
      <c r="D249" s="9">
        <v>5</v>
      </c>
      <c r="E249" s="8">
        <v>31</v>
      </c>
      <c r="F249" s="8">
        <v>36</v>
      </c>
      <c r="G249" s="8">
        <v>6</v>
      </c>
      <c r="H249" s="8">
        <v>0</v>
      </c>
      <c r="I249" s="8">
        <v>1</v>
      </c>
    </row>
    <row r="250" spans="1:16" ht="39" x14ac:dyDescent="0.25">
      <c r="A250" s="11">
        <v>249</v>
      </c>
      <c r="B250" s="7">
        <v>5</v>
      </c>
      <c r="C250" s="8">
        <v>35</v>
      </c>
      <c r="D250" s="9">
        <v>2</v>
      </c>
      <c r="E250" s="8">
        <v>36</v>
      </c>
      <c r="F250" s="8">
        <v>38</v>
      </c>
      <c r="G250" s="8">
        <v>3</v>
      </c>
      <c r="H250" s="8">
        <v>0</v>
      </c>
      <c r="I250" s="8">
        <v>1</v>
      </c>
      <c r="L250" s="53" t="s">
        <v>11</v>
      </c>
      <c r="M250" s="53" t="s">
        <v>12</v>
      </c>
      <c r="N250" s="53" t="s">
        <v>13</v>
      </c>
      <c r="O250" s="53" t="s">
        <v>14</v>
      </c>
      <c r="P250" s="53" t="s">
        <v>15</v>
      </c>
    </row>
    <row r="251" spans="1:16" ht="15" x14ac:dyDescent="0.25">
      <c r="A251" s="11">
        <v>250</v>
      </c>
      <c r="B251" s="7">
        <v>1</v>
      </c>
      <c r="C251" s="8">
        <v>45</v>
      </c>
      <c r="D251" s="9">
        <v>3</v>
      </c>
      <c r="E251" s="8">
        <v>45</v>
      </c>
      <c r="F251" s="8">
        <v>48</v>
      </c>
      <c r="G251" s="8">
        <v>3</v>
      </c>
      <c r="H251" s="8">
        <v>7</v>
      </c>
      <c r="I251" s="8">
        <v>0</v>
      </c>
      <c r="L251" s="53">
        <v>3.6</v>
      </c>
      <c r="M251" s="53">
        <v>0.53459999999999996</v>
      </c>
      <c r="N251" s="53">
        <v>0.35</v>
      </c>
      <c r="O251" s="53">
        <v>0.15</v>
      </c>
      <c r="P251" s="53">
        <v>2.3330000000000002</v>
      </c>
    </row>
    <row r="252" spans="1:16" ht="15" x14ac:dyDescent="0.25">
      <c r="A252" s="11">
        <v>251</v>
      </c>
      <c r="B252" s="7">
        <v>1</v>
      </c>
      <c r="C252" s="8">
        <v>46</v>
      </c>
      <c r="D252" s="9">
        <v>2</v>
      </c>
      <c r="E252" s="8">
        <v>48</v>
      </c>
      <c r="F252" s="8">
        <v>50</v>
      </c>
      <c r="G252" s="8">
        <v>4</v>
      </c>
      <c r="H252" s="8">
        <v>0</v>
      </c>
      <c r="I252" s="8">
        <v>2</v>
      </c>
      <c r="L252" s="53">
        <v>4</v>
      </c>
      <c r="M252" s="53">
        <v>0.40928270042194093</v>
      </c>
      <c r="N252" s="53">
        <v>0.4</v>
      </c>
      <c r="O252" s="53">
        <v>0.22500000000000001</v>
      </c>
      <c r="P252" s="53">
        <v>1.7777777777777777</v>
      </c>
    </row>
    <row r="253" spans="1:16" ht="15" x14ac:dyDescent="0.25">
      <c r="A253" s="11">
        <v>252</v>
      </c>
      <c r="B253" s="7">
        <v>6</v>
      </c>
      <c r="C253" s="8">
        <v>52</v>
      </c>
      <c r="D253" s="9">
        <v>2</v>
      </c>
      <c r="E253" s="8">
        <v>52</v>
      </c>
      <c r="F253" s="8">
        <v>54</v>
      </c>
      <c r="G253" s="8">
        <v>2</v>
      </c>
      <c r="H253" s="8">
        <v>2</v>
      </c>
      <c r="I253" s="8">
        <v>0</v>
      </c>
      <c r="L253" s="53">
        <v>4.1500000000000004</v>
      </c>
      <c r="M253" s="53">
        <v>0.35562310030395139</v>
      </c>
      <c r="N253" s="53">
        <v>0.55000000000000004</v>
      </c>
      <c r="O253" s="53">
        <v>0.28333333333333333</v>
      </c>
      <c r="P253" s="53">
        <v>1.9411764705882353</v>
      </c>
    </row>
    <row r="254" spans="1:16" ht="15" x14ac:dyDescent="0.25">
      <c r="A254" s="11">
        <v>253</v>
      </c>
      <c r="B254" s="7">
        <v>2</v>
      </c>
      <c r="C254" s="8">
        <v>54</v>
      </c>
      <c r="D254" s="9">
        <v>1</v>
      </c>
      <c r="E254" s="8">
        <v>54</v>
      </c>
      <c r="F254" s="8">
        <v>55</v>
      </c>
      <c r="G254" s="8">
        <v>1</v>
      </c>
      <c r="H254" s="8">
        <v>2</v>
      </c>
      <c r="I254" s="8">
        <v>0</v>
      </c>
      <c r="L254" s="53">
        <v>4.3375000000000004</v>
      </c>
      <c r="M254" s="53">
        <v>0.34731934731934733</v>
      </c>
      <c r="N254" s="53">
        <v>0.78749999999999998</v>
      </c>
      <c r="O254" s="53">
        <v>0.32500000000000001</v>
      </c>
      <c r="P254" s="53">
        <v>2.4230769230769229</v>
      </c>
    </row>
    <row r="255" spans="1:16" ht="15" x14ac:dyDescent="0.25">
      <c r="A255" s="11">
        <v>254</v>
      </c>
      <c r="B255" s="7">
        <v>3</v>
      </c>
      <c r="C255" s="8">
        <v>57</v>
      </c>
      <c r="D255" s="9">
        <v>5</v>
      </c>
      <c r="E255" s="8">
        <v>57</v>
      </c>
      <c r="F255" s="8">
        <v>62</v>
      </c>
      <c r="G255" s="8">
        <v>5</v>
      </c>
      <c r="H255" s="8">
        <v>2</v>
      </c>
      <c r="I255" s="8">
        <v>0</v>
      </c>
      <c r="K255" s="44"/>
      <c r="L255" s="53">
        <v>4.55</v>
      </c>
      <c r="M255" s="53">
        <v>0.33143939393939392</v>
      </c>
      <c r="N255" s="53">
        <v>0.98</v>
      </c>
      <c r="O255" s="53">
        <v>0.33</v>
      </c>
      <c r="P255" s="53">
        <v>2.9696969700000002</v>
      </c>
    </row>
    <row r="256" spans="1:16" ht="15" x14ac:dyDescent="0.25">
      <c r="A256" s="11">
        <v>255</v>
      </c>
      <c r="B256" s="7">
        <v>3</v>
      </c>
      <c r="C256" s="8">
        <v>60</v>
      </c>
      <c r="D256" s="9">
        <v>4</v>
      </c>
      <c r="E256" s="8">
        <v>62</v>
      </c>
      <c r="F256" s="8">
        <v>66</v>
      </c>
      <c r="G256" s="8">
        <v>6</v>
      </c>
      <c r="H256" s="8">
        <v>0</v>
      </c>
      <c r="I256" s="8">
        <v>2</v>
      </c>
      <c r="K256" s="44"/>
      <c r="L256" s="53">
        <v>5.7333333333333334</v>
      </c>
      <c r="M256" s="53">
        <v>0.29268292682926828</v>
      </c>
      <c r="N256" s="53">
        <v>2.0750000000000002</v>
      </c>
      <c r="O256" s="53">
        <v>0.42499999999999999</v>
      </c>
      <c r="P256" s="53">
        <v>4.882352941176471</v>
      </c>
    </row>
    <row r="257" spans="1:16" ht="15" x14ac:dyDescent="0.25">
      <c r="A257" s="11">
        <v>256</v>
      </c>
      <c r="B257" s="7">
        <v>6</v>
      </c>
      <c r="C257" s="8">
        <v>66</v>
      </c>
      <c r="D257" s="9">
        <v>5</v>
      </c>
      <c r="E257" s="8">
        <v>66</v>
      </c>
      <c r="F257" s="8">
        <v>71</v>
      </c>
      <c r="G257" s="8">
        <v>5</v>
      </c>
      <c r="H257" s="8">
        <v>0</v>
      </c>
      <c r="I257" s="8">
        <v>0</v>
      </c>
      <c r="K257" s="44"/>
      <c r="L257" s="53">
        <v>5.4214285714285717</v>
      </c>
      <c r="M257" s="53">
        <v>0.33555259653794939</v>
      </c>
      <c r="N257" s="53">
        <v>1.8</v>
      </c>
      <c r="O257" s="53">
        <v>0.37142857142857144</v>
      </c>
      <c r="P257" s="53">
        <v>4.75</v>
      </c>
    </row>
    <row r="258" spans="1:16" ht="15" x14ac:dyDescent="0.25">
      <c r="A258" s="11">
        <v>257</v>
      </c>
      <c r="B258" s="7">
        <v>8</v>
      </c>
      <c r="C258" s="8">
        <v>74</v>
      </c>
      <c r="D258" s="9">
        <v>4</v>
      </c>
      <c r="E258" s="8">
        <v>74</v>
      </c>
      <c r="F258" s="8">
        <v>78</v>
      </c>
      <c r="G258" s="8">
        <v>4</v>
      </c>
      <c r="H258" s="8">
        <v>3</v>
      </c>
      <c r="I258" s="8">
        <v>0</v>
      </c>
      <c r="K258" s="44"/>
      <c r="L258" s="53">
        <v>5.4874999999999998</v>
      </c>
      <c r="M258" s="53">
        <v>0.32113341204250295</v>
      </c>
      <c r="N258" s="53">
        <v>1.8374999999999999</v>
      </c>
      <c r="O258" s="53">
        <v>0.41875000000000001</v>
      </c>
      <c r="P258" s="53">
        <v>4.3880597014925371</v>
      </c>
    </row>
    <row r="259" spans="1:16" ht="15" x14ac:dyDescent="0.25">
      <c r="A259" s="11">
        <v>258</v>
      </c>
      <c r="B259" s="7">
        <v>1</v>
      </c>
      <c r="C259" s="8">
        <v>75</v>
      </c>
      <c r="D259" s="9">
        <v>4</v>
      </c>
      <c r="E259" s="8">
        <v>78</v>
      </c>
      <c r="F259" s="8">
        <v>82</v>
      </c>
      <c r="G259" s="8">
        <v>7</v>
      </c>
      <c r="H259" s="8">
        <v>0</v>
      </c>
      <c r="I259" s="8">
        <v>3</v>
      </c>
      <c r="K259" s="44"/>
      <c r="L259" s="53">
        <v>5.3944444444444448</v>
      </c>
      <c r="M259" s="53">
        <v>0.31991525423728812</v>
      </c>
      <c r="N259" s="53">
        <v>1.7777777777777777</v>
      </c>
      <c r="O259" s="53">
        <v>0.42777777777777776</v>
      </c>
      <c r="P259" s="53">
        <v>4.1558441558441555</v>
      </c>
    </row>
    <row r="260" spans="1:16" ht="15" x14ac:dyDescent="0.25">
      <c r="A260" s="11">
        <v>259</v>
      </c>
      <c r="B260" s="7">
        <v>2</v>
      </c>
      <c r="C260" s="8">
        <v>77</v>
      </c>
      <c r="D260" s="9">
        <v>2</v>
      </c>
      <c r="E260" s="8">
        <v>82</v>
      </c>
      <c r="F260" s="8">
        <v>84</v>
      </c>
      <c r="G260" s="8">
        <v>7</v>
      </c>
      <c r="H260" s="8">
        <v>0</v>
      </c>
      <c r="I260" s="8">
        <v>5</v>
      </c>
      <c r="K260" s="44"/>
      <c r="L260" s="53">
        <v>5.2450000000000001</v>
      </c>
      <c r="M260" s="53">
        <v>0.33301886792452828</v>
      </c>
      <c r="N260" s="53">
        <v>1.665</v>
      </c>
      <c r="O260" s="53">
        <v>0.41</v>
      </c>
      <c r="P260" s="53">
        <v>4.0609756097560972</v>
      </c>
    </row>
    <row r="261" spans="1:16" ht="15" x14ac:dyDescent="0.25">
      <c r="A261" s="11">
        <v>260</v>
      </c>
      <c r="B261" s="7">
        <v>7</v>
      </c>
      <c r="C261" s="8">
        <v>84</v>
      </c>
      <c r="D261" s="9">
        <v>2</v>
      </c>
      <c r="E261" s="8">
        <v>84</v>
      </c>
      <c r="F261" s="8">
        <v>86</v>
      </c>
      <c r="G261" s="8">
        <v>2</v>
      </c>
      <c r="H261" s="8">
        <v>0</v>
      </c>
      <c r="I261" s="8">
        <v>0</v>
      </c>
      <c r="K261" s="44"/>
      <c r="L261" s="53">
        <v>5.0727272727272723</v>
      </c>
      <c r="M261" s="53">
        <v>0.34382978723404256</v>
      </c>
      <c r="N261" s="53">
        <v>1.5727272727272728</v>
      </c>
      <c r="O261" s="53">
        <v>0.4</v>
      </c>
      <c r="P261" s="53">
        <v>4.0609756097560972</v>
      </c>
    </row>
    <row r="262" spans="1:16" ht="15" x14ac:dyDescent="0.25">
      <c r="A262" s="11">
        <v>261</v>
      </c>
      <c r="B262" s="7"/>
      <c r="C262" s="8">
        <v>0</v>
      </c>
      <c r="D262" s="9">
        <v>2</v>
      </c>
      <c r="E262" s="8">
        <v>0</v>
      </c>
      <c r="F262" s="8">
        <v>2</v>
      </c>
      <c r="G262" s="8">
        <v>2</v>
      </c>
      <c r="H262" s="8">
        <v>0</v>
      </c>
      <c r="I262" s="8">
        <v>0</v>
      </c>
      <c r="K262" s="44"/>
      <c r="L262" s="53">
        <v>5.1791666666666663</v>
      </c>
      <c r="M262" s="53">
        <v>0.32939322301024426</v>
      </c>
      <c r="N262" s="53">
        <v>1.6375</v>
      </c>
      <c r="O262" s="53">
        <v>0.40833333333333333</v>
      </c>
      <c r="P262" s="53">
        <v>4.0102040816326534</v>
      </c>
    </row>
    <row r="263" spans="1:16" ht="15" x14ac:dyDescent="0.25">
      <c r="A263" s="11">
        <v>262</v>
      </c>
      <c r="B263" s="7">
        <v>1</v>
      </c>
      <c r="C263" s="8">
        <v>10</v>
      </c>
      <c r="D263" s="9">
        <v>3</v>
      </c>
      <c r="E263" s="8">
        <v>10</v>
      </c>
      <c r="F263" s="8">
        <v>13</v>
      </c>
      <c r="G263" s="8">
        <v>3</v>
      </c>
      <c r="H263" s="8">
        <v>8</v>
      </c>
      <c r="I263" s="8">
        <v>0</v>
      </c>
      <c r="K263" s="44"/>
      <c r="L263" s="53">
        <v>5.0999999999999996</v>
      </c>
      <c r="M263" s="53">
        <v>0.32472324723247231</v>
      </c>
      <c r="N263" s="53">
        <v>1.5807692307692307</v>
      </c>
      <c r="O263" s="53">
        <v>0.41153846153846152</v>
      </c>
      <c r="P263" s="53">
        <v>3.8411214953271027</v>
      </c>
    </row>
    <row r="264" spans="1:16" ht="15" x14ac:dyDescent="0.25">
      <c r="A264" s="11">
        <v>263</v>
      </c>
      <c r="B264" s="7">
        <v>9</v>
      </c>
      <c r="C264" s="8">
        <v>19</v>
      </c>
      <c r="D264" s="9">
        <v>4</v>
      </c>
      <c r="E264" s="8">
        <v>19</v>
      </c>
      <c r="F264" s="8">
        <v>23</v>
      </c>
      <c r="G264" s="8">
        <v>4</v>
      </c>
      <c r="H264" s="8">
        <v>6</v>
      </c>
      <c r="I264" s="8">
        <v>0</v>
      </c>
      <c r="K264" s="44"/>
      <c r="L264" s="53">
        <f>(SUM($G$2:$G$281)/280)</f>
        <v>5.05</v>
      </c>
      <c r="M264" s="53">
        <f>(SUM($H$2:$H$281)/($F$21+$F$41+$F$61+$F$81+$F$101+$F$121+$F$141+$F$161+$F$181+$F$201+$F$221+$F$241+$F$261+$F$281))</f>
        <v>0.32904536222071767</v>
      </c>
      <c r="N264" s="53">
        <f>SUM($I$2:$I$281)/280</f>
        <v>1.5214285714285714</v>
      </c>
      <c r="O264" s="53">
        <f>(COUNTIF($I$2:$I$281,"&gt;0")/280)</f>
        <v>0.4</v>
      </c>
      <c r="P264" s="53">
        <f>SUM($I$2:$I$281)/(COUNTIF($I$2:$I$281,"&gt;0"))</f>
        <v>3.8035714285714284</v>
      </c>
    </row>
    <row r="265" spans="1:16" ht="15" x14ac:dyDescent="0.25">
      <c r="A265" s="11">
        <v>264</v>
      </c>
      <c r="B265" s="7">
        <v>7</v>
      </c>
      <c r="C265" s="8">
        <v>26</v>
      </c>
      <c r="D265" s="9">
        <v>2</v>
      </c>
      <c r="E265" s="8">
        <v>26</v>
      </c>
      <c r="F265" s="8">
        <v>28</v>
      </c>
      <c r="G265" s="8">
        <v>2</v>
      </c>
      <c r="H265" s="8">
        <v>3</v>
      </c>
      <c r="I265" s="8">
        <v>0</v>
      </c>
      <c r="K265" s="51" t="s">
        <v>45</v>
      </c>
      <c r="L265" s="53">
        <f>AVERAGE(L251:L264)</f>
        <v>4.880078592042878</v>
      </c>
      <c r="M265" s="53">
        <f t="shared" ref="M265:P265" si="24">AVERAGE(M251:M264)</f>
        <v>0.35053994423240337</v>
      </c>
      <c r="N265" s="53">
        <f t="shared" si="24"/>
        <v>1.3239430609073464</v>
      </c>
      <c r="O265" s="53">
        <f t="shared" si="24"/>
        <v>0.35615439124367704</v>
      </c>
      <c r="P265" s="53">
        <f t="shared" si="24"/>
        <v>3.5284166546428204</v>
      </c>
    </row>
    <row r="266" spans="1:16" ht="15" x14ac:dyDescent="0.25">
      <c r="A266" s="11">
        <v>265</v>
      </c>
      <c r="B266" s="7">
        <v>6</v>
      </c>
      <c r="C266" s="8">
        <v>32</v>
      </c>
      <c r="D266" s="9">
        <v>3</v>
      </c>
      <c r="E266" s="8">
        <v>32</v>
      </c>
      <c r="F266" s="8">
        <v>35</v>
      </c>
      <c r="G266" s="8">
        <v>3</v>
      </c>
      <c r="H266" s="8">
        <v>4</v>
      </c>
      <c r="I266" s="8">
        <v>0</v>
      </c>
      <c r="K266" s="51" t="s">
        <v>47</v>
      </c>
      <c r="L266" s="53">
        <f>STDEVA(L251:L264)</f>
        <v>0.64097927914307185</v>
      </c>
      <c r="M266" s="53">
        <f t="shared" ref="M266:P266" si="25">STDEVA(M251:M264)</f>
        <v>5.8855916075543246E-2</v>
      </c>
      <c r="N266" s="53">
        <f t="shared" si="25"/>
        <v>0.58501852114669095</v>
      </c>
      <c r="O266" s="53">
        <f t="shared" si="25"/>
        <v>8.4677697507911473E-2</v>
      </c>
      <c r="P266" s="53">
        <f t="shared" si="25"/>
        <v>1.0369313052504983</v>
      </c>
    </row>
    <row r="267" spans="1:16" ht="15" x14ac:dyDescent="0.25">
      <c r="A267" s="11">
        <v>266</v>
      </c>
      <c r="B267" s="7">
        <v>8</v>
      </c>
      <c r="C267" s="8">
        <v>40</v>
      </c>
      <c r="D267" s="9">
        <v>4</v>
      </c>
      <c r="E267" s="8">
        <v>40</v>
      </c>
      <c r="F267" s="8">
        <v>44</v>
      </c>
      <c r="G267" s="8">
        <v>4</v>
      </c>
      <c r="H267" s="8">
        <v>5</v>
      </c>
      <c r="I267" s="8">
        <v>0</v>
      </c>
      <c r="K267" s="44"/>
      <c r="L267" s="55"/>
      <c r="M267" s="55"/>
      <c r="N267" s="55"/>
      <c r="O267" s="55"/>
      <c r="P267" s="55"/>
    </row>
    <row r="268" spans="1:16" ht="15" x14ac:dyDescent="0.25">
      <c r="A268" s="11">
        <v>267</v>
      </c>
      <c r="B268" s="7">
        <v>8</v>
      </c>
      <c r="C268" s="8">
        <v>48</v>
      </c>
      <c r="D268" s="9">
        <v>4</v>
      </c>
      <c r="E268" s="8">
        <v>48</v>
      </c>
      <c r="F268" s="8">
        <v>52</v>
      </c>
      <c r="G268" s="8">
        <v>4</v>
      </c>
      <c r="H268" s="8">
        <v>4</v>
      </c>
      <c r="I268" s="8">
        <v>0</v>
      </c>
      <c r="K268" s="56"/>
      <c r="L268" s="44"/>
      <c r="M268" s="44"/>
      <c r="N268" s="44"/>
      <c r="O268" s="44"/>
      <c r="P268" s="44"/>
    </row>
    <row r="269" spans="1:16" ht="39" x14ac:dyDescent="0.25">
      <c r="A269" s="11">
        <v>268</v>
      </c>
      <c r="B269" s="7">
        <v>8</v>
      </c>
      <c r="C269" s="8">
        <v>56</v>
      </c>
      <c r="D269" s="9">
        <v>3</v>
      </c>
      <c r="E269" s="8">
        <v>56</v>
      </c>
      <c r="F269" s="8">
        <v>59</v>
      </c>
      <c r="G269" s="8">
        <v>3</v>
      </c>
      <c r="H269" s="8">
        <v>4</v>
      </c>
      <c r="I269" s="8">
        <v>0</v>
      </c>
      <c r="K269" s="56"/>
      <c r="L269" s="53" t="s">
        <v>11</v>
      </c>
      <c r="M269" s="53" t="s">
        <v>12</v>
      </c>
      <c r="N269" s="53" t="s">
        <v>13</v>
      </c>
      <c r="O269" s="53" t="s">
        <v>14</v>
      </c>
      <c r="P269" s="53" t="s">
        <v>15</v>
      </c>
    </row>
    <row r="270" spans="1:16" ht="15" x14ac:dyDescent="0.25">
      <c r="A270" s="11">
        <v>269</v>
      </c>
      <c r="B270" s="7">
        <v>9</v>
      </c>
      <c r="C270" s="8">
        <v>65</v>
      </c>
      <c r="D270" s="9">
        <v>5</v>
      </c>
      <c r="E270" s="8">
        <v>65</v>
      </c>
      <c r="F270" s="8">
        <v>70</v>
      </c>
      <c r="G270" s="8">
        <v>5</v>
      </c>
      <c r="H270" s="8">
        <v>6</v>
      </c>
      <c r="I270" s="8">
        <v>0</v>
      </c>
      <c r="L270" s="53">
        <v>3.6</v>
      </c>
      <c r="M270" s="53">
        <v>0.53459999999999996</v>
      </c>
      <c r="N270" s="53">
        <v>0.35</v>
      </c>
      <c r="O270" s="53">
        <v>0.15</v>
      </c>
      <c r="P270" s="53">
        <v>2.3330000000000002</v>
      </c>
    </row>
    <row r="271" spans="1:16" ht="15" x14ac:dyDescent="0.25">
      <c r="A271" s="11">
        <v>270</v>
      </c>
      <c r="B271" s="7">
        <v>2</v>
      </c>
      <c r="C271" s="8">
        <v>67</v>
      </c>
      <c r="D271" s="9">
        <v>5</v>
      </c>
      <c r="E271" s="8">
        <v>73</v>
      </c>
      <c r="F271" s="8">
        <v>78</v>
      </c>
      <c r="G271" s="8">
        <v>8</v>
      </c>
      <c r="H271" s="8">
        <v>0</v>
      </c>
      <c r="I271" s="8">
        <v>3</v>
      </c>
      <c r="L271" s="53">
        <v>4</v>
      </c>
      <c r="M271" s="53">
        <v>0.40928270042194093</v>
      </c>
      <c r="N271" s="53">
        <v>0.4</v>
      </c>
      <c r="O271" s="53">
        <v>0.22500000000000001</v>
      </c>
      <c r="P271" s="53">
        <v>1.7777777777777777</v>
      </c>
    </row>
    <row r="272" spans="1:16" ht="15" x14ac:dyDescent="0.25">
      <c r="A272" s="11">
        <v>271</v>
      </c>
      <c r="B272" s="7">
        <v>7</v>
      </c>
      <c r="C272" s="8">
        <v>74</v>
      </c>
      <c r="D272" s="9">
        <v>4</v>
      </c>
      <c r="E272" s="8">
        <v>78</v>
      </c>
      <c r="F272" s="8">
        <v>82</v>
      </c>
      <c r="G272" s="8">
        <v>8</v>
      </c>
      <c r="H272" s="8">
        <v>0</v>
      </c>
      <c r="I272" s="8">
        <v>4</v>
      </c>
      <c r="L272" s="53">
        <v>4.1500000000000004</v>
      </c>
      <c r="M272" s="53">
        <v>0.35562310030395139</v>
      </c>
      <c r="N272" s="53">
        <v>0.55000000000000004</v>
      </c>
      <c r="O272" s="53">
        <v>0.28333333333333333</v>
      </c>
      <c r="P272" s="53">
        <v>1.9411764705882353</v>
      </c>
    </row>
    <row r="273" spans="1:16" ht="15" x14ac:dyDescent="0.25">
      <c r="A273" s="11">
        <v>272</v>
      </c>
      <c r="B273" s="7">
        <v>8</v>
      </c>
      <c r="C273" s="8">
        <v>82</v>
      </c>
      <c r="D273" s="9">
        <v>2</v>
      </c>
      <c r="E273" s="8">
        <v>82</v>
      </c>
      <c r="F273" s="8">
        <v>84</v>
      </c>
      <c r="G273" s="8">
        <v>2</v>
      </c>
      <c r="H273" s="8">
        <v>0</v>
      </c>
      <c r="I273" s="8">
        <v>0</v>
      </c>
      <c r="L273" s="53">
        <v>4.3375000000000004</v>
      </c>
      <c r="M273" s="53">
        <v>0.34731934731934733</v>
      </c>
      <c r="N273" s="53">
        <v>0.78749999999999998</v>
      </c>
      <c r="O273" s="53">
        <v>0.32500000000000001</v>
      </c>
      <c r="P273" s="53">
        <v>2.4230769230769229</v>
      </c>
    </row>
    <row r="274" spans="1:16" ht="15" x14ac:dyDescent="0.25">
      <c r="A274" s="11">
        <v>273</v>
      </c>
      <c r="B274" s="7">
        <v>2</v>
      </c>
      <c r="C274" s="8">
        <v>84</v>
      </c>
      <c r="D274" s="9">
        <v>5</v>
      </c>
      <c r="E274" s="8">
        <v>84</v>
      </c>
      <c r="F274" s="8">
        <v>89</v>
      </c>
      <c r="G274" s="8">
        <v>5</v>
      </c>
      <c r="H274" s="8">
        <v>0</v>
      </c>
      <c r="I274" s="8">
        <v>0</v>
      </c>
      <c r="K274" s="44"/>
      <c r="L274" s="53">
        <v>4.55</v>
      </c>
      <c r="M274" s="53">
        <v>0.33143939393939392</v>
      </c>
      <c r="N274" s="53">
        <v>0.98</v>
      </c>
      <c r="O274" s="53">
        <v>0.33</v>
      </c>
      <c r="P274" s="53">
        <v>2.9696969700000002</v>
      </c>
    </row>
    <row r="275" spans="1:16" ht="15" x14ac:dyDescent="0.25">
      <c r="A275" s="11">
        <v>274</v>
      </c>
      <c r="B275" s="7">
        <v>3</v>
      </c>
      <c r="C275" s="8">
        <v>87</v>
      </c>
      <c r="D275" s="9">
        <v>5</v>
      </c>
      <c r="E275" s="8">
        <v>89</v>
      </c>
      <c r="F275" s="8">
        <v>94</v>
      </c>
      <c r="G275" s="8">
        <v>7</v>
      </c>
      <c r="H275" s="8">
        <v>0</v>
      </c>
      <c r="I275" s="8">
        <v>2</v>
      </c>
      <c r="K275" s="44"/>
      <c r="L275" s="53">
        <v>5.7333333333333334</v>
      </c>
      <c r="M275" s="53">
        <v>0.29268292682926828</v>
      </c>
      <c r="N275" s="53">
        <v>2.0750000000000002</v>
      </c>
      <c r="O275" s="53">
        <v>0.42499999999999999</v>
      </c>
      <c r="P275" s="53">
        <v>4.882352941176471</v>
      </c>
    </row>
    <row r="276" spans="1:16" ht="15" x14ac:dyDescent="0.25">
      <c r="A276" s="11">
        <v>275</v>
      </c>
      <c r="B276" s="7">
        <v>2</v>
      </c>
      <c r="C276" s="8">
        <v>89</v>
      </c>
      <c r="D276" s="9">
        <v>2</v>
      </c>
      <c r="E276" s="8">
        <v>94</v>
      </c>
      <c r="F276" s="8">
        <v>96</v>
      </c>
      <c r="G276" s="8">
        <v>7</v>
      </c>
      <c r="H276" s="8">
        <v>0</v>
      </c>
      <c r="I276" s="8">
        <v>5</v>
      </c>
      <c r="K276" s="44"/>
      <c r="L276" s="53">
        <v>5.4214285714285717</v>
      </c>
      <c r="M276" s="53">
        <v>0.33555259653794939</v>
      </c>
      <c r="N276" s="53">
        <v>1.8</v>
      </c>
      <c r="O276" s="53">
        <v>0.37142857142857144</v>
      </c>
      <c r="P276" s="53">
        <v>4.75</v>
      </c>
    </row>
    <row r="277" spans="1:16" ht="15" x14ac:dyDescent="0.25">
      <c r="A277" s="11">
        <v>276</v>
      </c>
      <c r="B277" s="7">
        <v>1</v>
      </c>
      <c r="C277" s="8">
        <v>99</v>
      </c>
      <c r="D277" s="9">
        <v>4</v>
      </c>
      <c r="E277" s="8">
        <v>99</v>
      </c>
      <c r="F277" s="8">
        <v>103</v>
      </c>
      <c r="G277" s="8">
        <v>4</v>
      </c>
      <c r="H277" s="8">
        <v>3</v>
      </c>
      <c r="I277" s="8">
        <v>0</v>
      </c>
      <c r="K277" s="44"/>
      <c r="L277" s="53">
        <v>5.4874999999999998</v>
      </c>
      <c r="M277" s="53">
        <v>0.32113341204250295</v>
      </c>
      <c r="N277" s="53">
        <v>1.8374999999999999</v>
      </c>
      <c r="O277" s="53">
        <v>0.41875000000000001</v>
      </c>
      <c r="P277" s="53">
        <v>4.3880597014925371</v>
      </c>
    </row>
    <row r="278" spans="1:16" ht="15" x14ac:dyDescent="0.25">
      <c r="A278" s="11">
        <v>277</v>
      </c>
      <c r="B278" s="7">
        <v>6</v>
      </c>
      <c r="C278" s="8">
        <v>105</v>
      </c>
      <c r="D278" s="9">
        <v>6</v>
      </c>
      <c r="E278" s="8">
        <v>105</v>
      </c>
      <c r="F278" s="8">
        <v>111</v>
      </c>
      <c r="G278" s="8">
        <v>6</v>
      </c>
      <c r="H278" s="8">
        <v>2</v>
      </c>
      <c r="I278" s="8">
        <v>0</v>
      </c>
      <c r="K278" s="44"/>
      <c r="L278" s="53">
        <v>5.3944444444444448</v>
      </c>
      <c r="M278" s="53">
        <v>0.31991525423728812</v>
      </c>
      <c r="N278" s="53">
        <v>1.7777777777777777</v>
      </c>
      <c r="O278" s="53">
        <v>0.42777777777777776</v>
      </c>
      <c r="P278" s="53">
        <v>4.1558441558441555</v>
      </c>
    </row>
    <row r="279" spans="1:16" ht="15" x14ac:dyDescent="0.25">
      <c r="A279" s="11">
        <v>278</v>
      </c>
      <c r="B279" s="7">
        <v>6</v>
      </c>
      <c r="C279" s="8">
        <v>111</v>
      </c>
      <c r="D279" s="9">
        <v>1</v>
      </c>
      <c r="E279" s="8">
        <v>111</v>
      </c>
      <c r="F279" s="8">
        <v>112</v>
      </c>
      <c r="G279" s="8">
        <v>1</v>
      </c>
      <c r="H279" s="8">
        <v>0</v>
      </c>
      <c r="I279" s="8">
        <v>0</v>
      </c>
      <c r="K279" s="44"/>
      <c r="L279" s="53">
        <v>5.2450000000000001</v>
      </c>
      <c r="M279" s="53">
        <v>0.33301886792452828</v>
      </c>
      <c r="N279" s="53">
        <v>1.665</v>
      </c>
      <c r="O279" s="53">
        <v>0.41</v>
      </c>
      <c r="P279" s="53">
        <v>4.0609756097560972</v>
      </c>
    </row>
    <row r="280" spans="1:16" ht="15" x14ac:dyDescent="0.25">
      <c r="A280" s="11">
        <v>279</v>
      </c>
      <c r="B280" s="7">
        <v>2</v>
      </c>
      <c r="C280" s="8">
        <v>113</v>
      </c>
      <c r="D280" s="9">
        <v>5</v>
      </c>
      <c r="E280" s="8">
        <v>113</v>
      </c>
      <c r="F280" s="8">
        <v>118</v>
      </c>
      <c r="G280" s="8">
        <v>5</v>
      </c>
      <c r="H280" s="8">
        <v>1</v>
      </c>
      <c r="I280" s="8">
        <v>0</v>
      </c>
      <c r="K280" s="44"/>
      <c r="L280" s="53">
        <v>5.0727272727272723</v>
      </c>
      <c r="M280" s="53">
        <v>0.34382978723404256</v>
      </c>
      <c r="N280" s="53">
        <v>1.5727272727272728</v>
      </c>
      <c r="O280" s="53">
        <v>0.4</v>
      </c>
      <c r="P280" s="53">
        <v>4.0609756097560972</v>
      </c>
    </row>
    <row r="281" spans="1:16" ht="15" x14ac:dyDescent="0.25">
      <c r="A281" s="11">
        <v>280</v>
      </c>
      <c r="B281" s="7">
        <v>4</v>
      </c>
      <c r="C281" s="8">
        <v>117</v>
      </c>
      <c r="D281" s="9">
        <v>4</v>
      </c>
      <c r="E281" s="8">
        <v>118</v>
      </c>
      <c r="F281" s="8">
        <v>122</v>
      </c>
      <c r="G281" s="8">
        <v>5</v>
      </c>
      <c r="H281" s="8">
        <v>0</v>
      </c>
      <c r="I281" s="8">
        <v>1</v>
      </c>
      <c r="K281" s="44"/>
      <c r="L281" s="53">
        <v>5.1791666666666663</v>
      </c>
      <c r="M281" s="53">
        <v>0.32939322301024426</v>
      </c>
      <c r="N281" s="53">
        <v>1.6375</v>
      </c>
      <c r="O281" s="53">
        <v>0.40833333333333333</v>
      </c>
      <c r="P281" s="53">
        <v>4.0102040816326534</v>
      </c>
    </row>
    <row r="282" spans="1:16" ht="15" x14ac:dyDescent="0.25">
      <c r="A282" s="11">
        <v>281</v>
      </c>
      <c r="B282" s="7"/>
      <c r="C282" s="8">
        <v>0</v>
      </c>
      <c r="D282" s="9">
        <v>3</v>
      </c>
      <c r="E282" s="8">
        <v>0</v>
      </c>
      <c r="F282" s="8">
        <v>3</v>
      </c>
      <c r="G282" s="8">
        <v>3</v>
      </c>
      <c r="H282" s="8">
        <v>0</v>
      </c>
      <c r="I282" s="8">
        <v>0</v>
      </c>
      <c r="K282" s="44"/>
      <c r="L282" s="53">
        <v>5.0999999999999996</v>
      </c>
      <c r="M282" s="53">
        <v>0.32472324723247231</v>
      </c>
      <c r="N282" s="53">
        <v>1.5807692307692307</v>
      </c>
      <c r="O282" s="53">
        <v>0.41153846153846152</v>
      </c>
      <c r="P282" s="53">
        <v>3.8411214953271027</v>
      </c>
    </row>
    <row r="283" spans="1:16" ht="15" x14ac:dyDescent="0.25">
      <c r="A283" s="11">
        <v>282</v>
      </c>
      <c r="B283" s="7">
        <v>2</v>
      </c>
      <c r="C283" s="8">
        <v>2</v>
      </c>
      <c r="D283" s="9">
        <v>1</v>
      </c>
      <c r="E283" s="8">
        <v>3</v>
      </c>
      <c r="F283" s="8">
        <v>4</v>
      </c>
      <c r="G283" s="8">
        <v>2</v>
      </c>
      <c r="H283" s="8">
        <v>0</v>
      </c>
      <c r="I283" s="8">
        <v>1</v>
      </c>
      <c r="K283" s="44"/>
      <c r="L283" s="53">
        <v>5.05</v>
      </c>
      <c r="M283" s="53">
        <v>0.32904536222071767</v>
      </c>
      <c r="N283" s="53">
        <v>1.5214285714285714</v>
      </c>
      <c r="O283" s="53">
        <v>0.4</v>
      </c>
      <c r="P283" s="53">
        <v>3.8035714285714284</v>
      </c>
    </row>
    <row r="284" spans="1:16" ht="15" x14ac:dyDescent="0.25">
      <c r="A284" s="11">
        <v>283</v>
      </c>
      <c r="B284" s="7">
        <v>7</v>
      </c>
      <c r="C284" s="8">
        <v>9</v>
      </c>
      <c r="D284" s="9">
        <v>4</v>
      </c>
      <c r="E284" s="8">
        <v>9</v>
      </c>
      <c r="F284" s="8">
        <v>13</v>
      </c>
      <c r="G284" s="8">
        <v>4</v>
      </c>
      <c r="H284" s="8">
        <v>5</v>
      </c>
      <c r="I284" s="8">
        <v>0</v>
      </c>
      <c r="K284" s="44"/>
      <c r="L284" s="53">
        <f>(SUM($G$2:$G$301)/300)</f>
        <v>5.03</v>
      </c>
      <c r="M284" s="53">
        <f>(SUM($H$2:$H$301)/($F$21+$F$41+$F$61+$F$81+$F$101+$F$121+$F$141+$F$161+$F$181+$F$201+$F$221+$F$241+$F$261+$F$281+$F$301))</f>
        <v>0.32760814249363868</v>
      </c>
      <c r="N284" s="53">
        <f>SUM($I$2:$I$301)/300</f>
        <v>1.5166666666666666</v>
      </c>
      <c r="O284" s="53">
        <f>(COUNTIF($I$2:$I$301,"&gt;0")/300)</f>
        <v>0.41</v>
      </c>
      <c r="P284" s="53">
        <f>SUM($I$2:$I$301)/(COUNTIF($I$2:$I$301,"&gt;0"))</f>
        <v>3.6991869918699187</v>
      </c>
    </row>
    <row r="285" spans="1:16" ht="15" x14ac:dyDescent="0.25">
      <c r="A285" s="11">
        <v>284</v>
      </c>
      <c r="B285" s="7">
        <v>2</v>
      </c>
      <c r="C285" s="8">
        <v>11</v>
      </c>
      <c r="D285" s="9">
        <v>3</v>
      </c>
      <c r="E285" s="8">
        <v>13</v>
      </c>
      <c r="F285" s="8">
        <v>16</v>
      </c>
      <c r="G285" s="8">
        <v>5</v>
      </c>
      <c r="H285" s="8">
        <v>0</v>
      </c>
      <c r="I285" s="8">
        <v>2</v>
      </c>
      <c r="K285" s="51" t="s">
        <v>45</v>
      </c>
      <c r="L285" s="53">
        <f>AVERAGE(L270:L284)</f>
        <v>4.8900733525733528</v>
      </c>
      <c r="M285" s="53">
        <f t="shared" ref="M285:P285" si="26">AVERAGE(M270:M284)</f>
        <v>0.34901115744981909</v>
      </c>
      <c r="N285" s="53">
        <f t="shared" si="26"/>
        <v>1.3367913012913009</v>
      </c>
      <c r="O285" s="53">
        <f t="shared" si="26"/>
        <v>0.35974409849409855</v>
      </c>
      <c r="P285" s="53">
        <f t="shared" si="26"/>
        <v>3.5398013437912939</v>
      </c>
    </row>
    <row r="286" spans="1:16" ht="15" x14ac:dyDescent="0.25">
      <c r="A286" s="11">
        <v>285</v>
      </c>
      <c r="B286" s="7">
        <v>9</v>
      </c>
      <c r="C286" s="8">
        <v>20</v>
      </c>
      <c r="D286" s="9">
        <v>1</v>
      </c>
      <c r="E286" s="8">
        <v>20</v>
      </c>
      <c r="F286" s="8">
        <v>21</v>
      </c>
      <c r="G286" s="8">
        <v>1</v>
      </c>
      <c r="H286" s="8">
        <v>4</v>
      </c>
      <c r="I286" s="8">
        <v>0</v>
      </c>
      <c r="K286" s="51" t="s">
        <v>47</v>
      </c>
      <c r="L286" s="53">
        <f>STDEVA(L270:L284)</f>
        <v>0.6188748818722225</v>
      </c>
      <c r="M286" s="53">
        <f t="shared" ref="M286:P286" si="27">STDEVA(M270:M284)</f>
        <v>5.7023212590372067E-2</v>
      </c>
      <c r="N286" s="53">
        <f t="shared" si="27"/>
        <v>0.56592988839500857</v>
      </c>
      <c r="O286" s="53">
        <f t="shared" si="27"/>
        <v>8.2773409087839783E-2</v>
      </c>
      <c r="P286" s="53">
        <f t="shared" si="27"/>
        <v>1.0001843849433121</v>
      </c>
    </row>
    <row r="287" spans="1:16" ht="15" x14ac:dyDescent="0.25">
      <c r="A287" s="11">
        <v>286</v>
      </c>
      <c r="B287" s="7">
        <v>5</v>
      </c>
      <c r="C287" s="8">
        <v>25</v>
      </c>
      <c r="D287" s="9">
        <v>4</v>
      </c>
      <c r="E287" s="8">
        <v>25</v>
      </c>
      <c r="F287" s="8">
        <v>29</v>
      </c>
      <c r="G287" s="8">
        <v>4</v>
      </c>
      <c r="H287" s="8">
        <v>4</v>
      </c>
      <c r="I287" s="8">
        <v>0</v>
      </c>
      <c r="K287" s="44"/>
      <c r="L287" s="55"/>
      <c r="M287" s="55"/>
      <c r="N287" s="55"/>
      <c r="O287" s="55"/>
      <c r="P287" s="55"/>
    </row>
    <row r="288" spans="1:16" ht="15" x14ac:dyDescent="0.25">
      <c r="A288" s="11">
        <v>287</v>
      </c>
      <c r="B288" s="7">
        <v>4</v>
      </c>
      <c r="C288" s="8">
        <v>29</v>
      </c>
      <c r="D288" s="9">
        <v>3</v>
      </c>
      <c r="E288" s="8">
        <v>29</v>
      </c>
      <c r="F288" s="8">
        <v>32</v>
      </c>
      <c r="G288" s="8">
        <v>3</v>
      </c>
      <c r="H288" s="8">
        <v>0</v>
      </c>
      <c r="I288" s="8">
        <v>0</v>
      </c>
      <c r="K288" s="56"/>
      <c r="L288" s="55"/>
      <c r="M288" s="55"/>
      <c r="N288" s="55"/>
      <c r="O288" s="55"/>
      <c r="P288" s="55"/>
    </row>
    <row r="289" spans="1:16" ht="15" x14ac:dyDescent="0.25">
      <c r="A289" s="11">
        <v>288</v>
      </c>
      <c r="B289" s="7">
        <v>9</v>
      </c>
      <c r="C289" s="8">
        <v>38</v>
      </c>
      <c r="D289" s="9">
        <v>6</v>
      </c>
      <c r="E289" s="8">
        <v>38</v>
      </c>
      <c r="F289" s="8">
        <v>44</v>
      </c>
      <c r="G289" s="8">
        <v>6</v>
      </c>
      <c r="H289" s="8">
        <v>6</v>
      </c>
      <c r="I289" s="8">
        <v>0</v>
      </c>
      <c r="K289" s="56"/>
      <c r="L289" s="55"/>
      <c r="M289" s="55"/>
      <c r="N289" s="55"/>
      <c r="O289" s="55"/>
      <c r="P289" s="55"/>
    </row>
    <row r="290" spans="1:16" ht="15" x14ac:dyDescent="0.25">
      <c r="A290" s="11">
        <v>289</v>
      </c>
      <c r="B290" s="7">
        <v>3</v>
      </c>
      <c r="C290" s="8">
        <v>41</v>
      </c>
      <c r="D290" s="9">
        <v>1</v>
      </c>
      <c r="E290" s="8">
        <v>44</v>
      </c>
      <c r="F290" s="8">
        <v>45</v>
      </c>
      <c r="G290" s="8">
        <v>4</v>
      </c>
      <c r="H290" s="8">
        <v>0</v>
      </c>
      <c r="I290" s="8">
        <v>3</v>
      </c>
    </row>
    <row r="291" spans="1:16" ht="39" x14ac:dyDescent="0.25">
      <c r="A291" s="11">
        <v>290</v>
      </c>
      <c r="B291" s="7">
        <v>1</v>
      </c>
      <c r="C291" s="8">
        <v>42</v>
      </c>
      <c r="D291" s="9">
        <v>6</v>
      </c>
      <c r="E291" s="8">
        <v>45</v>
      </c>
      <c r="F291" s="8">
        <v>51</v>
      </c>
      <c r="G291" s="8">
        <v>9</v>
      </c>
      <c r="H291" s="8">
        <v>0</v>
      </c>
      <c r="I291" s="8">
        <v>3</v>
      </c>
      <c r="L291" s="53" t="s">
        <v>11</v>
      </c>
      <c r="M291" s="53" t="s">
        <v>12</v>
      </c>
      <c r="N291" s="53" t="s">
        <v>13</v>
      </c>
      <c r="O291" s="53" t="s">
        <v>14</v>
      </c>
      <c r="P291" s="53" t="s">
        <v>15</v>
      </c>
    </row>
    <row r="292" spans="1:16" ht="15" x14ac:dyDescent="0.25">
      <c r="A292" s="11">
        <v>291</v>
      </c>
      <c r="B292" s="7">
        <v>6</v>
      </c>
      <c r="C292" s="8">
        <v>48</v>
      </c>
      <c r="D292" s="9">
        <v>2</v>
      </c>
      <c r="E292" s="8">
        <v>51</v>
      </c>
      <c r="F292" s="8">
        <v>53</v>
      </c>
      <c r="G292" s="8">
        <v>5</v>
      </c>
      <c r="H292" s="8">
        <v>0</v>
      </c>
      <c r="I292" s="8">
        <v>3</v>
      </c>
      <c r="L292" s="53">
        <v>3.6</v>
      </c>
      <c r="M292" s="53">
        <v>0.53459999999999996</v>
      </c>
      <c r="N292" s="53">
        <v>0.35</v>
      </c>
      <c r="O292" s="53">
        <v>0.15</v>
      </c>
      <c r="P292" s="53">
        <v>2.3330000000000002</v>
      </c>
    </row>
    <row r="293" spans="1:16" ht="15" x14ac:dyDescent="0.25">
      <c r="A293" s="11">
        <v>292</v>
      </c>
      <c r="B293" s="7">
        <v>3</v>
      </c>
      <c r="C293" s="8">
        <v>51</v>
      </c>
      <c r="D293" s="9">
        <v>4</v>
      </c>
      <c r="E293" s="8">
        <v>53</v>
      </c>
      <c r="F293" s="8">
        <v>57</v>
      </c>
      <c r="G293" s="8">
        <v>6</v>
      </c>
      <c r="H293" s="8">
        <v>0</v>
      </c>
      <c r="I293" s="8">
        <v>2</v>
      </c>
      <c r="L293" s="53">
        <v>4</v>
      </c>
      <c r="M293" s="53">
        <v>0.40928270042194093</v>
      </c>
      <c r="N293" s="53">
        <v>0.4</v>
      </c>
      <c r="O293" s="53">
        <v>0.22500000000000001</v>
      </c>
      <c r="P293" s="53">
        <v>1.7777777777777777</v>
      </c>
    </row>
    <row r="294" spans="1:16" ht="15" x14ac:dyDescent="0.25">
      <c r="A294" s="11">
        <v>293</v>
      </c>
      <c r="B294" s="7">
        <v>4</v>
      </c>
      <c r="C294" s="8">
        <v>55</v>
      </c>
      <c r="D294" s="9">
        <v>5</v>
      </c>
      <c r="E294" s="8">
        <v>57</v>
      </c>
      <c r="F294" s="8">
        <v>62</v>
      </c>
      <c r="G294" s="8">
        <v>7</v>
      </c>
      <c r="H294" s="8">
        <v>0</v>
      </c>
      <c r="I294" s="8">
        <v>2</v>
      </c>
      <c r="K294" s="44"/>
      <c r="L294" s="53">
        <v>4.1500000000000004</v>
      </c>
      <c r="M294" s="53">
        <v>0.35562310030395139</v>
      </c>
      <c r="N294" s="53">
        <v>0.55000000000000004</v>
      </c>
      <c r="O294" s="53">
        <v>0.28333333333333333</v>
      </c>
      <c r="P294" s="53">
        <v>1.9411764705882353</v>
      </c>
    </row>
    <row r="295" spans="1:16" ht="15" x14ac:dyDescent="0.25">
      <c r="A295" s="11">
        <v>294</v>
      </c>
      <c r="B295" s="7">
        <v>1</v>
      </c>
      <c r="C295" s="8">
        <v>56</v>
      </c>
      <c r="D295" s="9">
        <v>2</v>
      </c>
      <c r="E295" s="8">
        <v>62</v>
      </c>
      <c r="F295" s="8">
        <v>64</v>
      </c>
      <c r="G295" s="8">
        <v>8</v>
      </c>
      <c r="H295" s="8">
        <v>0</v>
      </c>
      <c r="I295" s="8">
        <v>6</v>
      </c>
      <c r="K295" s="44"/>
      <c r="L295" s="53">
        <v>4.3375000000000004</v>
      </c>
      <c r="M295" s="53">
        <v>0.34731934731934733</v>
      </c>
      <c r="N295" s="53">
        <v>0.78749999999999998</v>
      </c>
      <c r="O295" s="53">
        <v>0.32500000000000001</v>
      </c>
      <c r="P295" s="53">
        <v>2.4230769230769229</v>
      </c>
    </row>
    <row r="296" spans="1:16" ht="15" x14ac:dyDescent="0.25">
      <c r="A296" s="11">
        <v>295</v>
      </c>
      <c r="B296" s="7">
        <v>1</v>
      </c>
      <c r="C296" s="8">
        <v>66</v>
      </c>
      <c r="D296" s="9">
        <v>5</v>
      </c>
      <c r="E296" s="8">
        <v>66</v>
      </c>
      <c r="F296" s="8">
        <v>71</v>
      </c>
      <c r="G296" s="8">
        <v>5</v>
      </c>
      <c r="H296" s="8">
        <v>2</v>
      </c>
      <c r="I296" s="8">
        <v>0</v>
      </c>
      <c r="K296" s="44"/>
      <c r="L296" s="53">
        <v>4.55</v>
      </c>
      <c r="M296" s="53">
        <v>0.33143939393939392</v>
      </c>
      <c r="N296" s="53">
        <v>0.98</v>
      </c>
      <c r="O296" s="53">
        <v>0.33</v>
      </c>
      <c r="P296" s="53">
        <v>2.9696969700000002</v>
      </c>
    </row>
    <row r="297" spans="1:16" ht="15" x14ac:dyDescent="0.25">
      <c r="A297" s="11">
        <v>296</v>
      </c>
      <c r="B297" s="7">
        <v>1</v>
      </c>
      <c r="C297" s="8">
        <v>76</v>
      </c>
      <c r="D297" s="9">
        <v>5</v>
      </c>
      <c r="E297" s="8">
        <v>76</v>
      </c>
      <c r="F297" s="8">
        <v>81</v>
      </c>
      <c r="G297" s="8">
        <v>5</v>
      </c>
      <c r="H297" s="8">
        <v>5</v>
      </c>
      <c r="I297" s="8">
        <v>0</v>
      </c>
      <c r="K297" s="44"/>
      <c r="L297" s="53">
        <v>5.7333333333333334</v>
      </c>
      <c r="M297" s="53">
        <v>0.29268292682926828</v>
      </c>
      <c r="N297" s="53">
        <v>2.0750000000000002</v>
      </c>
      <c r="O297" s="53">
        <v>0.42499999999999999</v>
      </c>
      <c r="P297" s="53">
        <v>4.882352941176471</v>
      </c>
    </row>
    <row r="298" spans="1:16" ht="15" x14ac:dyDescent="0.25">
      <c r="A298" s="11">
        <v>297</v>
      </c>
      <c r="B298" s="7">
        <v>2</v>
      </c>
      <c r="C298" s="8">
        <v>78</v>
      </c>
      <c r="D298" s="9">
        <v>3</v>
      </c>
      <c r="E298" s="8">
        <v>81</v>
      </c>
      <c r="F298" s="8">
        <v>84</v>
      </c>
      <c r="G298" s="8">
        <v>6</v>
      </c>
      <c r="H298" s="8">
        <v>0</v>
      </c>
      <c r="I298" s="8">
        <v>3</v>
      </c>
      <c r="K298" s="44"/>
      <c r="L298" s="53">
        <v>5.4214285714285717</v>
      </c>
      <c r="M298" s="53">
        <v>0.33555259653794939</v>
      </c>
      <c r="N298" s="53">
        <v>1.8</v>
      </c>
      <c r="O298" s="53">
        <v>0.37142857142857144</v>
      </c>
      <c r="P298" s="53">
        <v>4.75</v>
      </c>
    </row>
    <row r="299" spans="1:16" ht="15" x14ac:dyDescent="0.25">
      <c r="A299" s="11">
        <v>298</v>
      </c>
      <c r="B299" s="7">
        <v>5</v>
      </c>
      <c r="C299" s="8">
        <v>83</v>
      </c>
      <c r="D299" s="9">
        <v>5</v>
      </c>
      <c r="E299" s="8">
        <v>84</v>
      </c>
      <c r="F299" s="8">
        <v>89</v>
      </c>
      <c r="G299" s="8">
        <v>6</v>
      </c>
      <c r="H299" s="8">
        <v>0</v>
      </c>
      <c r="I299" s="8">
        <v>1</v>
      </c>
      <c r="K299" s="44"/>
      <c r="L299" s="53">
        <v>5.4874999999999998</v>
      </c>
      <c r="M299" s="53">
        <v>0.32113341204250295</v>
      </c>
      <c r="N299" s="53">
        <v>1.8374999999999999</v>
      </c>
      <c r="O299" s="53">
        <v>0.41875000000000001</v>
      </c>
      <c r="P299" s="53">
        <v>4.3880597014925371</v>
      </c>
    </row>
    <row r="300" spans="1:16" ht="15" x14ac:dyDescent="0.25">
      <c r="A300" s="11">
        <v>299</v>
      </c>
      <c r="B300" s="7">
        <v>3</v>
      </c>
      <c r="C300" s="8">
        <v>86</v>
      </c>
      <c r="D300" s="9">
        <v>2</v>
      </c>
      <c r="E300" s="8">
        <v>89</v>
      </c>
      <c r="F300" s="8">
        <v>91</v>
      </c>
      <c r="G300" s="8">
        <v>5</v>
      </c>
      <c r="H300" s="8">
        <v>0</v>
      </c>
      <c r="I300" s="8">
        <v>3</v>
      </c>
      <c r="K300" s="44"/>
      <c r="L300" s="53">
        <v>5.3944444444444448</v>
      </c>
      <c r="M300" s="53">
        <v>0.31991525423728812</v>
      </c>
      <c r="N300" s="53">
        <v>1.7777777777777777</v>
      </c>
      <c r="O300" s="53">
        <v>0.42777777777777776</v>
      </c>
      <c r="P300" s="53">
        <v>4.1558441558441555</v>
      </c>
    </row>
    <row r="301" spans="1:16" ht="15" x14ac:dyDescent="0.25">
      <c r="A301" s="11">
        <v>300</v>
      </c>
      <c r="B301" s="7">
        <v>8</v>
      </c>
      <c r="C301" s="8">
        <v>94</v>
      </c>
      <c r="D301" s="9">
        <v>1</v>
      </c>
      <c r="E301" s="8">
        <v>94</v>
      </c>
      <c r="F301" s="8">
        <v>95</v>
      </c>
      <c r="G301" s="8">
        <v>1</v>
      </c>
      <c r="H301" s="8">
        <v>3</v>
      </c>
      <c r="I301" s="8">
        <v>0</v>
      </c>
      <c r="K301" s="44"/>
      <c r="L301" s="53">
        <v>5.2450000000000001</v>
      </c>
      <c r="M301" s="53">
        <v>0.33301886792452828</v>
      </c>
      <c r="N301" s="53">
        <v>1.665</v>
      </c>
      <c r="O301" s="53">
        <v>0.41</v>
      </c>
      <c r="P301" s="53">
        <v>4.0609756097560972</v>
      </c>
    </row>
    <row r="302" spans="1:16" ht="15" x14ac:dyDescent="0.25">
      <c r="A302" s="11">
        <v>301</v>
      </c>
      <c r="B302" s="14"/>
      <c r="C302" s="12">
        <v>0</v>
      </c>
      <c r="D302" s="13">
        <v>6</v>
      </c>
      <c r="E302" s="12">
        <v>0</v>
      </c>
      <c r="F302" s="12">
        <v>6</v>
      </c>
      <c r="G302" s="12">
        <v>6</v>
      </c>
      <c r="H302" s="12">
        <v>0</v>
      </c>
      <c r="I302" s="12">
        <v>0</v>
      </c>
      <c r="K302" s="44"/>
      <c r="L302" s="53">
        <v>5.0727272727272723</v>
      </c>
      <c r="M302" s="53">
        <v>0.34382978723404256</v>
      </c>
      <c r="N302" s="53">
        <v>1.5727272727272728</v>
      </c>
      <c r="O302" s="53">
        <v>0.4</v>
      </c>
      <c r="P302" s="53">
        <v>4.0609756097560972</v>
      </c>
    </row>
    <row r="303" spans="1:16" ht="15" x14ac:dyDescent="0.25">
      <c r="A303" s="11">
        <v>302</v>
      </c>
      <c r="B303" s="14">
        <v>3</v>
      </c>
      <c r="C303" s="12">
        <v>3</v>
      </c>
      <c r="D303" s="13">
        <v>1</v>
      </c>
      <c r="E303" s="12">
        <v>6</v>
      </c>
      <c r="F303" s="12">
        <v>9</v>
      </c>
      <c r="G303" s="12">
        <v>4</v>
      </c>
      <c r="H303" s="12">
        <v>0</v>
      </c>
      <c r="I303" s="12">
        <v>3</v>
      </c>
      <c r="K303" s="44"/>
      <c r="L303" s="53">
        <v>5.1791666666666663</v>
      </c>
      <c r="M303" s="53">
        <v>0.32939322301024426</v>
      </c>
      <c r="N303" s="53">
        <v>1.6375</v>
      </c>
      <c r="O303" s="53">
        <v>0.40833333333333333</v>
      </c>
      <c r="P303" s="53">
        <v>4.0102040816326534</v>
      </c>
    </row>
    <row r="304" spans="1:16" ht="15" x14ac:dyDescent="0.25">
      <c r="A304" s="11">
        <v>303</v>
      </c>
      <c r="B304" s="14">
        <v>3</v>
      </c>
      <c r="C304" s="12">
        <v>6</v>
      </c>
      <c r="D304" s="13">
        <v>6</v>
      </c>
      <c r="E304" s="12">
        <v>9</v>
      </c>
      <c r="F304" s="12">
        <v>15</v>
      </c>
      <c r="G304" s="12">
        <v>6</v>
      </c>
      <c r="H304" s="12">
        <v>0</v>
      </c>
      <c r="I304" s="12">
        <v>3</v>
      </c>
      <c r="K304" s="44"/>
      <c r="L304" s="53">
        <v>5.0999999999999996</v>
      </c>
      <c r="M304" s="53">
        <v>0.32472324723247231</v>
      </c>
      <c r="N304" s="53">
        <v>1.5807692307692307</v>
      </c>
      <c r="O304" s="53">
        <v>0.41153846153846152</v>
      </c>
      <c r="P304" s="53">
        <v>3.8411214953271027</v>
      </c>
    </row>
    <row r="305" spans="1:16" ht="15" x14ac:dyDescent="0.25">
      <c r="A305" s="11">
        <v>304</v>
      </c>
      <c r="B305" s="7">
        <v>1</v>
      </c>
      <c r="C305" s="12">
        <v>16</v>
      </c>
      <c r="D305" s="13">
        <v>2</v>
      </c>
      <c r="E305" s="12">
        <v>16</v>
      </c>
      <c r="F305" s="12">
        <v>18</v>
      </c>
      <c r="G305" s="12">
        <v>2</v>
      </c>
      <c r="H305" s="12">
        <v>1</v>
      </c>
      <c r="I305" s="12">
        <v>0</v>
      </c>
      <c r="K305" s="44"/>
      <c r="L305" s="53">
        <v>5.05</v>
      </c>
      <c r="M305" s="53">
        <v>0.32904536222071767</v>
      </c>
      <c r="N305" s="53">
        <v>1.5214285714285714</v>
      </c>
      <c r="O305" s="53">
        <v>0.4</v>
      </c>
      <c r="P305" s="53">
        <v>3.8035714285714284</v>
      </c>
    </row>
    <row r="306" spans="1:16" ht="15" x14ac:dyDescent="0.25">
      <c r="A306" s="11">
        <v>305</v>
      </c>
      <c r="B306" s="14">
        <v>5</v>
      </c>
      <c r="C306" s="12">
        <v>21</v>
      </c>
      <c r="D306" s="13">
        <v>3</v>
      </c>
      <c r="E306" s="12">
        <v>21</v>
      </c>
      <c r="F306" s="12">
        <v>24</v>
      </c>
      <c r="G306" s="12">
        <v>3</v>
      </c>
      <c r="H306" s="12">
        <v>3</v>
      </c>
      <c r="I306" s="12">
        <v>0</v>
      </c>
      <c r="K306" s="44"/>
      <c r="L306" s="53">
        <v>5.03</v>
      </c>
      <c r="M306" s="53">
        <v>0.32760814249363868</v>
      </c>
      <c r="N306" s="53">
        <v>1.5166666666666666</v>
      </c>
      <c r="O306" s="53">
        <v>0.41</v>
      </c>
      <c r="P306" s="53">
        <v>3.6991869918699187</v>
      </c>
    </row>
    <row r="307" spans="1:16" ht="15" x14ac:dyDescent="0.25">
      <c r="A307" s="11">
        <v>306</v>
      </c>
      <c r="B307" s="14">
        <v>8</v>
      </c>
      <c r="C307" s="12">
        <v>29</v>
      </c>
      <c r="D307" s="13">
        <v>3</v>
      </c>
      <c r="E307" s="12">
        <v>29</v>
      </c>
      <c r="F307" s="12">
        <v>32</v>
      </c>
      <c r="G307" s="12">
        <v>3</v>
      </c>
      <c r="H307" s="12">
        <v>5</v>
      </c>
      <c r="I307" s="12">
        <v>0</v>
      </c>
      <c r="K307" s="44"/>
      <c r="L307" s="53">
        <f>(SUM($G$2:$G$321)/320)</f>
        <v>4.9749999999999996</v>
      </c>
      <c r="M307" s="53">
        <f>(SUM($H$2:$H$321)/($F$21+$F$41+$F$61+$F$81+$F$101+$F$121+$F$141+$F$161+$F$181+$F$201+$F$221+$F$241+$F$261+$F$281+$F$301+$F$321))</f>
        <v>0.32207478890229191</v>
      </c>
      <c r="N307" s="53">
        <f>SUM($I$2:$I$321)/320</f>
        <v>1.4875</v>
      </c>
      <c r="O307" s="53">
        <f>(COUNTIF($I$2:$I$321,"&gt;0")/320)</f>
        <v>0.40937499999999999</v>
      </c>
      <c r="P307" s="53">
        <f>SUM($I$2:$I$321)/(COUNTIF($I$2:$I$321,"&gt;0"))</f>
        <v>3.6335877862595418</v>
      </c>
    </row>
    <row r="308" spans="1:16" ht="15" x14ac:dyDescent="0.25">
      <c r="A308" s="11">
        <v>307</v>
      </c>
      <c r="B308" s="14">
        <v>5</v>
      </c>
      <c r="C308" s="12">
        <v>34</v>
      </c>
      <c r="D308" s="13">
        <v>3</v>
      </c>
      <c r="E308" s="12">
        <v>34</v>
      </c>
      <c r="F308" s="12">
        <v>37</v>
      </c>
      <c r="G308" s="12">
        <v>3</v>
      </c>
      <c r="H308" s="12">
        <v>2</v>
      </c>
      <c r="I308" s="12">
        <v>0</v>
      </c>
      <c r="K308" s="51" t="s">
        <v>45</v>
      </c>
      <c r="L308" s="53">
        <f>AVERAGE(L292:L307)</f>
        <v>4.8953812680375179</v>
      </c>
      <c r="M308" s="53">
        <f t="shared" ref="M308:P308" si="28">AVERAGE(M292:M307)</f>
        <v>0.34732763441559861</v>
      </c>
      <c r="N308" s="53">
        <f t="shared" si="28"/>
        <v>1.3462105949605947</v>
      </c>
      <c r="O308" s="53">
        <f t="shared" si="28"/>
        <v>0.3628460298382174</v>
      </c>
      <c r="P308" s="53">
        <f t="shared" si="28"/>
        <v>3.545662996445559</v>
      </c>
    </row>
    <row r="309" spans="1:16" ht="15" x14ac:dyDescent="0.25">
      <c r="A309" s="11">
        <v>308</v>
      </c>
      <c r="B309" s="14">
        <v>1</v>
      </c>
      <c r="C309" s="12">
        <v>35</v>
      </c>
      <c r="D309" s="13">
        <v>2</v>
      </c>
      <c r="E309" s="12">
        <v>37</v>
      </c>
      <c r="F309" s="12">
        <v>39</v>
      </c>
      <c r="G309" s="12">
        <v>4</v>
      </c>
      <c r="H309" s="12">
        <v>0</v>
      </c>
      <c r="I309" s="12">
        <v>2</v>
      </c>
      <c r="K309" s="51" t="s">
        <v>47</v>
      </c>
      <c r="L309" s="53">
        <f>STDEVA(L292:L307)</f>
        <v>0.59826679799517501</v>
      </c>
      <c r="M309" s="53">
        <f t="shared" ref="M309:P309" si="29">STDEVA(M292:M307)</f>
        <v>5.549971458869267E-2</v>
      </c>
      <c r="N309" s="53">
        <f t="shared" si="29"/>
        <v>0.54803688942003592</v>
      </c>
      <c r="O309" s="53">
        <f t="shared" si="29"/>
        <v>8.0923583815676034E-2</v>
      </c>
      <c r="P309" s="53">
        <f t="shared" si="29"/>
        <v>0.96655434086323699</v>
      </c>
    </row>
    <row r="310" spans="1:16" ht="15" x14ac:dyDescent="0.25">
      <c r="A310" s="11">
        <v>309</v>
      </c>
      <c r="B310" s="14">
        <v>4</v>
      </c>
      <c r="C310" s="12">
        <v>39</v>
      </c>
      <c r="D310" s="13">
        <v>3</v>
      </c>
      <c r="E310" s="12">
        <v>39</v>
      </c>
      <c r="F310" s="12">
        <v>42</v>
      </c>
      <c r="G310" s="12">
        <v>3</v>
      </c>
      <c r="H310" s="12">
        <v>0</v>
      </c>
      <c r="I310" s="12">
        <v>0</v>
      </c>
      <c r="K310" s="56"/>
      <c r="L310" s="55"/>
      <c r="M310" s="55"/>
      <c r="N310" s="55"/>
      <c r="O310" s="55"/>
      <c r="P310" s="55"/>
    </row>
    <row r="311" spans="1:16" ht="15" x14ac:dyDescent="0.25">
      <c r="A311" s="11">
        <v>310</v>
      </c>
      <c r="B311" s="14">
        <v>1</v>
      </c>
      <c r="C311" s="12">
        <v>40</v>
      </c>
      <c r="D311" s="13">
        <v>5</v>
      </c>
      <c r="E311" s="12">
        <v>42</v>
      </c>
      <c r="F311" s="12">
        <v>47</v>
      </c>
      <c r="G311" s="12">
        <v>7</v>
      </c>
      <c r="H311" s="12">
        <v>0</v>
      </c>
      <c r="I311" s="12">
        <v>2</v>
      </c>
    </row>
    <row r="312" spans="1:16" ht="39" x14ac:dyDescent="0.25">
      <c r="A312" s="11">
        <v>311</v>
      </c>
      <c r="B312" s="14">
        <v>1</v>
      </c>
      <c r="C312" s="12">
        <v>41</v>
      </c>
      <c r="D312" s="13">
        <v>3</v>
      </c>
      <c r="E312" s="12">
        <v>47</v>
      </c>
      <c r="F312" s="12">
        <v>50</v>
      </c>
      <c r="G312" s="12">
        <v>9</v>
      </c>
      <c r="H312" s="12">
        <v>0</v>
      </c>
      <c r="I312" s="12">
        <v>6</v>
      </c>
      <c r="L312" s="53" t="s">
        <v>11</v>
      </c>
      <c r="M312" s="53" t="s">
        <v>12</v>
      </c>
      <c r="N312" s="53" t="s">
        <v>13</v>
      </c>
      <c r="O312" s="53" t="s">
        <v>14</v>
      </c>
      <c r="P312" s="53" t="s">
        <v>15</v>
      </c>
    </row>
    <row r="313" spans="1:16" ht="15" x14ac:dyDescent="0.25">
      <c r="A313" s="11">
        <v>312</v>
      </c>
      <c r="B313" s="14">
        <v>9</v>
      </c>
      <c r="C313" s="12">
        <v>50</v>
      </c>
      <c r="D313" s="13">
        <v>4</v>
      </c>
      <c r="E313" s="12">
        <v>50</v>
      </c>
      <c r="F313" s="12">
        <v>54</v>
      </c>
      <c r="G313" s="12">
        <v>4</v>
      </c>
      <c r="H313" s="12">
        <v>0</v>
      </c>
      <c r="I313" s="12">
        <v>0</v>
      </c>
      <c r="L313" s="53">
        <v>3.6</v>
      </c>
      <c r="M313" s="53">
        <v>0.53459999999999996</v>
      </c>
      <c r="N313" s="53">
        <v>0.35</v>
      </c>
      <c r="O313" s="53">
        <v>0.15</v>
      </c>
      <c r="P313" s="53">
        <v>2.3330000000000002</v>
      </c>
    </row>
    <row r="314" spans="1:16" ht="15" x14ac:dyDescent="0.25">
      <c r="A314" s="11">
        <v>313</v>
      </c>
      <c r="B314" s="14">
        <v>1</v>
      </c>
      <c r="C314" s="12">
        <v>51</v>
      </c>
      <c r="D314" s="13">
        <v>1</v>
      </c>
      <c r="E314" s="12">
        <v>54</v>
      </c>
      <c r="F314" s="12">
        <v>55</v>
      </c>
      <c r="G314" s="12">
        <v>4</v>
      </c>
      <c r="H314" s="12">
        <v>0</v>
      </c>
      <c r="I314" s="12">
        <v>3</v>
      </c>
      <c r="K314" s="44"/>
      <c r="L314" s="53">
        <v>4</v>
      </c>
      <c r="M314" s="53">
        <v>0.40928270042194093</v>
      </c>
      <c r="N314" s="53">
        <v>0.4</v>
      </c>
      <c r="O314" s="53">
        <v>0.22500000000000001</v>
      </c>
      <c r="P314" s="53">
        <v>1.7777777777777777</v>
      </c>
    </row>
    <row r="315" spans="1:16" ht="15" x14ac:dyDescent="0.25">
      <c r="A315" s="11">
        <v>314</v>
      </c>
      <c r="B315" s="14">
        <v>4</v>
      </c>
      <c r="C315" s="12">
        <v>55</v>
      </c>
      <c r="D315" s="13">
        <v>2</v>
      </c>
      <c r="E315" s="12">
        <v>55</v>
      </c>
      <c r="F315" s="12">
        <v>57</v>
      </c>
      <c r="G315" s="12">
        <v>2</v>
      </c>
      <c r="H315" s="12">
        <v>0</v>
      </c>
      <c r="I315" s="12">
        <v>0</v>
      </c>
      <c r="K315" s="44"/>
      <c r="L315" s="53">
        <v>4.1500000000000004</v>
      </c>
      <c r="M315" s="53">
        <v>0.35562310030395139</v>
      </c>
      <c r="N315" s="53">
        <v>0.55000000000000004</v>
      </c>
      <c r="O315" s="53">
        <v>0.28333333333333333</v>
      </c>
      <c r="P315" s="53">
        <v>1.9411764705882353</v>
      </c>
    </row>
    <row r="316" spans="1:16" ht="15" x14ac:dyDescent="0.25">
      <c r="A316" s="11">
        <v>315</v>
      </c>
      <c r="B316" s="14">
        <v>2</v>
      </c>
      <c r="C316" s="12">
        <v>57</v>
      </c>
      <c r="D316" s="13">
        <v>3</v>
      </c>
      <c r="E316" s="12">
        <v>57</v>
      </c>
      <c r="F316" s="12">
        <v>60</v>
      </c>
      <c r="G316" s="12">
        <v>3</v>
      </c>
      <c r="H316" s="12">
        <v>0</v>
      </c>
      <c r="I316" s="12">
        <v>0</v>
      </c>
      <c r="K316" s="44"/>
      <c r="L316" s="53">
        <v>4.3375000000000004</v>
      </c>
      <c r="M316" s="53">
        <v>0.34731934731934733</v>
      </c>
      <c r="N316" s="53">
        <v>0.78749999999999998</v>
      </c>
      <c r="O316" s="53">
        <v>0.32500000000000001</v>
      </c>
      <c r="P316" s="53">
        <v>2.4230769230769229</v>
      </c>
    </row>
    <row r="317" spans="1:16" ht="15" x14ac:dyDescent="0.25">
      <c r="A317" s="11">
        <v>316</v>
      </c>
      <c r="B317" s="14">
        <v>3</v>
      </c>
      <c r="C317" s="12">
        <v>60</v>
      </c>
      <c r="D317" s="13">
        <v>6</v>
      </c>
      <c r="E317" s="12">
        <v>60</v>
      </c>
      <c r="F317" s="12">
        <v>66</v>
      </c>
      <c r="G317" s="12">
        <v>6</v>
      </c>
      <c r="H317" s="12">
        <v>0</v>
      </c>
      <c r="I317" s="12">
        <v>0</v>
      </c>
      <c r="K317" s="44"/>
      <c r="L317" s="53">
        <v>4.55</v>
      </c>
      <c r="M317" s="53">
        <v>0.33143939393939392</v>
      </c>
      <c r="N317" s="53">
        <v>0.98</v>
      </c>
      <c r="O317" s="53">
        <v>0.33</v>
      </c>
      <c r="P317" s="53">
        <v>2.9696969700000002</v>
      </c>
    </row>
    <row r="318" spans="1:16" ht="15" x14ac:dyDescent="0.25">
      <c r="A318" s="11">
        <v>317</v>
      </c>
      <c r="B318" s="14">
        <v>8</v>
      </c>
      <c r="C318" s="12">
        <v>68</v>
      </c>
      <c r="D318" s="13">
        <v>4</v>
      </c>
      <c r="E318" s="12">
        <v>68</v>
      </c>
      <c r="F318" s="12">
        <v>72</v>
      </c>
      <c r="G318" s="12">
        <v>4</v>
      </c>
      <c r="H318" s="12">
        <v>2</v>
      </c>
      <c r="I318" s="12">
        <v>0</v>
      </c>
      <c r="K318" s="44"/>
      <c r="L318" s="53">
        <v>5.7333333333333334</v>
      </c>
      <c r="M318" s="53">
        <v>0.29268292682926828</v>
      </c>
      <c r="N318" s="53">
        <v>2.0750000000000002</v>
      </c>
      <c r="O318" s="53">
        <v>0.42499999999999999</v>
      </c>
      <c r="P318" s="53">
        <v>4.882352941176471</v>
      </c>
    </row>
    <row r="319" spans="1:16" ht="15" x14ac:dyDescent="0.25">
      <c r="A319" s="11">
        <v>318</v>
      </c>
      <c r="B319" s="14">
        <v>3</v>
      </c>
      <c r="C319" s="12">
        <v>71</v>
      </c>
      <c r="D319" s="13">
        <v>3</v>
      </c>
      <c r="E319" s="12">
        <v>72</v>
      </c>
      <c r="F319" s="12">
        <v>75</v>
      </c>
      <c r="G319" s="12">
        <v>4</v>
      </c>
      <c r="H319" s="12">
        <v>0</v>
      </c>
      <c r="I319" s="12">
        <v>1</v>
      </c>
      <c r="K319" s="44"/>
      <c r="L319" s="53">
        <v>5.4214285714285717</v>
      </c>
      <c r="M319" s="53">
        <v>0.33555259653794939</v>
      </c>
      <c r="N319" s="53">
        <v>1.8</v>
      </c>
      <c r="O319" s="53">
        <v>0.37142857142857144</v>
      </c>
      <c r="P319" s="53">
        <v>4.75</v>
      </c>
    </row>
    <row r="320" spans="1:16" ht="15" x14ac:dyDescent="0.25">
      <c r="A320" s="11">
        <v>319</v>
      </c>
      <c r="B320" s="14">
        <v>3</v>
      </c>
      <c r="C320" s="12">
        <v>74</v>
      </c>
      <c r="D320" s="13">
        <v>1</v>
      </c>
      <c r="E320" s="12">
        <v>75</v>
      </c>
      <c r="F320" s="12">
        <v>76</v>
      </c>
      <c r="G320" s="12">
        <v>2</v>
      </c>
      <c r="H320" s="12">
        <v>0</v>
      </c>
      <c r="I320" s="12">
        <v>1</v>
      </c>
      <c r="K320" s="44"/>
      <c r="L320" s="53">
        <v>5.4874999999999998</v>
      </c>
      <c r="M320" s="53">
        <v>0.32113341204250295</v>
      </c>
      <c r="N320" s="53">
        <v>1.8374999999999999</v>
      </c>
      <c r="O320" s="53">
        <v>0.41875000000000001</v>
      </c>
      <c r="P320" s="53">
        <v>4.3880597014925371</v>
      </c>
    </row>
    <row r="321" spans="1:16" ht="15" x14ac:dyDescent="0.25">
      <c r="A321" s="11">
        <v>320</v>
      </c>
      <c r="B321" s="14">
        <v>8</v>
      </c>
      <c r="C321" s="12">
        <v>82</v>
      </c>
      <c r="D321" s="13">
        <v>4</v>
      </c>
      <c r="E321" s="12">
        <v>82</v>
      </c>
      <c r="F321" s="12">
        <v>86</v>
      </c>
      <c r="G321" s="12">
        <v>4</v>
      </c>
      <c r="H321" s="12">
        <v>6</v>
      </c>
      <c r="I321" s="12">
        <v>0</v>
      </c>
      <c r="K321" s="44"/>
      <c r="L321" s="53">
        <v>5.3944444444444448</v>
      </c>
      <c r="M321" s="53">
        <v>0.31991525423728812</v>
      </c>
      <c r="N321" s="53">
        <v>1.7777777777777777</v>
      </c>
      <c r="O321" s="53">
        <v>0.42777777777777776</v>
      </c>
      <c r="P321" s="53">
        <v>4.1558441558441555</v>
      </c>
    </row>
    <row r="322" spans="1:16" ht="15" x14ac:dyDescent="0.25">
      <c r="A322" s="11">
        <v>321</v>
      </c>
      <c r="B322" s="15"/>
      <c r="C322" s="16">
        <v>0</v>
      </c>
      <c r="D322" s="17">
        <v>5</v>
      </c>
      <c r="E322" s="16">
        <v>0</v>
      </c>
      <c r="F322" s="16">
        <v>5</v>
      </c>
      <c r="G322" s="16">
        <v>5</v>
      </c>
      <c r="H322" s="16">
        <v>0</v>
      </c>
      <c r="I322" s="16">
        <v>0</v>
      </c>
      <c r="K322" s="44"/>
      <c r="L322" s="53">
        <v>5.2450000000000001</v>
      </c>
      <c r="M322" s="53">
        <v>0.33301886792452828</v>
      </c>
      <c r="N322" s="53">
        <v>1.665</v>
      </c>
      <c r="O322" s="53">
        <v>0.41</v>
      </c>
      <c r="P322" s="53">
        <v>4.0609756097560972</v>
      </c>
    </row>
    <row r="323" spans="1:16" ht="15" x14ac:dyDescent="0.25">
      <c r="A323" s="11">
        <v>322</v>
      </c>
      <c r="B323" s="18">
        <v>6</v>
      </c>
      <c r="C323" s="19">
        <v>6</v>
      </c>
      <c r="D323" s="20">
        <v>4</v>
      </c>
      <c r="E323" s="19">
        <v>6</v>
      </c>
      <c r="F323" s="19">
        <v>10</v>
      </c>
      <c r="G323" s="19">
        <v>4</v>
      </c>
      <c r="H323" s="19">
        <v>1</v>
      </c>
      <c r="I323" s="19">
        <v>0</v>
      </c>
      <c r="K323" s="44"/>
      <c r="L323" s="53">
        <v>5.0727272727272723</v>
      </c>
      <c r="M323" s="53">
        <v>0.34382978723404256</v>
      </c>
      <c r="N323" s="53">
        <v>1.5727272727272728</v>
      </c>
      <c r="O323" s="53">
        <v>0.4</v>
      </c>
      <c r="P323" s="53">
        <v>4.0609756097560972</v>
      </c>
    </row>
    <row r="324" spans="1:16" ht="15" x14ac:dyDescent="0.25">
      <c r="A324" s="11">
        <v>323</v>
      </c>
      <c r="B324" s="18">
        <v>3</v>
      </c>
      <c r="C324" s="19">
        <v>9</v>
      </c>
      <c r="D324" s="20">
        <v>2</v>
      </c>
      <c r="E324" s="19">
        <v>10</v>
      </c>
      <c r="F324" s="19">
        <v>12</v>
      </c>
      <c r="G324" s="19">
        <v>3</v>
      </c>
      <c r="H324" s="19">
        <v>0</v>
      </c>
      <c r="I324" s="19">
        <v>1</v>
      </c>
      <c r="K324" s="44"/>
      <c r="L324" s="53">
        <v>5.1791666666666663</v>
      </c>
      <c r="M324" s="53">
        <v>0.32939322301024426</v>
      </c>
      <c r="N324" s="53">
        <v>1.6375</v>
      </c>
      <c r="O324" s="53">
        <v>0.40833333333333333</v>
      </c>
      <c r="P324" s="53">
        <v>4.0102040816326534</v>
      </c>
    </row>
    <row r="325" spans="1:16" ht="15" x14ac:dyDescent="0.25">
      <c r="A325" s="11">
        <v>324</v>
      </c>
      <c r="B325" s="18">
        <v>9</v>
      </c>
      <c r="C325" s="19">
        <v>18</v>
      </c>
      <c r="D325" s="20">
        <v>2</v>
      </c>
      <c r="E325" s="19">
        <v>18</v>
      </c>
      <c r="F325" s="19">
        <v>20</v>
      </c>
      <c r="G325" s="19">
        <v>2</v>
      </c>
      <c r="H325" s="19">
        <v>6</v>
      </c>
      <c r="I325" s="19">
        <v>0</v>
      </c>
      <c r="K325" s="44"/>
      <c r="L325" s="53">
        <v>5.0999999999999996</v>
      </c>
      <c r="M325" s="53">
        <v>0.32472324723247231</v>
      </c>
      <c r="N325" s="53">
        <v>1.5807692307692307</v>
      </c>
      <c r="O325" s="53">
        <v>0.41153846153846152</v>
      </c>
      <c r="P325" s="53">
        <v>3.8411214953271027</v>
      </c>
    </row>
    <row r="326" spans="1:16" ht="15" x14ac:dyDescent="0.25">
      <c r="A326" s="11">
        <v>325</v>
      </c>
      <c r="B326" s="18">
        <v>6</v>
      </c>
      <c r="C326" s="19">
        <v>24</v>
      </c>
      <c r="D326" s="20">
        <v>3</v>
      </c>
      <c r="E326" s="19">
        <v>24</v>
      </c>
      <c r="F326" s="19">
        <v>27</v>
      </c>
      <c r="G326" s="19">
        <v>3</v>
      </c>
      <c r="H326" s="19">
        <v>4</v>
      </c>
      <c r="I326" s="19">
        <v>0</v>
      </c>
      <c r="K326" s="44"/>
      <c r="L326" s="53">
        <v>5.05</v>
      </c>
      <c r="M326" s="53">
        <v>0.32904536222071767</v>
      </c>
      <c r="N326" s="53">
        <v>1.5214285714285714</v>
      </c>
      <c r="O326" s="53">
        <v>0.4</v>
      </c>
      <c r="P326" s="53">
        <v>3.8035714285714284</v>
      </c>
    </row>
    <row r="327" spans="1:16" ht="15" x14ac:dyDescent="0.25">
      <c r="A327" s="11">
        <v>326</v>
      </c>
      <c r="B327" s="18">
        <v>5</v>
      </c>
      <c r="C327" s="19">
        <v>29</v>
      </c>
      <c r="D327" s="20">
        <v>5</v>
      </c>
      <c r="E327" s="19">
        <v>29</v>
      </c>
      <c r="F327" s="19">
        <v>34</v>
      </c>
      <c r="G327" s="19">
        <v>5</v>
      </c>
      <c r="H327" s="19">
        <v>2</v>
      </c>
      <c r="I327" s="19">
        <v>0</v>
      </c>
      <c r="K327" s="44"/>
      <c r="L327" s="53">
        <v>5.03</v>
      </c>
      <c r="M327" s="53">
        <v>0.32760814249363868</v>
      </c>
      <c r="N327" s="53">
        <v>1.5166666666666666</v>
      </c>
      <c r="O327" s="53">
        <v>0.41</v>
      </c>
      <c r="P327" s="53">
        <v>3.6991869918699187</v>
      </c>
    </row>
    <row r="328" spans="1:16" ht="15" x14ac:dyDescent="0.25">
      <c r="A328" s="11">
        <v>327</v>
      </c>
      <c r="B328" s="18">
        <v>3</v>
      </c>
      <c r="C328" s="19">
        <v>32</v>
      </c>
      <c r="D328" s="20">
        <v>6</v>
      </c>
      <c r="E328" s="19">
        <v>34</v>
      </c>
      <c r="F328" s="19">
        <v>40</v>
      </c>
      <c r="G328" s="19">
        <v>8</v>
      </c>
      <c r="H328" s="19">
        <v>0</v>
      </c>
      <c r="I328" s="19">
        <v>2</v>
      </c>
      <c r="K328" s="44"/>
      <c r="L328" s="53">
        <v>4.9749999999999996</v>
      </c>
      <c r="M328" s="53">
        <v>0.32207478890229191</v>
      </c>
      <c r="N328" s="53">
        <v>1.4875</v>
      </c>
      <c r="O328" s="53">
        <v>0.40937499999999999</v>
      </c>
      <c r="P328" s="53">
        <v>3.6335877862595418</v>
      </c>
    </row>
    <row r="329" spans="1:16" ht="15" x14ac:dyDescent="0.25">
      <c r="A329" s="11">
        <v>328</v>
      </c>
      <c r="B329" s="18">
        <v>6</v>
      </c>
      <c r="C329" s="19">
        <v>38</v>
      </c>
      <c r="D329" s="20">
        <v>4</v>
      </c>
      <c r="E329" s="19">
        <v>40</v>
      </c>
      <c r="F329" s="19">
        <v>44</v>
      </c>
      <c r="G329" s="19">
        <v>6</v>
      </c>
      <c r="H329" s="19">
        <v>0</v>
      </c>
      <c r="I329" s="19">
        <v>2</v>
      </c>
      <c r="K329" s="44"/>
      <c r="L329" s="53">
        <f>(SUM($G$2:$G$341)/340)</f>
        <v>4.9588235294117649</v>
      </c>
      <c r="M329" s="53">
        <f>(SUM($H$2:$H$341)/($F$21+$F$41+$F$61+$F$81+$F$101+$F$121+$F$141+$F$161+$F$181+$F$201+$F$221+$F$241+$F$261+$F$281+$F$301+$F$321+$F$341))</f>
        <v>0.32122587968217936</v>
      </c>
      <c r="N329" s="53">
        <f>SUM($I$2:$I$341)/340</f>
        <v>1.4647058823529411</v>
      </c>
      <c r="O329" s="53">
        <f>(COUNTIF($I$2:$I$341,"&gt;0")/340)</f>
        <v>0.4088235294117647</v>
      </c>
      <c r="P329" s="53">
        <f>SUM($I$2:$I$341)/(COUNTIF($I$2:$I$341,"&gt;0"))</f>
        <v>3.5827338129496402</v>
      </c>
    </row>
    <row r="330" spans="1:16" ht="15" x14ac:dyDescent="0.25">
      <c r="A330" s="11">
        <v>329</v>
      </c>
      <c r="B330" s="18">
        <v>2</v>
      </c>
      <c r="C330" s="19">
        <v>40</v>
      </c>
      <c r="D330" s="20">
        <v>3</v>
      </c>
      <c r="E330" s="19">
        <v>44</v>
      </c>
      <c r="F330" s="19">
        <v>47</v>
      </c>
      <c r="G330" s="19">
        <v>7</v>
      </c>
      <c r="H330" s="19">
        <v>0</v>
      </c>
      <c r="I330" s="19">
        <v>4</v>
      </c>
      <c r="K330" s="51" t="s">
        <v>45</v>
      </c>
      <c r="L330" s="53">
        <f>AVERAGE(L313:L329)</f>
        <v>4.8991131657654146</v>
      </c>
      <c r="M330" s="53">
        <f t="shared" ref="M330:P330" si="30">AVERAGE(M313:M329)</f>
        <v>0.34579223707833867</v>
      </c>
      <c r="N330" s="53">
        <f t="shared" si="30"/>
        <v>1.3531809059836739</v>
      </c>
      <c r="O330" s="53">
        <f t="shared" si="30"/>
        <v>0.3655505886366614</v>
      </c>
      <c r="P330" s="53">
        <f t="shared" si="30"/>
        <v>3.5478436327105052</v>
      </c>
    </row>
    <row r="331" spans="1:16" ht="15" x14ac:dyDescent="0.25">
      <c r="A331" s="11">
        <v>330</v>
      </c>
      <c r="B331" s="18">
        <v>1</v>
      </c>
      <c r="C331" s="19">
        <v>41</v>
      </c>
      <c r="D331" s="20">
        <v>2</v>
      </c>
      <c r="E331" s="19">
        <v>47</v>
      </c>
      <c r="F331" s="19">
        <v>49</v>
      </c>
      <c r="G331" s="19">
        <v>8</v>
      </c>
      <c r="H331" s="19">
        <v>0</v>
      </c>
      <c r="I331" s="19">
        <v>6</v>
      </c>
      <c r="K331" s="51" t="s">
        <v>46</v>
      </c>
      <c r="L331" s="53">
        <f>STDEVA(L313:L329)</f>
        <v>0.57947366119222032</v>
      </c>
      <c r="M331" s="53">
        <f t="shared" ref="M331:P331" si="31">STDEVA(M313:M329)</f>
        <v>5.4108975587953023E-2</v>
      </c>
      <c r="N331" s="53">
        <f t="shared" si="31"/>
        <v>0.53141213211852623</v>
      </c>
      <c r="O331" s="53">
        <f t="shared" si="31"/>
        <v>7.9143452777071327E-2</v>
      </c>
      <c r="P331" s="53">
        <f t="shared" si="31"/>
        <v>0.93590540437765835</v>
      </c>
    </row>
    <row r="332" spans="1:16" ht="15" x14ac:dyDescent="0.25">
      <c r="A332" s="11">
        <v>331</v>
      </c>
      <c r="B332" s="18">
        <v>5</v>
      </c>
      <c r="C332" s="19">
        <v>46</v>
      </c>
      <c r="D332" s="20">
        <v>5</v>
      </c>
      <c r="E332" s="19">
        <v>49</v>
      </c>
      <c r="F332" s="19">
        <v>54</v>
      </c>
      <c r="G332" s="19">
        <v>8</v>
      </c>
      <c r="H332" s="19">
        <v>0</v>
      </c>
      <c r="I332" s="19">
        <v>3</v>
      </c>
    </row>
    <row r="333" spans="1:16" ht="15" x14ac:dyDescent="0.25">
      <c r="A333" s="11">
        <v>332</v>
      </c>
      <c r="B333" s="18">
        <v>1</v>
      </c>
      <c r="C333" s="19">
        <v>55</v>
      </c>
      <c r="D333" s="20">
        <v>4</v>
      </c>
      <c r="E333" s="19">
        <v>56</v>
      </c>
      <c r="F333" s="19">
        <v>60</v>
      </c>
      <c r="G333" s="19">
        <v>4</v>
      </c>
      <c r="H333" s="19">
        <v>2</v>
      </c>
      <c r="I333" s="19">
        <v>0</v>
      </c>
    </row>
    <row r="334" spans="1:16" ht="39" x14ac:dyDescent="0.25">
      <c r="A334" s="11">
        <v>333</v>
      </c>
      <c r="B334" s="18">
        <v>6</v>
      </c>
      <c r="C334" s="19">
        <v>61</v>
      </c>
      <c r="D334" s="20">
        <v>2</v>
      </c>
      <c r="E334" s="19">
        <v>62</v>
      </c>
      <c r="F334" s="19">
        <v>64</v>
      </c>
      <c r="G334" s="19">
        <v>2</v>
      </c>
      <c r="H334" s="19">
        <v>2</v>
      </c>
      <c r="I334" s="19">
        <v>0</v>
      </c>
      <c r="K334" s="44"/>
      <c r="L334" s="53" t="s">
        <v>11</v>
      </c>
      <c r="M334" s="53" t="s">
        <v>12</v>
      </c>
      <c r="N334" s="53" t="s">
        <v>13</v>
      </c>
      <c r="O334" s="53" t="s">
        <v>14</v>
      </c>
      <c r="P334" s="53" t="s">
        <v>15</v>
      </c>
    </row>
    <row r="335" spans="1:16" ht="15" x14ac:dyDescent="0.25">
      <c r="A335" s="11">
        <v>334</v>
      </c>
      <c r="B335" s="18">
        <v>3</v>
      </c>
      <c r="C335" s="19">
        <v>64</v>
      </c>
      <c r="D335" s="20">
        <v>4</v>
      </c>
      <c r="E335" s="19">
        <v>65</v>
      </c>
      <c r="F335" s="19">
        <v>69</v>
      </c>
      <c r="G335" s="19">
        <v>4</v>
      </c>
      <c r="H335" s="19">
        <v>1</v>
      </c>
      <c r="I335" s="19">
        <v>0</v>
      </c>
      <c r="K335" s="44"/>
      <c r="L335" s="53">
        <v>3.6</v>
      </c>
      <c r="M335" s="53">
        <v>0.53459999999999996</v>
      </c>
      <c r="N335" s="53">
        <v>0.35</v>
      </c>
      <c r="O335" s="53">
        <v>0.15</v>
      </c>
      <c r="P335" s="53">
        <v>2.3330000000000002</v>
      </c>
    </row>
    <row r="336" spans="1:16" ht="15" x14ac:dyDescent="0.25">
      <c r="A336" s="11">
        <v>335</v>
      </c>
      <c r="B336" s="18">
        <v>2</v>
      </c>
      <c r="C336" s="19">
        <v>66</v>
      </c>
      <c r="D336" s="20">
        <v>5</v>
      </c>
      <c r="E336" s="19">
        <v>69</v>
      </c>
      <c r="F336" s="19">
        <v>74</v>
      </c>
      <c r="G336" s="19">
        <v>8</v>
      </c>
      <c r="H336" s="19">
        <v>0</v>
      </c>
      <c r="I336" s="19">
        <v>3</v>
      </c>
      <c r="K336" s="44"/>
      <c r="L336" s="53">
        <v>4</v>
      </c>
      <c r="M336" s="53">
        <v>0.40928270042194093</v>
      </c>
      <c r="N336" s="53">
        <v>0.4</v>
      </c>
      <c r="O336" s="53">
        <v>0.22500000000000001</v>
      </c>
      <c r="P336" s="53">
        <v>1.7777777777777777</v>
      </c>
    </row>
    <row r="337" spans="1:16" ht="15" x14ac:dyDescent="0.25">
      <c r="A337" s="11">
        <v>336</v>
      </c>
      <c r="B337" s="18">
        <v>9</v>
      </c>
      <c r="C337" s="19">
        <v>75</v>
      </c>
      <c r="D337" s="20">
        <v>1</v>
      </c>
      <c r="E337" s="19">
        <v>75</v>
      </c>
      <c r="F337" s="19">
        <v>76</v>
      </c>
      <c r="G337" s="19">
        <v>1</v>
      </c>
      <c r="H337" s="19">
        <v>1</v>
      </c>
      <c r="I337" s="19">
        <v>0</v>
      </c>
      <c r="K337" s="44"/>
      <c r="L337" s="53">
        <v>4.1500000000000004</v>
      </c>
      <c r="M337" s="53">
        <v>0.35562310030395139</v>
      </c>
      <c r="N337" s="53">
        <v>0.55000000000000004</v>
      </c>
      <c r="O337" s="53">
        <v>0.28333333333333333</v>
      </c>
      <c r="P337" s="53">
        <v>1.9411764705882353</v>
      </c>
    </row>
    <row r="338" spans="1:16" ht="15" x14ac:dyDescent="0.25">
      <c r="A338" s="11">
        <v>337</v>
      </c>
      <c r="B338" s="18">
        <v>3</v>
      </c>
      <c r="C338" s="19">
        <v>78</v>
      </c>
      <c r="D338" s="20">
        <v>1</v>
      </c>
      <c r="E338" s="19">
        <v>78</v>
      </c>
      <c r="F338" s="19">
        <v>79</v>
      </c>
      <c r="G338" s="19">
        <v>1</v>
      </c>
      <c r="H338" s="19">
        <v>2</v>
      </c>
      <c r="I338" s="19">
        <v>0</v>
      </c>
      <c r="K338" s="44"/>
      <c r="L338" s="53">
        <v>4.3375000000000004</v>
      </c>
      <c r="M338" s="53">
        <v>0.34731934731934733</v>
      </c>
      <c r="N338" s="53">
        <v>0.78749999999999998</v>
      </c>
      <c r="O338" s="53">
        <v>0.32500000000000001</v>
      </c>
      <c r="P338" s="53">
        <v>2.4230769230769229</v>
      </c>
    </row>
    <row r="339" spans="1:16" ht="15" x14ac:dyDescent="0.25">
      <c r="A339" s="11">
        <v>338</v>
      </c>
      <c r="B339" s="18">
        <v>8</v>
      </c>
      <c r="C339" s="19">
        <v>86</v>
      </c>
      <c r="D339" s="20">
        <v>5</v>
      </c>
      <c r="E339" s="19">
        <v>87</v>
      </c>
      <c r="F339" s="19">
        <v>92</v>
      </c>
      <c r="G339" s="19">
        <v>5</v>
      </c>
      <c r="H339" s="19">
        <v>8</v>
      </c>
      <c r="I339" s="19">
        <v>0</v>
      </c>
      <c r="K339" s="44"/>
      <c r="L339" s="53">
        <v>4.55</v>
      </c>
      <c r="M339" s="53">
        <v>0.33143939393939392</v>
      </c>
      <c r="N339" s="53">
        <v>0.98</v>
      </c>
      <c r="O339" s="53">
        <v>0.33</v>
      </c>
      <c r="P339" s="53">
        <v>2.9696969700000002</v>
      </c>
    </row>
    <row r="340" spans="1:16" ht="15" x14ac:dyDescent="0.25">
      <c r="A340" s="11">
        <v>339</v>
      </c>
      <c r="B340" s="18">
        <v>9</v>
      </c>
      <c r="C340" s="19">
        <v>95</v>
      </c>
      <c r="D340" s="20">
        <v>4</v>
      </c>
      <c r="E340" s="19">
        <v>95</v>
      </c>
      <c r="F340" s="19">
        <v>99</v>
      </c>
      <c r="G340" s="19">
        <v>4</v>
      </c>
      <c r="H340" s="19">
        <v>3</v>
      </c>
      <c r="I340" s="19">
        <v>0</v>
      </c>
      <c r="K340" s="44"/>
      <c r="L340" s="53">
        <v>5.7333333333333334</v>
      </c>
      <c r="M340" s="53">
        <v>0.29268292682926828</v>
      </c>
      <c r="N340" s="53">
        <v>2.0750000000000002</v>
      </c>
      <c r="O340" s="53">
        <v>0.42499999999999999</v>
      </c>
      <c r="P340" s="53">
        <v>4.882352941176471</v>
      </c>
    </row>
    <row r="341" spans="1:16" ht="15" x14ac:dyDescent="0.25">
      <c r="A341" s="11">
        <v>340</v>
      </c>
      <c r="B341" s="18">
        <v>2</v>
      </c>
      <c r="C341" s="19">
        <v>97</v>
      </c>
      <c r="D341" s="20">
        <v>5</v>
      </c>
      <c r="E341" s="19">
        <v>99</v>
      </c>
      <c r="F341" s="19">
        <v>104</v>
      </c>
      <c r="G341" s="19">
        <v>6</v>
      </c>
      <c r="H341" s="19">
        <v>0</v>
      </c>
      <c r="I341" s="19">
        <v>1</v>
      </c>
      <c r="K341" s="44"/>
      <c r="L341" s="53">
        <v>5.4214285714285717</v>
      </c>
      <c r="M341" s="53">
        <v>0.33555259653794939</v>
      </c>
      <c r="N341" s="53">
        <v>1.8</v>
      </c>
      <c r="O341" s="53">
        <v>0.37142857142857144</v>
      </c>
      <c r="P341" s="53">
        <v>4.75</v>
      </c>
    </row>
    <row r="342" spans="1:16" ht="15" x14ac:dyDescent="0.25">
      <c r="A342" s="11">
        <v>341</v>
      </c>
      <c r="B342" s="7"/>
      <c r="C342" s="8">
        <v>0</v>
      </c>
      <c r="D342" s="9">
        <v>4</v>
      </c>
      <c r="E342" s="8">
        <v>0</v>
      </c>
      <c r="F342" s="8">
        <v>4</v>
      </c>
      <c r="G342" s="8">
        <v>4</v>
      </c>
      <c r="H342" s="8">
        <v>0</v>
      </c>
      <c r="I342" s="8">
        <v>0</v>
      </c>
      <c r="K342" s="44"/>
      <c r="L342" s="53">
        <v>5.4874999999999998</v>
      </c>
      <c r="M342" s="53">
        <v>0.32113341204250295</v>
      </c>
      <c r="N342" s="53">
        <v>1.8374999999999999</v>
      </c>
      <c r="O342" s="53">
        <v>0.41875000000000001</v>
      </c>
      <c r="P342" s="53">
        <v>4.3880597014925371</v>
      </c>
    </row>
    <row r="343" spans="1:16" ht="15" x14ac:dyDescent="0.25">
      <c r="A343" s="11">
        <v>342</v>
      </c>
      <c r="B343" s="7">
        <v>5</v>
      </c>
      <c r="C343" s="8">
        <v>5</v>
      </c>
      <c r="D343" s="9">
        <v>2</v>
      </c>
      <c r="E343" s="8">
        <v>5</v>
      </c>
      <c r="F343" s="8">
        <v>7</v>
      </c>
      <c r="G343" s="8">
        <v>2</v>
      </c>
      <c r="H343" s="8">
        <v>1</v>
      </c>
      <c r="I343" s="8">
        <v>0</v>
      </c>
      <c r="K343" s="44"/>
      <c r="L343" s="53">
        <v>5.3944444444444448</v>
      </c>
      <c r="M343" s="53">
        <v>0.31991525423728812</v>
      </c>
      <c r="N343" s="53">
        <v>1.7777777777777777</v>
      </c>
      <c r="O343" s="53">
        <v>0.42777777777777776</v>
      </c>
      <c r="P343" s="53">
        <v>4.1558441558441555</v>
      </c>
    </row>
    <row r="344" spans="1:16" ht="15" x14ac:dyDescent="0.25">
      <c r="A344" s="11">
        <v>343</v>
      </c>
      <c r="B344" s="7">
        <v>7</v>
      </c>
      <c r="C344" s="8">
        <v>12</v>
      </c>
      <c r="D344" s="9">
        <v>3</v>
      </c>
      <c r="E344" s="8">
        <v>12</v>
      </c>
      <c r="F344" s="8">
        <v>15</v>
      </c>
      <c r="G344" s="8">
        <v>3</v>
      </c>
      <c r="H344" s="8">
        <v>5</v>
      </c>
      <c r="I344" s="8">
        <v>0</v>
      </c>
      <c r="K344" s="44"/>
      <c r="L344" s="53">
        <v>5.2450000000000001</v>
      </c>
      <c r="M344" s="53">
        <v>0.33301886792452828</v>
      </c>
      <c r="N344" s="53">
        <v>1.665</v>
      </c>
      <c r="O344" s="53">
        <v>0.41</v>
      </c>
      <c r="P344" s="53">
        <v>4.0609756097560972</v>
      </c>
    </row>
    <row r="345" spans="1:16" ht="15" x14ac:dyDescent="0.25">
      <c r="A345" s="11">
        <v>344</v>
      </c>
      <c r="B345" s="7">
        <v>6</v>
      </c>
      <c r="C345" s="8">
        <v>18</v>
      </c>
      <c r="D345" s="9">
        <v>1</v>
      </c>
      <c r="E345" s="8">
        <v>18</v>
      </c>
      <c r="F345" s="8">
        <v>19</v>
      </c>
      <c r="G345" s="8">
        <v>1</v>
      </c>
      <c r="H345" s="8">
        <v>3</v>
      </c>
      <c r="I345" s="8">
        <v>0</v>
      </c>
      <c r="K345" s="44"/>
      <c r="L345" s="53">
        <v>5.0727272727272723</v>
      </c>
      <c r="M345" s="53">
        <v>0.34382978723404256</v>
      </c>
      <c r="N345" s="53">
        <v>1.5727272727272728</v>
      </c>
      <c r="O345" s="53">
        <v>0.4</v>
      </c>
      <c r="P345" s="53">
        <v>4.0609756097560972</v>
      </c>
    </row>
    <row r="346" spans="1:16" ht="15" x14ac:dyDescent="0.25">
      <c r="A346" s="11">
        <v>345</v>
      </c>
      <c r="B346" s="7">
        <v>7</v>
      </c>
      <c r="C346" s="8">
        <v>25</v>
      </c>
      <c r="D346" s="9">
        <v>3</v>
      </c>
      <c r="E346" s="8">
        <v>25</v>
      </c>
      <c r="F346" s="8">
        <v>28</v>
      </c>
      <c r="G346" s="8">
        <v>3</v>
      </c>
      <c r="H346" s="8">
        <v>6</v>
      </c>
      <c r="I346" s="8">
        <v>0</v>
      </c>
      <c r="K346" s="44"/>
      <c r="L346" s="53">
        <v>5.1791666666666663</v>
      </c>
      <c r="M346" s="53">
        <v>0.32939322301024426</v>
      </c>
      <c r="N346" s="53">
        <v>1.6375</v>
      </c>
      <c r="O346" s="53">
        <v>0.40833333333333333</v>
      </c>
      <c r="P346" s="53">
        <v>4.0102040816326534</v>
      </c>
    </row>
    <row r="347" spans="1:16" ht="15" x14ac:dyDescent="0.25">
      <c r="A347" s="11">
        <v>346</v>
      </c>
      <c r="B347" s="7">
        <v>9</v>
      </c>
      <c r="C347" s="8">
        <v>34</v>
      </c>
      <c r="D347" s="9">
        <v>2</v>
      </c>
      <c r="E347" s="8">
        <v>34</v>
      </c>
      <c r="F347" s="8">
        <v>36</v>
      </c>
      <c r="G347" s="8">
        <v>2</v>
      </c>
      <c r="H347" s="8">
        <v>6</v>
      </c>
      <c r="I347" s="8">
        <v>0</v>
      </c>
      <c r="K347" s="44"/>
      <c r="L347" s="53">
        <v>5.0999999999999996</v>
      </c>
      <c r="M347" s="53">
        <v>0.32472324723247231</v>
      </c>
      <c r="N347" s="53">
        <v>1.5807692307692307</v>
      </c>
      <c r="O347" s="53">
        <v>0.41153846153846152</v>
      </c>
      <c r="P347" s="53">
        <v>3.8411214953271027</v>
      </c>
    </row>
    <row r="348" spans="1:16" ht="15" x14ac:dyDescent="0.25">
      <c r="A348" s="11">
        <v>347</v>
      </c>
      <c r="B348" s="7">
        <v>4</v>
      </c>
      <c r="C348" s="8">
        <v>38</v>
      </c>
      <c r="D348" s="9">
        <v>5</v>
      </c>
      <c r="E348" s="8">
        <v>38</v>
      </c>
      <c r="F348" s="8">
        <v>43</v>
      </c>
      <c r="G348" s="8">
        <v>5</v>
      </c>
      <c r="H348" s="8">
        <v>2</v>
      </c>
      <c r="I348" s="8">
        <v>0</v>
      </c>
      <c r="K348" s="44"/>
      <c r="L348" s="53">
        <v>5.05</v>
      </c>
      <c r="M348" s="53">
        <v>0.32904536222071767</v>
      </c>
      <c r="N348" s="53">
        <v>1.5214285714285714</v>
      </c>
      <c r="O348" s="53">
        <v>0.4</v>
      </c>
      <c r="P348" s="53">
        <v>3.8035714285714284</v>
      </c>
    </row>
    <row r="349" spans="1:16" ht="15" x14ac:dyDescent="0.25">
      <c r="A349" s="11">
        <v>348</v>
      </c>
      <c r="B349" s="7">
        <v>6</v>
      </c>
      <c r="C349" s="8">
        <v>44</v>
      </c>
      <c r="D349" s="9">
        <v>3</v>
      </c>
      <c r="E349" s="8">
        <v>44</v>
      </c>
      <c r="F349" s="8">
        <v>47</v>
      </c>
      <c r="G349" s="8">
        <v>3</v>
      </c>
      <c r="H349" s="8">
        <v>1</v>
      </c>
      <c r="I349" s="8">
        <v>0</v>
      </c>
      <c r="K349" s="44"/>
      <c r="L349" s="53">
        <v>5.03</v>
      </c>
      <c r="M349" s="53">
        <v>0.32760814249363868</v>
      </c>
      <c r="N349" s="53">
        <v>1.5166666666666666</v>
      </c>
      <c r="O349" s="53">
        <v>0.41</v>
      </c>
      <c r="P349" s="53">
        <v>3.6991869918699187</v>
      </c>
    </row>
    <row r="350" spans="1:16" ht="15" x14ac:dyDescent="0.25">
      <c r="A350" s="11">
        <v>349</v>
      </c>
      <c r="B350" s="7">
        <v>2</v>
      </c>
      <c r="C350" s="8">
        <v>46</v>
      </c>
      <c r="D350" s="9">
        <v>5</v>
      </c>
      <c r="E350" s="8">
        <v>47</v>
      </c>
      <c r="F350" s="8">
        <v>52</v>
      </c>
      <c r="G350" s="8">
        <v>6</v>
      </c>
      <c r="H350" s="8">
        <v>0</v>
      </c>
      <c r="I350" s="8">
        <v>1</v>
      </c>
      <c r="K350" s="44"/>
      <c r="L350" s="53">
        <v>4.9749999999999996</v>
      </c>
      <c r="M350" s="53">
        <v>0.32207478890229191</v>
      </c>
      <c r="N350" s="53">
        <v>1.4875</v>
      </c>
      <c r="O350" s="53">
        <v>0.40937499999999999</v>
      </c>
      <c r="P350" s="53">
        <v>3.6335877862595418</v>
      </c>
    </row>
    <row r="351" spans="1:16" ht="15" x14ac:dyDescent="0.25">
      <c r="A351" s="11">
        <v>350</v>
      </c>
      <c r="B351" s="7">
        <v>6</v>
      </c>
      <c r="C351" s="8">
        <v>52</v>
      </c>
      <c r="D351" s="9">
        <v>2</v>
      </c>
      <c r="E351" s="8">
        <v>52</v>
      </c>
      <c r="F351" s="8">
        <v>54</v>
      </c>
      <c r="G351" s="8">
        <v>2</v>
      </c>
      <c r="H351" s="8">
        <v>0</v>
      </c>
      <c r="I351" s="8">
        <v>0</v>
      </c>
      <c r="K351" s="56"/>
      <c r="L351" s="53">
        <v>4.9588235294117649</v>
      </c>
      <c r="M351" s="53">
        <v>0.32122587968217936</v>
      </c>
      <c r="N351" s="53">
        <v>1.4647058823529411</v>
      </c>
      <c r="O351" s="53">
        <v>0.4088235294117647</v>
      </c>
      <c r="P351" s="53">
        <v>3.5827338129496402</v>
      </c>
    </row>
    <row r="352" spans="1:16" ht="15" x14ac:dyDescent="0.25">
      <c r="A352" s="11">
        <v>351</v>
      </c>
      <c r="B352" s="7">
        <v>4</v>
      </c>
      <c r="C352" s="8">
        <v>56</v>
      </c>
      <c r="D352" s="9">
        <v>1</v>
      </c>
      <c r="E352" s="8">
        <v>56</v>
      </c>
      <c r="F352" s="8">
        <v>57</v>
      </c>
      <c r="G352" s="8">
        <v>1</v>
      </c>
      <c r="H352" s="8">
        <v>2</v>
      </c>
      <c r="I352" s="8">
        <v>0</v>
      </c>
      <c r="K352" s="56"/>
      <c r="L352" s="53">
        <f>(SUM($G$2:$G$361)/360)</f>
        <v>4.8916666666666666</v>
      </c>
      <c r="M352" s="53">
        <f>(SUM($H$2:$H$361)/($F$21+$F$41+$F$61+$F$81+$F$101+$F$121+$F$141+$F$161+$F$181+$F$201+$F$221+$F$241+$F$261+$F$281+$F$301+$F$321+$F$341+$F$361))</f>
        <v>0.32403433476394849</v>
      </c>
      <c r="N352" s="53">
        <f>SUM($I$2:$I$361)/360</f>
        <v>1.413888888888889</v>
      </c>
      <c r="O352" s="53">
        <f>(COUNTIF($I$2:$I$361,"&gt;0")/360)</f>
        <v>0.4</v>
      </c>
      <c r="P352" s="53">
        <f>SUM($I$2:$I$361)/(COUNTIF($I$2:$I$361,"&gt;0"))</f>
        <v>3.5347222222222223</v>
      </c>
    </row>
    <row r="353" spans="1:16" ht="15" x14ac:dyDescent="0.25">
      <c r="A353" s="11">
        <v>352</v>
      </c>
      <c r="B353" s="7">
        <v>3</v>
      </c>
      <c r="C353" s="8">
        <v>59</v>
      </c>
      <c r="D353" s="9">
        <v>2</v>
      </c>
      <c r="E353" s="8">
        <v>59</v>
      </c>
      <c r="F353" s="8">
        <v>61</v>
      </c>
      <c r="G353" s="8">
        <v>2</v>
      </c>
      <c r="H353" s="8">
        <v>2</v>
      </c>
      <c r="I353" s="8">
        <v>0</v>
      </c>
      <c r="K353" s="51" t="s">
        <v>45</v>
      </c>
      <c r="L353" s="50">
        <f>AVERAGE(L335:L352)</f>
        <v>4.8986994713710397</v>
      </c>
      <c r="M353" s="50">
        <f t="shared" ref="M353:P353" si="32">AVERAGE(M335:M352)</f>
        <v>0.3445834647275392</v>
      </c>
      <c r="N353" s="50">
        <f t="shared" si="32"/>
        <v>1.3565535717006303</v>
      </c>
      <c r="O353" s="50">
        <f t="shared" si="32"/>
        <v>0.36746444482351354</v>
      </c>
      <c r="P353" s="50">
        <f t="shared" si="32"/>
        <v>3.5471146654611561</v>
      </c>
    </row>
    <row r="354" spans="1:16" ht="15" x14ac:dyDescent="0.25">
      <c r="A354" s="11">
        <v>353</v>
      </c>
      <c r="B354" s="7">
        <v>5</v>
      </c>
      <c r="C354" s="8">
        <v>64</v>
      </c>
      <c r="D354" s="9">
        <v>5</v>
      </c>
      <c r="E354" s="8">
        <v>64</v>
      </c>
      <c r="F354" s="8">
        <v>69</v>
      </c>
      <c r="G354" s="8">
        <v>5</v>
      </c>
      <c r="H354" s="8">
        <v>3</v>
      </c>
      <c r="I354" s="8">
        <v>0</v>
      </c>
      <c r="K354" s="51" t="s">
        <v>47</v>
      </c>
      <c r="L354" s="50">
        <f>STDEVA(L335:L352)</f>
        <v>0.56217476631707197</v>
      </c>
      <c r="M354" s="50">
        <f t="shared" ref="M354:P354" si="33">STDEVA(M335:M352)</f>
        <v>5.2743332887415853E-2</v>
      </c>
      <c r="N354" s="50">
        <f t="shared" si="33"/>
        <v>0.51574403010772385</v>
      </c>
      <c r="O354" s="50">
        <f t="shared" si="33"/>
        <v>7.7208582502143061E-2</v>
      </c>
      <c r="P354" s="50">
        <f t="shared" si="33"/>
        <v>0.90796687622361572</v>
      </c>
    </row>
    <row r="355" spans="1:16" ht="15" x14ac:dyDescent="0.25">
      <c r="A355" s="11">
        <v>354</v>
      </c>
      <c r="B355" s="7">
        <v>3</v>
      </c>
      <c r="C355" s="8">
        <v>67</v>
      </c>
      <c r="D355" s="9">
        <v>5</v>
      </c>
      <c r="E355" s="8">
        <v>69</v>
      </c>
      <c r="F355" s="8">
        <v>74</v>
      </c>
      <c r="G355" s="8">
        <v>7</v>
      </c>
      <c r="H355" s="8">
        <v>0</v>
      </c>
      <c r="I355" s="8">
        <v>2</v>
      </c>
      <c r="K355" s="44"/>
      <c r="L355" s="55"/>
      <c r="M355" s="55"/>
      <c r="N355" s="55"/>
      <c r="O355" s="55"/>
      <c r="P355" s="55"/>
    </row>
    <row r="356" spans="1:16" ht="15" x14ac:dyDescent="0.25">
      <c r="A356" s="11">
        <v>355</v>
      </c>
      <c r="B356" s="7">
        <v>1</v>
      </c>
      <c r="C356" s="8">
        <v>77</v>
      </c>
      <c r="D356" s="9">
        <v>1</v>
      </c>
      <c r="E356" s="8">
        <v>77</v>
      </c>
      <c r="F356" s="8">
        <v>78</v>
      </c>
      <c r="G356" s="8">
        <v>1</v>
      </c>
      <c r="H356" s="8">
        <v>3</v>
      </c>
      <c r="I356" s="8">
        <v>0</v>
      </c>
      <c r="K356" s="44"/>
      <c r="L356" s="55"/>
      <c r="M356" s="55"/>
      <c r="N356" s="55"/>
      <c r="O356" s="55"/>
      <c r="P356" s="55"/>
    </row>
    <row r="357" spans="1:16" ht="39" x14ac:dyDescent="0.25">
      <c r="A357" s="11">
        <v>356</v>
      </c>
      <c r="B357" s="7">
        <v>1</v>
      </c>
      <c r="C357" s="8">
        <v>78</v>
      </c>
      <c r="D357" s="9">
        <v>4</v>
      </c>
      <c r="E357" s="8">
        <v>78</v>
      </c>
      <c r="F357" s="8">
        <v>82</v>
      </c>
      <c r="G357" s="8">
        <v>4</v>
      </c>
      <c r="H357" s="8">
        <v>0</v>
      </c>
      <c r="I357" s="8">
        <v>0</v>
      </c>
      <c r="K357" s="44"/>
      <c r="L357" s="53" t="s">
        <v>11</v>
      </c>
      <c r="M357" s="53" t="s">
        <v>12</v>
      </c>
      <c r="N357" s="53" t="s">
        <v>13</v>
      </c>
      <c r="O357" s="53" t="s">
        <v>14</v>
      </c>
      <c r="P357" s="53" t="s">
        <v>15</v>
      </c>
    </row>
    <row r="358" spans="1:16" ht="15" x14ac:dyDescent="0.25">
      <c r="A358" s="11">
        <v>357</v>
      </c>
      <c r="B358" s="7">
        <v>1</v>
      </c>
      <c r="C358" s="8">
        <v>79</v>
      </c>
      <c r="D358" s="9">
        <v>4</v>
      </c>
      <c r="E358" s="8">
        <v>82</v>
      </c>
      <c r="F358" s="8">
        <v>86</v>
      </c>
      <c r="G358" s="8">
        <v>7</v>
      </c>
      <c r="H358" s="8">
        <v>0</v>
      </c>
      <c r="I358" s="8">
        <v>3</v>
      </c>
      <c r="K358" s="44"/>
      <c r="L358" s="53">
        <v>3.6</v>
      </c>
      <c r="M358" s="53">
        <v>0.53459999999999996</v>
      </c>
      <c r="N358" s="53">
        <v>0.35</v>
      </c>
      <c r="O358" s="53">
        <v>0.15</v>
      </c>
      <c r="P358" s="53">
        <v>2.3330000000000002</v>
      </c>
    </row>
    <row r="359" spans="1:16" ht="15" x14ac:dyDescent="0.25">
      <c r="A359" s="11">
        <v>358</v>
      </c>
      <c r="B359" s="7">
        <v>5</v>
      </c>
      <c r="C359" s="8">
        <v>84</v>
      </c>
      <c r="D359" s="9">
        <v>5</v>
      </c>
      <c r="E359" s="8">
        <v>86</v>
      </c>
      <c r="F359" s="8">
        <v>91</v>
      </c>
      <c r="G359" s="8">
        <v>7</v>
      </c>
      <c r="H359" s="8">
        <v>0</v>
      </c>
      <c r="I359" s="8">
        <v>2</v>
      </c>
      <c r="K359" s="44"/>
      <c r="L359" s="53">
        <v>4</v>
      </c>
      <c r="M359" s="53">
        <v>0.40928270042194093</v>
      </c>
      <c r="N359" s="53">
        <v>0.4</v>
      </c>
      <c r="O359" s="53">
        <v>0.22500000000000001</v>
      </c>
      <c r="P359" s="53">
        <v>1.7777777777777777</v>
      </c>
    </row>
    <row r="360" spans="1:16" ht="15" x14ac:dyDescent="0.25">
      <c r="A360" s="11">
        <v>359</v>
      </c>
      <c r="B360" s="7">
        <v>4</v>
      </c>
      <c r="C360" s="8">
        <v>88</v>
      </c>
      <c r="D360" s="9">
        <v>1</v>
      </c>
      <c r="E360" s="8">
        <v>91</v>
      </c>
      <c r="F360" s="8">
        <v>92</v>
      </c>
      <c r="G360" s="8">
        <v>4</v>
      </c>
      <c r="H360" s="8">
        <v>0</v>
      </c>
      <c r="I360" s="8">
        <v>3</v>
      </c>
      <c r="K360" s="44"/>
      <c r="L360" s="53">
        <v>4.1500000000000004</v>
      </c>
      <c r="M360" s="53">
        <v>0.35562310030395139</v>
      </c>
      <c r="N360" s="53">
        <v>0.55000000000000004</v>
      </c>
      <c r="O360" s="53">
        <v>0.28333333333333333</v>
      </c>
      <c r="P360" s="53">
        <v>1.9411764705882353</v>
      </c>
    </row>
    <row r="361" spans="1:16" ht="15" x14ac:dyDescent="0.25">
      <c r="A361" s="11">
        <v>360</v>
      </c>
      <c r="B361" s="7">
        <v>8</v>
      </c>
      <c r="C361" s="8">
        <v>96</v>
      </c>
      <c r="D361" s="9">
        <v>6</v>
      </c>
      <c r="E361" s="8">
        <v>96</v>
      </c>
      <c r="F361" s="8">
        <v>102</v>
      </c>
      <c r="G361" s="8">
        <v>6</v>
      </c>
      <c r="H361" s="8">
        <v>4</v>
      </c>
      <c r="I361" s="8">
        <v>0</v>
      </c>
      <c r="K361" s="44"/>
      <c r="L361" s="53">
        <v>4.3375000000000004</v>
      </c>
      <c r="M361" s="53">
        <v>0.34731934731934733</v>
      </c>
      <c r="N361" s="53">
        <v>0.78749999999999998</v>
      </c>
      <c r="O361" s="53">
        <v>0.32500000000000001</v>
      </c>
      <c r="P361" s="53">
        <v>2.4230769230769229</v>
      </c>
    </row>
    <row r="362" spans="1:16" ht="15" x14ac:dyDescent="0.25">
      <c r="A362" s="11">
        <v>361</v>
      </c>
      <c r="B362" s="7"/>
      <c r="C362" s="8">
        <v>0</v>
      </c>
      <c r="D362" s="9">
        <v>1</v>
      </c>
      <c r="E362" s="8">
        <v>0</v>
      </c>
      <c r="F362" s="8">
        <v>1</v>
      </c>
      <c r="G362" s="8">
        <v>1</v>
      </c>
      <c r="H362" s="8">
        <v>0</v>
      </c>
      <c r="I362" s="8">
        <v>0</v>
      </c>
      <c r="K362" s="44"/>
      <c r="L362" s="53">
        <v>4.55</v>
      </c>
      <c r="M362" s="53">
        <v>0.33143939393939392</v>
      </c>
      <c r="N362" s="53">
        <v>0.98</v>
      </c>
      <c r="O362" s="53">
        <v>0.33</v>
      </c>
      <c r="P362" s="53">
        <v>2.9696969700000002</v>
      </c>
    </row>
    <row r="363" spans="1:16" ht="15" x14ac:dyDescent="0.25">
      <c r="A363" s="11">
        <v>362</v>
      </c>
      <c r="B363" s="7">
        <v>3</v>
      </c>
      <c r="C363" s="8">
        <v>3</v>
      </c>
      <c r="D363" s="9">
        <v>5</v>
      </c>
      <c r="E363" s="8">
        <v>3</v>
      </c>
      <c r="F363" s="8">
        <v>8</v>
      </c>
      <c r="G363" s="8">
        <v>5</v>
      </c>
      <c r="H363" s="8">
        <v>2</v>
      </c>
      <c r="I363" s="8">
        <v>0</v>
      </c>
      <c r="K363" s="44"/>
      <c r="L363" s="53">
        <v>5.7333333333333334</v>
      </c>
      <c r="M363" s="53">
        <v>0.29268292682926828</v>
      </c>
      <c r="N363" s="53">
        <v>2.0750000000000002</v>
      </c>
      <c r="O363" s="53">
        <v>0.42499999999999999</v>
      </c>
      <c r="P363" s="53">
        <v>4.882352941176471</v>
      </c>
    </row>
    <row r="364" spans="1:16" ht="15" x14ac:dyDescent="0.25">
      <c r="A364" s="11">
        <v>363</v>
      </c>
      <c r="B364" s="7">
        <v>9</v>
      </c>
      <c r="C364" s="8">
        <v>12</v>
      </c>
      <c r="D364" s="9">
        <v>5</v>
      </c>
      <c r="E364" s="8">
        <v>12</v>
      </c>
      <c r="F364" s="8">
        <v>17</v>
      </c>
      <c r="G364" s="8">
        <v>5</v>
      </c>
      <c r="H364" s="8">
        <v>4</v>
      </c>
      <c r="I364" s="8">
        <v>0</v>
      </c>
      <c r="K364" s="44"/>
      <c r="L364" s="53">
        <v>5.4214285714285717</v>
      </c>
      <c r="M364" s="53">
        <v>0.33555259653794939</v>
      </c>
      <c r="N364" s="53">
        <v>1.8</v>
      </c>
      <c r="O364" s="53">
        <v>0.37142857142857144</v>
      </c>
      <c r="P364" s="53">
        <v>4.75</v>
      </c>
    </row>
    <row r="365" spans="1:16" ht="15" x14ac:dyDescent="0.25">
      <c r="A365" s="11">
        <v>364</v>
      </c>
      <c r="B365" s="7">
        <v>5</v>
      </c>
      <c r="C365" s="8">
        <v>17</v>
      </c>
      <c r="D365" s="9">
        <v>2</v>
      </c>
      <c r="E365" s="8">
        <v>17</v>
      </c>
      <c r="F365" s="8">
        <v>19</v>
      </c>
      <c r="G365" s="8">
        <v>2</v>
      </c>
      <c r="H365" s="8">
        <v>0</v>
      </c>
      <c r="I365" s="8">
        <v>0</v>
      </c>
      <c r="K365" s="44"/>
      <c r="L365" s="53">
        <v>5.4874999999999998</v>
      </c>
      <c r="M365" s="53">
        <v>0.32113341204250295</v>
      </c>
      <c r="N365" s="53">
        <v>1.8374999999999999</v>
      </c>
      <c r="O365" s="53">
        <v>0.41875000000000001</v>
      </c>
      <c r="P365" s="53">
        <v>4.3880597014925371</v>
      </c>
    </row>
    <row r="366" spans="1:16" ht="15" x14ac:dyDescent="0.25">
      <c r="A366" s="11">
        <v>365</v>
      </c>
      <c r="B366" s="7">
        <v>1</v>
      </c>
      <c r="C366" s="8">
        <v>18</v>
      </c>
      <c r="D366" s="9">
        <v>2</v>
      </c>
      <c r="E366" s="8">
        <v>19</v>
      </c>
      <c r="F366" s="8">
        <v>21</v>
      </c>
      <c r="G366" s="8">
        <v>3</v>
      </c>
      <c r="H366" s="8">
        <v>0</v>
      </c>
      <c r="I366" s="8">
        <v>1</v>
      </c>
      <c r="K366" s="44"/>
      <c r="L366" s="53">
        <v>5.3944444444444448</v>
      </c>
      <c r="M366" s="53">
        <v>0.31991525423728812</v>
      </c>
      <c r="N366" s="53">
        <v>1.7777777777777777</v>
      </c>
      <c r="O366" s="53">
        <v>0.42777777777777776</v>
      </c>
      <c r="P366" s="53">
        <v>4.1558441558441555</v>
      </c>
    </row>
    <row r="367" spans="1:16" ht="15" x14ac:dyDescent="0.25">
      <c r="A367" s="11">
        <v>366</v>
      </c>
      <c r="B367" s="7">
        <v>8</v>
      </c>
      <c r="C367" s="8">
        <v>26</v>
      </c>
      <c r="D367" s="9">
        <v>1</v>
      </c>
      <c r="E367" s="8">
        <v>26</v>
      </c>
      <c r="F367" s="8">
        <v>27</v>
      </c>
      <c r="G367" s="8">
        <v>1</v>
      </c>
      <c r="H367" s="8">
        <v>5</v>
      </c>
      <c r="I367" s="8">
        <v>0</v>
      </c>
      <c r="K367" s="44"/>
      <c r="L367" s="53">
        <v>5.2450000000000001</v>
      </c>
      <c r="M367" s="53">
        <v>0.33301886792452828</v>
      </c>
      <c r="N367" s="53">
        <v>1.665</v>
      </c>
      <c r="O367" s="53">
        <v>0.41</v>
      </c>
      <c r="P367" s="53">
        <v>4.0609756097560972</v>
      </c>
    </row>
    <row r="368" spans="1:16" ht="15" x14ac:dyDescent="0.25">
      <c r="A368" s="11">
        <v>367</v>
      </c>
      <c r="B368" s="7">
        <v>3</v>
      </c>
      <c r="C368" s="8">
        <v>29</v>
      </c>
      <c r="D368" s="9">
        <v>3</v>
      </c>
      <c r="E368" s="8">
        <v>29</v>
      </c>
      <c r="F368" s="8">
        <v>32</v>
      </c>
      <c r="G368" s="8">
        <v>3</v>
      </c>
      <c r="H368" s="8">
        <v>2</v>
      </c>
      <c r="I368" s="8">
        <v>0</v>
      </c>
      <c r="K368" s="44"/>
      <c r="L368" s="53">
        <v>5.0727272727272723</v>
      </c>
      <c r="M368" s="53">
        <v>0.34382978723404256</v>
      </c>
      <c r="N368" s="53">
        <v>1.5727272727272728</v>
      </c>
      <c r="O368" s="53">
        <v>0.4</v>
      </c>
      <c r="P368" s="53">
        <v>4.0609756097560972</v>
      </c>
    </row>
    <row r="369" spans="1:16" ht="15" x14ac:dyDescent="0.25">
      <c r="A369" s="11">
        <v>368</v>
      </c>
      <c r="B369" s="7">
        <v>5</v>
      </c>
      <c r="C369" s="8">
        <v>34</v>
      </c>
      <c r="D369" s="9">
        <v>3</v>
      </c>
      <c r="E369" s="8">
        <v>34</v>
      </c>
      <c r="F369" s="8">
        <v>37</v>
      </c>
      <c r="G369" s="8">
        <v>3</v>
      </c>
      <c r="H369" s="8">
        <v>2</v>
      </c>
      <c r="I369" s="8">
        <v>0</v>
      </c>
      <c r="K369" s="44"/>
      <c r="L369" s="53">
        <v>5.1791666666666663</v>
      </c>
      <c r="M369" s="53">
        <v>0.32939322301024426</v>
      </c>
      <c r="N369" s="53">
        <v>1.6375</v>
      </c>
      <c r="O369" s="53">
        <v>0.40833333333333333</v>
      </c>
      <c r="P369" s="53">
        <v>4.0102040816326534</v>
      </c>
    </row>
    <row r="370" spans="1:16" ht="15" x14ac:dyDescent="0.25">
      <c r="A370" s="11">
        <v>369</v>
      </c>
      <c r="B370" s="7">
        <v>5</v>
      </c>
      <c r="C370" s="8">
        <v>39</v>
      </c>
      <c r="D370" s="9">
        <v>5</v>
      </c>
      <c r="E370" s="8">
        <v>39</v>
      </c>
      <c r="F370" s="8">
        <v>44</v>
      </c>
      <c r="G370" s="8">
        <v>5</v>
      </c>
      <c r="H370" s="8">
        <v>2</v>
      </c>
      <c r="I370" s="8">
        <v>0</v>
      </c>
      <c r="K370" s="44"/>
      <c r="L370" s="53">
        <v>5.0999999999999996</v>
      </c>
      <c r="M370" s="53">
        <v>0.32472324723247231</v>
      </c>
      <c r="N370" s="53">
        <v>1.5807692307692307</v>
      </c>
      <c r="O370" s="53">
        <v>0.41153846153846152</v>
      </c>
      <c r="P370" s="53">
        <v>3.8411214953271027</v>
      </c>
    </row>
    <row r="371" spans="1:16" ht="15" x14ac:dyDescent="0.25">
      <c r="A371" s="11">
        <v>370</v>
      </c>
      <c r="B371" s="7">
        <v>5</v>
      </c>
      <c r="C371" s="8">
        <v>44</v>
      </c>
      <c r="D371" s="9">
        <v>6</v>
      </c>
      <c r="E371" s="8">
        <v>44</v>
      </c>
      <c r="F371" s="8">
        <v>50</v>
      </c>
      <c r="G371" s="8">
        <v>6</v>
      </c>
      <c r="H371" s="8">
        <v>0</v>
      </c>
      <c r="I371" s="8">
        <v>0</v>
      </c>
      <c r="K371" s="44"/>
      <c r="L371" s="53">
        <v>5.05</v>
      </c>
      <c r="M371" s="53">
        <v>0.32904536222071767</v>
      </c>
      <c r="N371" s="53">
        <v>1.5214285714285714</v>
      </c>
      <c r="O371" s="53">
        <v>0.4</v>
      </c>
      <c r="P371" s="53">
        <v>3.8035714285714284</v>
      </c>
    </row>
    <row r="372" spans="1:16" ht="15" x14ac:dyDescent="0.25">
      <c r="A372" s="11">
        <v>371</v>
      </c>
      <c r="B372" s="7">
        <v>7</v>
      </c>
      <c r="C372" s="8">
        <v>51</v>
      </c>
      <c r="D372" s="9">
        <v>5</v>
      </c>
      <c r="E372" s="8">
        <v>51</v>
      </c>
      <c r="F372" s="8">
        <v>56</v>
      </c>
      <c r="G372" s="8">
        <v>5</v>
      </c>
      <c r="H372" s="8">
        <v>1</v>
      </c>
      <c r="I372" s="8">
        <v>0</v>
      </c>
      <c r="K372" s="44"/>
      <c r="L372" s="53">
        <v>5.03</v>
      </c>
      <c r="M372" s="53">
        <v>0.32760814249363868</v>
      </c>
      <c r="N372" s="53">
        <v>1.5166666666666666</v>
      </c>
      <c r="O372" s="53">
        <v>0.41</v>
      </c>
      <c r="P372" s="53">
        <v>3.6991869918699187</v>
      </c>
    </row>
    <row r="373" spans="1:16" ht="15" x14ac:dyDescent="0.25">
      <c r="A373" s="11">
        <v>372</v>
      </c>
      <c r="B373" s="7">
        <v>2</v>
      </c>
      <c r="C373" s="8">
        <v>53</v>
      </c>
      <c r="D373" s="9">
        <v>4</v>
      </c>
      <c r="E373" s="8">
        <v>56</v>
      </c>
      <c r="F373" s="8">
        <v>60</v>
      </c>
      <c r="G373" s="8">
        <v>7</v>
      </c>
      <c r="H373" s="8">
        <v>0</v>
      </c>
      <c r="I373" s="8">
        <v>3</v>
      </c>
      <c r="K373" s="56"/>
      <c r="L373" s="53">
        <v>4.9749999999999996</v>
      </c>
      <c r="M373" s="53">
        <v>0.32207478890229191</v>
      </c>
      <c r="N373" s="53">
        <v>1.4875</v>
      </c>
      <c r="O373" s="53">
        <v>0.40937499999999999</v>
      </c>
      <c r="P373" s="53">
        <v>3.6335877862595418</v>
      </c>
    </row>
    <row r="374" spans="1:16" ht="15" x14ac:dyDescent="0.25">
      <c r="A374" s="11">
        <v>373</v>
      </c>
      <c r="B374" s="7">
        <v>9</v>
      </c>
      <c r="C374" s="8">
        <v>62</v>
      </c>
      <c r="D374" s="9">
        <v>5</v>
      </c>
      <c r="E374" s="8">
        <v>62</v>
      </c>
      <c r="F374" s="8">
        <v>67</v>
      </c>
      <c r="G374" s="8">
        <v>7</v>
      </c>
      <c r="H374" s="8">
        <v>2</v>
      </c>
      <c r="I374" s="8">
        <v>2</v>
      </c>
      <c r="K374" s="56"/>
      <c r="L374" s="53">
        <v>4.9588235294117649</v>
      </c>
      <c r="M374" s="53">
        <v>0.32122587968217936</v>
      </c>
      <c r="N374" s="53">
        <v>1.4647058823529411</v>
      </c>
      <c r="O374" s="53">
        <v>0.4088235294117647</v>
      </c>
      <c r="P374" s="53">
        <v>3.5827338129496402</v>
      </c>
    </row>
    <row r="375" spans="1:16" ht="15" x14ac:dyDescent="0.25">
      <c r="A375" s="11">
        <v>374</v>
      </c>
      <c r="B375" s="7">
        <v>1</v>
      </c>
      <c r="C375" s="8">
        <v>63</v>
      </c>
      <c r="D375" s="9">
        <v>4</v>
      </c>
      <c r="E375" s="8">
        <v>67</v>
      </c>
      <c r="F375" s="8">
        <v>71</v>
      </c>
      <c r="G375" s="8">
        <v>8</v>
      </c>
      <c r="H375" s="8">
        <v>0</v>
      </c>
      <c r="I375" s="8">
        <v>4</v>
      </c>
      <c r="L375" s="50">
        <v>4.8916666666666666</v>
      </c>
      <c r="M375" s="50">
        <v>0.32403433476394849</v>
      </c>
      <c r="N375" s="50">
        <v>1.413888888888889</v>
      </c>
      <c r="O375" s="50">
        <v>0.4</v>
      </c>
      <c r="P375" s="50">
        <v>3.5347222222222223</v>
      </c>
    </row>
    <row r="376" spans="1:16" ht="15" x14ac:dyDescent="0.25">
      <c r="A376" s="11">
        <v>375</v>
      </c>
      <c r="B376" s="7">
        <v>1</v>
      </c>
      <c r="C376" s="8">
        <v>73</v>
      </c>
      <c r="D376" s="9">
        <v>4</v>
      </c>
      <c r="E376" s="8">
        <v>73</v>
      </c>
      <c r="F376" s="8">
        <v>77</v>
      </c>
      <c r="G376" s="8">
        <v>4</v>
      </c>
      <c r="H376" s="8">
        <v>2</v>
      </c>
      <c r="I376" s="8">
        <v>0</v>
      </c>
      <c r="L376" s="53">
        <f>(SUM($G$2:$G$381)/380)</f>
        <v>4.8710526315789471</v>
      </c>
      <c r="M376" s="53">
        <f>(SUM($H$2:$H$381)/($F$21+$F$41+$F$61+$F$81+$F$101+$F$121+$F$141+$F$161+$F$181+$F$201+$F$221+$F$241+$F$261+$F$281+$F$301+$F$321+$F$341+$F$361+$F$381))</f>
        <v>0.3210821847881572</v>
      </c>
      <c r="N376" s="53">
        <f>SUM($I$2:$I$381)/380</f>
        <v>1.3921052631578947</v>
      </c>
      <c r="O376" s="53">
        <f>(COUNTIF($I$2:$I$381,"&gt;0")/380)</f>
        <v>0.39473684210526316</v>
      </c>
      <c r="P376" s="53">
        <f>SUM($I$2:$I$381)/(COUNTIF($I$2:$I$381,"&gt;0"))</f>
        <v>3.5266666666666668</v>
      </c>
    </row>
    <row r="377" spans="1:16" ht="15" x14ac:dyDescent="0.25">
      <c r="A377" s="11">
        <v>376</v>
      </c>
      <c r="B377" s="7">
        <v>5</v>
      </c>
      <c r="C377" s="8">
        <v>78</v>
      </c>
      <c r="D377" s="9">
        <v>4</v>
      </c>
      <c r="E377" s="8">
        <v>78</v>
      </c>
      <c r="F377" s="8">
        <v>82</v>
      </c>
      <c r="G377" s="8">
        <v>4</v>
      </c>
      <c r="H377" s="8">
        <v>1</v>
      </c>
      <c r="I377" s="8">
        <v>0</v>
      </c>
      <c r="K377" s="51" t="s">
        <v>45</v>
      </c>
      <c r="L377" s="50">
        <f>AVERAGE(L358:L376)</f>
        <v>4.897244374539877</v>
      </c>
      <c r="M377" s="50">
        <f t="shared" ref="M377:P377" si="34">AVERAGE(M358:M376)</f>
        <v>0.34334655525704538</v>
      </c>
      <c r="N377" s="50">
        <f t="shared" si="34"/>
        <v>1.3584247133562757</v>
      </c>
      <c r="O377" s="50">
        <f t="shared" si="34"/>
        <v>0.36889983415413191</v>
      </c>
      <c r="P377" s="50">
        <f t="shared" si="34"/>
        <v>3.5460384549982877</v>
      </c>
    </row>
    <row r="378" spans="1:16" ht="15" x14ac:dyDescent="0.25">
      <c r="A378" s="11">
        <v>377</v>
      </c>
      <c r="B378" s="7">
        <v>5</v>
      </c>
      <c r="C378" s="8">
        <v>83</v>
      </c>
      <c r="D378" s="9">
        <v>6</v>
      </c>
      <c r="E378" s="8">
        <v>83</v>
      </c>
      <c r="F378" s="8">
        <v>89</v>
      </c>
      <c r="G378" s="8">
        <v>6</v>
      </c>
      <c r="H378" s="8">
        <v>1</v>
      </c>
      <c r="I378" s="8">
        <v>0</v>
      </c>
      <c r="K378" s="51" t="s">
        <v>47</v>
      </c>
      <c r="L378" s="50">
        <f>STDEVA(L358:L376)</f>
        <v>0.54637248552733209</v>
      </c>
      <c r="M378" s="50">
        <f t="shared" ref="M378:P378" si="35">STDEVA(M358:M376)</f>
        <v>5.1540085258574619E-2</v>
      </c>
      <c r="N378" s="50">
        <f t="shared" si="35"/>
        <v>0.5012794617872306</v>
      </c>
      <c r="O378" s="50">
        <f t="shared" si="35"/>
        <v>7.5293664241809027E-2</v>
      </c>
      <c r="P378" s="50">
        <f t="shared" si="35"/>
        <v>0.88239766594999769</v>
      </c>
    </row>
    <row r="379" spans="1:16" ht="15" x14ac:dyDescent="0.25">
      <c r="A379" s="11">
        <v>378</v>
      </c>
      <c r="B379" s="7">
        <v>1</v>
      </c>
      <c r="C379" s="8">
        <v>84</v>
      </c>
      <c r="D379" s="9">
        <v>2</v>
      </c>
      <c r="E379" s="8">
        <v>89</v>
      </c>
      <c r="F379" s="8">
        <v>91</v>
      </c>
      <c r="G379" s="8">
        <v>7</v>
      </c>
      <c r="H379" s="8">
        <v>0</v>
      </c>
      <c r="I379" s="8">
        <v>5</v>
      </c>
    </row>
    <row r="380" spans="1:16" ht="15" x14ac:dyDescent="0.25">
      <c r="A380" s="11">
        <v>379</v>
      </c>
      <c r="B380" s="7">
        <v>2</v>
      </c>
      <c r="C380" s="8">
        <v>86</v>
      </c>
      <c r="D380" s="9">
        <v>1</v>
      </c>
      <c r="E380" s="8">
        <v>91</v>
      </c>
      <c r="F380" s="8">
        <v>92</v>
      </c>
      <c r="G380" s="8">
        <v>6</v>
      </c>
      <c r="H380" s="8">
        <v>0</v>
      </c>
      <c r="I380" s="8">
        <v>5</v>
      </c>
    </row>
    <row r="381" spans="1:16" ht="39" x14ac:dyDescent="0.25">
      <c r="A381" s="11">
        <v>380</v>
      </c>
      <c r="B381" s="7">
        <v>7</v>
      </c>
      <c r="C381" s="8">
        <v>93</v>
      </c>
      <c r="D381" s="9">
        <v>2</v>
      </c>
      <c r="E381" s="8">
        <v>93</v>
      </c>
      <c r="F381" s="8">
        <v>95</v>
      </c>
      <c r="G381" s="8">
        <v>2</v>
      </c>
      <c r="H381" s="8">
        <v>1</v>
      </c>
      <c r="I381" s="8">
        <v>0</v>
      </c>
      <c r="L381" s="53" t="s">
        <v>11</v>
      </c>
      <c r="M381" s="53" t="s">
        <v>12</v>
      </c>
      <c r="N381" s="53" t="s">
        <v>13</v>
      </c>
      <c r="O381" s="53" t="s">
        <v>14</v>
      </c>
      <c r="P381" s="53" t="s">
        <v>15</v>
      </c>
    </row>
    <row r="382" spans="1:16" ht="15" x14ac:dyDescent="0.25">
      <c r="A382" s="11">
        <v>381</v>
      </c>
      <c r="B382" s="21"/>
      <c r="C382" s="22">
        <v>0</v>
      </c>
      <c r="D382" s="23">
        <v>4</v>
      </c>
      <c r="E382" s="22">
        <v>0</v>
      </c>
      <c r="F382" s="22">
        <v>4</v>
      </c>
      <c r="G382" s="22">
        <v>4</v>
      </c>
      <c r="H382" s="22">
        <v>0</v>
      </c>
      <c r="I382" s="22">
        <v>0</v>
      </c>
      <c r="L382" s="53">
        <v>3.6</v>
      </c>
      <c r="M382" s="53">
        <v>0.53459999999999996</v>
      </c>
      <c r="N382" s="53">
        <v>0.35</v>
      </c>
      <c r="O382" s="53">
        <v>0.15</v>
      </c>
      <c r="P382" s="53">
        <v>2.3330000000000002</v>
      </c>
    </row>
    <row r="383" spans="1:16" ht="15" x14ac:dyDescent="0.25">
      <c r="A383" s="11">
        <v>382</v>
      </c>
      <c r="B383" s="24">
        <v>9</v>
      </c>
      <c r="C383" s="25">
        <f t="shared" ref="C383:C401" si="36">C382+B383</f>
        <v>9</v>
      </c>
      <c r="D383" s="23">
        <v>4</v>
      </c>
      <c r="E383" s="22">
        <v>9</v>
      </c>
      <c r="F383" s="22">
        <v>12</v>
      </c>
      <c r="G383" s="22">
        <v>4</v>
      </c>
      <c r="H383" s="25">
        <f t="shared" ref="H383:H401" si="37">E383-F382</f>
        <v>5</v>
      </c>
      <c r="I383" s="22">
        <v>0</v>
      </c>
      <c r="L383" s="53">
        <v>4</v>
      </c>
      <c r="M383" s="53">
        <v>0.40928270042194093</v>
      </c>
      <c r="N383" s="53">
        <v>0.4</v>
      </c>
      <c r="O383" s="53">
        <v>0.22500000000000001</v>
      </c>
      <c r="P383" s="53">
        <v>1.7777777777777777</v>
      </c>
    </row>
    <row r="384" spans="1:16" ht="15" x14ac:dyDescent="0.25">
      <c r="A384" s="11">
        <v>383</v>
      </c>
      <c r="B384" s="24">
        <v>5</v>
      </c>
      <c r="C384" s="25">
        <f t="shared" si="36"/>
        <v>14</v>
      </c>
      <c r="D384" s="23">
        <v>2</v>
      </c>
      <c r="E384" s="22">
        <v>14</v>
      </c>
      <c r="F384" s="22">
        <v>16</v>
      </c>
      <c r="G384" s="22">
        <v>2</v>
      </c>
      <c r="H384" s="25">
        <f t="shared" si="37"/>
        <v>2</v>
      </c>
      <c r="I384" s="22">
        <v>0</v>
      </c>
      <c r="L384" s="53">
        <v>4.1500000000000004</v>
      </c>
      <c r="M384" s="53">
        <v>0.35562310030395139</v>
      </c>
      <c r="N384" s="53">
        <v>0.55000000000000004</v>
      </c>
      <c r="O384" s="53">
        <v>0.28333333333333333</v>
      </c>
      <c r="P384" s="53">
        <v>1.9411764705882353</v>
      </c>
    </row>
    <row r="385" spans="1:16" ht="15" x14ac:dyDescent="0.25">
      <c r="A385" s="11">
        <v>384</v>
      </c>
      <c r="B385" s="24">
        <v>3</v>
      </c>
      <c r="C385" s="25">
        <f t="shared" si="36"/>
        <v>17</v>
      </c>
      <c r="D385" s="23">
        <v>2</v>
      </c>
      <c r="E385" s="22">
        <v>17</v>
      </c>
      <c r="F385" s="22">
        <v>19</v>
      </c>
      <c r="G385" s="22">
        <v>2</v>
      </c>
      <c r="H385" s="25">
        <f t="shared" si="37"/>
        <v>1</v>
      </c>
      <c r="I385" s="22">
        <v>0</v>
      </c>
      <c r="L385" s="53">
        <v>4.3375000000000004</v>
      </c>
      <c r="M385" s="53">
        <v>0.34731934731934733</v>
      </c>
      <c r="N385" s="53">
        <v>0.78749999999999998</v>
      </c>
      <c r="O385" s="53">
        <v>0.32500000000000001</v>
      </c>
      <c r="P385" s="53">
        <v>2.4230769230769229</v>
      </c>
    </row>
    <row r="386" spans="1:16" ht="15" x14ac:dyDescent="0.25">
      <c r="A386" s="11">
        <v>385</v>
      </c>
      <c r="B386" s="24">
        <v>9</v>
      </c>
      <c r="C386" s="25">
        <f t="shared" si="36"/>
        <v>26</v>
      </c>
      <c r="D386" s="23">
        <v>3</v>
      </c>
      <c r="E386" s="22">
        <v>26</v>
      </c>
      <c r="F386" s="22">
        <v>29</v>
      </c>
      <c r="G386" s="22">
        <v>3</v>
      </c>
      <c r="H386" s="25">
        <f t="shared" si="37"/>
        <v>7</v>
      </c>
      <c r="I386" s="22">
        <v>0</v>
      </c>
      <c r="L386" s="53">
        <v>4.55</v>
      </c>
      <c r="M386" s="53">
        <v>0.33143939393939392</v>
      </c>
      <c r="N386" s="53">
        <v>0.98</v>
      </c>
      <c r="O386" s="53">
        <v>0.33</v>
      </c>
      <c r="P386" s="53">
        <v>2.9696969700000002</v>
      </c>
    </row>
    <row r="387" spans="1:16" ht="15" x14ac:dyDescent="0.25">
      <c r="A387" s="11">
        <v>386</v>
      </c>
      <c r="B387" s="24">
        <v>1</v>
      </c>
      <c r="C387" s="25">
        <f t="shared" si="36"/>
        <v>27</v>
      </c>
      <c r="D387" s="23">
        <v>1</v>
      </c>
      <c r="E387" s="22">
        <v>29</v>
      </c>
      <c r="F387" s="22">
        <v>30</v>
      </c>
      <c r="G387" s="22">
        <v>3</v>
      </c>
      <c r="H387" s="25">
        <f t="shared" si="37"/>
        <v>0</v>
      </c>
      <c r="I387" s="22">
        <v>2</v>
      </c>
      <c r="L387" s="53">
        <v>5.7333333333333334</v>
      </c>
      <c r="M387" s="53">
        <v>0.29268292682926828</v>
      </c>
      <c r="N387" s="53">
        <v>2.0750000000000002</v>
      </c>
      <c r="O387" s="53">
        <v>0.42499999999999999</v>
      </c>
      <c r="P387" s="53">
        <v>4.882352941176471</v>
      </c>
    </row>
    <row r="388" spans="1:16" ht="15" x14ac:dyDescent="0.25">
      <c r="A388" s="11">
        <v>387</v>
      </c>
      <c r="B388" s="24">
        <v>4</v>
      </c>
      <c r="C388" s="25">
        <f t="shared" si="36"/>
        <v>31</v>
      </c>
      <c r="D388" s="23">
        <v>2</v>
      </c>
      <c r="E388" s="22">
        <v>31</v>
      </c>
      <c r="F388" s="22">
        <v>33</v>
      </c>
      <c r="G388" s="22">
        <v>2</v>
      </c>
      <c r="H388" s="25">
        <f t="shared" si="37"/>
        <v>1</v>
      </c>
      <c r="I388" s="22">
        <v>0</v>
      </c>
      <c r="L388" s="53">
        <v>5.4214285714285717</v>
      </c>
      <c r="M388" s="53">
        <v>0.33555259653794939</v>
      </c>
      <c r="N388" s="53">
        <v>1.8</v>
      </c>
      <c r="O388" s="53">
        <v>0.37142857142857144</v>
      </c>
      <c r="P388" s="53">
        <v>4.75</v>
      </c>
    </row>
    <row r="389" spans="1:16" ht="15" x14ac:dyDescent="0.25">
      <c r="A389" s="11">
        <v>388</v>
      </c>
      <c r="B389" s="24">
        <v>4</v>
      </c>
      <c r="C389" s="25">
        <f t="shared" si="36"/>
        <v>35</v>
      </c>
      <c r="D389" s="23">
        <v>3</v>
      </c>
      <c r="E389" s="22">
        <v>35</v>
      </c>
      <c r="F389" s="22">
        <v>38</v>
      </c>
      <c r="G389" s="22">
        <v>3</v>
      </c>
      <c r="H389" s="25">
        <f t="shared" si="37"/>
        <v>2</v>
      </c>
      <c r="I389" s="22">
        <v>0</v>
      </c>
      <c r="L389" s="53">
        <v>5.4874999999999998</v>
      </c>
      <c r="M389" s="53">
        <v>0.32113341204250295</v>
      </c>
      <c r="N389" s="53">
        <v>1.8374999999999999</v>
      </c>
      <c r="O389" s="53">
        <v>0.41875000000000001</v>
      </c>
      <c r="P389" s="53">
        <v>4.3880597014925371</v>
      </c>
    </row>
    <row r="390" spans="1:16" ht="15" x14ac:dyDescent="0.25">
      <c r="A390" s="11">
        <v>389</v>
      </c>
      <c r="B390" s="24">
        <v>5</v>
      </c>
      <c r="C390" s="25">
        <f t="shared" si="36"/>
        <v>40</v>
      </c>
      <c r="D390" s="23">
        <v>2</v>
      </c>
      <c r="E390" s="22">
        <v>40</v>
      </c>
      <c r="F390" s="22">
        <v>42</v>
      </c>
      <c r="G390" s="22">
        <v>3</v>
      </c>
      <c r="H390" s="25">
        <f t="shared" si="37"/>
        <v>2</v>
      </c>
      <c r="I390" s="22">
        <v>0</v>
      </c>
      <c r="L390" s="53">
        <v>5.3944444444444448</v>
      </c>
      <c r="M390" s="53">
        <v>0.31991525423728812</v>
      </c>
      <c r="N390" s="53">
        <v>1.7777777777777777</v>
      </c>
      <c r="O390" s="53">
        <v>0.42777777777777776</v>
      </c>
      <c r="P390" s="53">
        <v>4.1558441558441555</v>
      </c>
    </row>
    <row r="391" spans="1:16" ht="15" x14ac:dyDescent="0.25">
      <c r="A391" s="11">
        <v>390</v>
      </c>
      <c r="B391" s="24">
        <v>1</v>
      </c>
      <c r="C391" s="25">
        <f t="shared" si="36"/>
        <v>41</v>
      </c>
      <c r="D391" s="23">
        <v>6</v>
      </c>
      <c r="E391" s="22">
        <v>42</v>
      </c>
      <c r="F391" s="22">
        <v>48</v>
      </c>
      <c r="G391" s="22">
        <v>7</v>
      </c>
      <c r="H391" s="25">
        <f t="shared" si="37"/>
        <v>0</v>
      </c>
      <c r="I391" s="22">
        <v>1</v>
      </c>
      <c r="L391" s="53">
        <v>5.2450000000000001</v>
      </c>
      <c r="M391" s="53">
        <v>0.33301886792452828</v>
      </c>
      <c r="N391" s="53">
        <v>1.665</v>
      </c>
      <c r="O391" s="53">
        <v>0.41</v>
      </c>
      <c r="P391" s="53">
        <v>4.0609756097560972</v>
      </c>
    </row>
    <row r="392" spans="1:16" ht="15" x14ac:dyDescent="0.25">
      <c r="A392" s="11">
        <v>391</v>
      </c>
      <c r="B392" s="24">
        <v>3</v>
      </c>
      <c r="C392" s="25">
        <f t="shared" si="36"/>
        <v>44</v>
      </c>
      <c r="D392" s="23">
        <v>3</v>
      </c>
      <c r="E392" s="22">
        <v>48</v>
      </c>
      <c r="F392" s="22">
        <v>51</v>
      </c>
      <c r="G392" s="22">
        <v>7</v>
      </c>
      <c r="H392" s="25">
        <f t="shared" si="37"/>
        <v>0</v>
      </c>
      <c r="I392" s="22">
        <v>4</v>
      </c>
      <c r="L392" s="53">
        <v>5.0727272727272723</v>
      </c>
      <c r="M392" s="53">
        <v>0.34382978723404256</v>
      </c>
      <c r="N392" s="53">
        <v>1.5727272727272728</v>
      </c>
      <c r="O392" s="53">
        <v>0.4</v>
      </c>
      <c r="P392" s="53">
        <v>4.0609756097560972</v>
      </c>
    </row>
    <row r="393" spans="1:16" ht="15" x14ac:dyDescent="0.25">
      <c r="A393" s="11">
        <v>392</v>
      </c>
      <c r="B393" s="24">
        <v>8</v>
      </c>
      <c r="C393" s="25">
        <f t="shared" si="36"/>
        <v>52</v>
      </c>
      <c r="D393" s="23">
        <v>3</v>
      </c>
      <c r="E393" s="22">
        <v>52</v>
      </c>
      <c r="F393" s="22">
        <v>55</v>
      </c>
      <c r="G393" s="22">
        <v>3</v>
      </c>
      <c r="H393" s="25">
        <f t="shared" si="37"/>
        <v>1</v>
      </c>
      <c r="I393" s="22">
        <v>0</v>
      </c>
      <c r="L393" s="53">
        <v>5.1791666666666663</v>
      </c>
      <c r="M393" s="53">
        <v>0.32939322301024426</v>
      </c>
      <c r="N393" s="53">
        <v>1.6375</v>
      </c>
      <c r="O393" s="53">
        <v>0.40833333333333333</v>
      </c>
      <c r="P393" s="53">
        <v>4.0102040816326534</v>
      </c>
    </row>
    <row r="394" spans="1:16" ht="15" x14ac:dyDescent="0.25">
      <c r="A394" s="11">
        <v>393</v>
      </c>
      <c r="B394" s="24">
        <v>6</v>
      </c>
      <c r="C394" s="25">
        <f t="shared" si="36"/>
        <v>58</v>
      </c>
      <c r="D394" s="23">
        <v>6</v>
      </c>
      <c r="E394" s="22">
        <v>58</v>
      </c>
      <c r="F394" s="22">
        <v>64</v>
      </c>
      <c r="G394" s="22">
        <v>6</v>
      </c>
      <c r="H394" s="25">
        <f t="shared" si="37"/>
        <v>3</v>
      </c>
      <c r="I394" s="22">
        <v>0</v>
      </c>
      <c r="L394" s="53">
        <v>5.0999999999999996</v>
      </c>
      <c r="M394" s="53">
        <v>0.32472324723247231</v>
      </c>
      <c r="N394" s="53">
        <v>1.5807692307692307</v>
      </c>
      <c r="O394" s="53">
        <v>0.41153846153846152</v>
      </c>
      <c r="P394" s="53">
        <v>3.8411214953271027</v>
      </c>
    </row>
    <row r="395" spans="1:16" ht="15" x14ac:dyDescent="0.25">
      <c r="A395" s="11">
        <v>394</v>
      </c>
      <c r="B395" s="24">
        <v>6</v>
      </c>
      <c r="C395" s="25">
        <f t="shared" si="36"/>
        <v>64</v>
      </c>
      <c r="D395" s="23">
        <v>1</v>
      </c>
      <c r="E395" s="22">
        <v>64</v>
      </c>
      <c r="F395" s="22">
        <v>65</v>
      </c>
      <c r="G395" s="22">
        <v>1</v>
      </c>
      <c r="H395" s="25">
        <f t="shared" si="37"/>
        <v>0</v>
      </c>
      <c r="I395" s="22">
        <v>0</v>
      </c>
      <c r="L395" s="53">
        <v>5.05</v>
      </c>
      <c r="M395" s="53">
        <v>0.32904536222071767</v>
      </c>
      <c r="N395" s="53">
        <v>1.5214285714285714</v>
      </c>
      <c r="O395" s="53">
        <v>0.4</v>
      </c>
      <c r="P395" s="53">
        <v>3.8035714285714284</v>
      </c>
    </row>
    <row r="396" spans="1:16" ht="15" x14ac:dyDescent="0.25">
      <c r="A396" s="11">
        <v>395</v>
      </c>
      <c r="B396" s="24">
        <v>8</v>
      </c>
      <c r="C396" s="25">
        <f t="shared" si="36"/>
        <v>72</v>
      </c>
      <c r="D396" s="23">
        <v>5</v>
      </c>
      <c r="E396" s="22">
        <v>72</v>
      </c>
      <c r="F396" s="22">
        <v>77</v>
      </c>
      <c r="G396" s="22">
        <v>5</v>
      </c>
      <c r="H396" s="25">
        <f t="shared" si="37"/>
        <v>7</v>
      </c>
      <c r="I396" s="22">
        <v>0</v>
      </c>
      <c r="L396" s="53">
        <v>5.03</v>
      </c>
      <c r="M396" s="53">
        <v>0.32760814249363868</v>
      </c>
      <c r="N396" s="53">
        <v>1.5166666666666666</v>
      </c>
      <c r="O396" s="53">
        <v>0.41</v>
      </c>
      <c r="P396" s="53">
        <v>3.6991869918699187</v>
      </c>
    </row>
    <row r="397" spans="1:16" ht="15" x14ac:dyDescent="0.25">
      <c r="A397" s="11">
        <v>396</v>
      </c>
      <c r="B397" s="24">
        <v>1</v>
      </c>
      <c r="C397" s="25">
        <f t="shared" si="36"/>
        <v>73</v>
      </c>
      <c r="D397" s="23">
        <v>1</v>
      </c>
      <c r="E397" s="22">
        <v>77</v>
      </c>
      <c r="F397" s="22">
        <v>78</v>
      </c>
      <c r="G397" s="22">
        <v>5</v>
      </c>
      <c r="H397" s="25">
        <f t="shared" si="37"/>
        <v>0</v>
      </c>
      <c r="I397" s="22">
        <v>4</v>
      </c>
      <c r="L397" s="53">
        <v>4.9749999999999996</v>
      </c>
      <c r="M397" s="53">
        <v>0.32207478890229191</v>
      </c>
      <c r="N397" s="53">
        <v>1.4875</v>
      </c>
      <c r="O397" s="53">
        <v>0.40937499999999999</v>
      </c>
      <c r="P397" s="53">
        <v>3.6335877862595418</v>
      </c>
    </row>
    <row r="398" spans="1:16" ht="15" x14ac:dyDescent="0.25">
      <c r="A398" s="11">
        <v>397</v>
      </c>
      <c r="B398" s="24">
        <v>7</v>
      </c>
      <c r="C398" s="25">
        <f t="shared" si="36"/>
        <v>80</v>
      </c>
      <c r="D398" s="23">
        <v>5</v>
      </c>
      <c r="E398" s="22">
        <v>80</v>
      </c>
      <c r="F398" s="22">
        <v>85</v>
      </c>
      <c r="G398" s="22">
        <v>5</v>
      </c>
      <c r="H398" s="25">
        <f t="shared" si="37"/>
        <v>2</v>
      </c>
      <c r="I398" s="22">
        <v>0</v>
      </c>
      <c r="L398" s="53">
        <v>4.9588235294117649</v>
      </c>
      <c r="M398" s="53">
        <v>0.32122587968217936</v>
      </c>
      <c r="N398" s="53">
        <v>1.4647058823529411</v>
      </c>
      <c r="O398" s="53">
        <v>0.4088235294117647</v>
      </c>
      <c r="P398" s="53">
        <v>3.5827338129496402</v>
      </c>
    </row>
    <row r="399" spans="1:16" ht="15" x14ac:dyDescent="0.25">
      <c r="A399" s="11">
        <v>398</v>
      </c>
      <c r="B399" s="24">
        <v>8</v>
      </c>
      <c r="C399" s="25">
        <f t="shared" si="36"/>
        <v>88</v>
      </c>
      <c r="D399" s="23">
        <v>2</v>
      </c>
      <c r="E399" s="22">
        <v>88</v>
      </c>
      <c r="F399" s="22">
        <v>90</v>
      </c>
      <c r="G399" s="22">
        <v>2</v>
      </c>
      <c r="H399" s="25">
        <f t="shared" si="37"/>
        <v>3</v>
      </c>
      <c r="I399" s="22">
        <v>0</v>
      </c>
      <c r="L399" s="53">
        <v>4.8916666666666666</v>
      </c>
      <c r="M399" s="53">
        <v>0.32403433476394849</v>
      </c>
      <c r="N399" s="53">
        <v>1.413888888888889</v>
      </c>
      <c r="O399" s="53">
        <v>0.4</v>
      </c>
      <c r="P399" s="53">
        <v>3.5347222222222223</v>
      </c>
    </row>
    <row r="400" spans="1:16" ht="15" x14ac:dyDescent="0.25">
      <c r="A400" s="11">
        <v>399</v>
      </c>
      <c r="B400" s="24">
        <v>6</v>
      </c>
      <c r="C400" s="25">
        <f t="shared" si="36"/>
        <v>94</v>
      </c>
      <c r="D400" s="23">
        <v>6</v>
      </c>
      <c r="E400" s="22">
        <v>94</v>
      </c>
      <c r="F400" s="22">
        <v>100</v>
      </c>
      <c r="G400" s="22">
        <v>6</v>
      </c>
      <c r="H400" s="25">
        <f t="shared" si="37"/>
        <v>4</v>
      </c>
      <c r="I400" s="22">
        <v>0</v>
      </c>
      <c r="L400" s="53">
        <v>4.8710526315789471</v>
      </c>
      <c r="M400" s="53">
        <v>0.3210821847881572</v>
      </c>
      <c r="N400" s="53">
        <v>1.3921052631578947</v>
      </c>
      <c r="O400" s="53">
        <v>0.39473684210526316</v>
      </c>
      <c r="P400" s="53">
        <v>3.5266666666666668</v>
      </c>
    </row>
    <row r="401" spans="1:16" ht="15" x14ac:dyDescent="0.25">
      <c r="A401" s="11">
        <v>400</v>
      </c>
      <c r="B401" s="24">
        <v>4</v>
      </c>
      <c r="C401" s="25">
        <f t="shared" si="36"/>
        <v>98</v>
      </c>
      <c r="D401" s="23">
        <v>5</v>
      </c>
      <c r="E401" s="22">
        <v>100</v>
      </c>
      <c r="F401" s="22">
        <v>105</v>
      </c>
      <c r="G401" s="22">
        <v>7</v>
      </c>
      <c r="H401" s="25">
        <f t="shared" si="37"/>
        <v>0</v>
      </c>
      <c r="I401" s="22">
        <v>2</v>
      </c>
      <c r="L401" s="53">
        <f>(SUM($G$2:$G$401)/400)</f>
        <v>4.8274999999999997</v>
      </c>
      <c r="M401" s="53">
        <f>(SUM($H$2:$H$401)/($F$21+$F$41+$F$61+$F$81+$F$101+$F$121+$F$141+$F$161+$F$181+$F$201+$F$221+$F$241+$F$261+$F$281+$F$301+$F$321+$F$341+$F$361+$F$381+$F$401))</f>
        <v>0.32412790697674421</v>
      </c>
      <c r="N401" s="53">
        <f>SUM($I$2:$I$401)/400</f>
        <v>1.355</v>
      </c>
      <c r="O401" s="53">
        <f>(COUNTIF($I$2:$I$401,"&gt;0")/400)</f>
        <v>0.38750000000000001</v>
      </c>
      <c r="P401" s="53">
        <f>SUM($I$2:$I$401)/(COUNTIF($I$2:$I$401,"&gt;0"))</f>
        <v>3.4967741935483869</v>
      </c>
    </row>
    <row r="402" spans="1:16" ht="15" x14ac:dyDescent="0.25">
      <c r="A402" s="11">
        <v>401</v>
      </c>
      <c r="B402" s="24"/>
      <c r="C402" s="22">
        <v>0</v>
      </c>
      <c r="D402" s="23">
        <v>1</v>
      </c>
      <c r="E402" s="22">
        <v>0</v>
      </c>
      <c r="F402" s="22">
        <v>1</v>
      </c>
      <c r="G402" s="22">
        <v>1</v>
      </c>
      <c r="H402" s="22">
        <v>0</v>
      </c>
      <c r="I402" s="22">
        <v>0</v>
      </c>
      <c r="K402" s="51" t="s">
        <v>45</v>
      </c>
      <c r="L402" s="53">
        <f>AVERAGE(L382:L401)</f>
        <v>4.8937571558128834</v>
      </c>
      <c r="M402" s="53">
        <f t="shared" ref="M402:P402" si="38">AVERAGE(M382:M401)</f>
        <v>0.34238562284303031</v>
      </c>
      <c r="N402" s="53">
        <f t="shared" si="38"/>
        <v>1.3582534776884621</v>
      </c>
      <c r="O402" s="53">
        <f t="shared" si="38"/>
        <v>0.36982984244642536</v>
      </c>
      <c r="P402" s="53">
        <f t="shared" si="38"/>
        <v>3.5435752419257929</v>
      </c>
    </row>
    <row r="403" spans="1:16" ht="15" x14ac:dyDescent="0.25">
      <c r="A403" s="11">
        <v>402</v>
      </c>
      <c r="B403" s="24">
        <v>5</v>
      </c>
      <c r="C403" s="22">
        <v>5</v>
      </c>
      <c r="D403" s="23">
        <v>1</v>
      </c>
      <c r="E403" s="22">
        <v>5</v>
      </c>
      <c r="F403" s="22">
        <v>6</v>
      </c>
      <c r="G403" s="22">
        <v>1</v>
      </c>
      <c r="H403" s="22">
        <v>4</v>
      </c>
      <c r="I403" s="22">
        <v>0</v>
      </c>
      <c r="K403" s="51" t="s">
        <v>47</v>
      </c>
      <c r="L403" s="53">
        <f>STDEVA(L382:L401)</f>
        <v>0.53202854775178121</v>
      </c>
      <c r="M403" s="53">
        <f t="shared" ref="M403:P403" si="39">STDEVA(M382:M401)</f>
        <v>5.0349167981384974E-2</v>
      </c>
      <c r="N403" s="53">
        <f t="shared" si="39"/>
        <v>0.48791020101325022</v>
      </c>
      <c r="O403" s="53">
        <f t="shared" si="39"/>
        <v>7.3403396454569836E-2</v>
      </c>
      <c r="P403" s="53">
        <f t="shared" si="39"/>
        <v>0.85893346212538868</v>
      </c>
    </row>
    <row r="404" spans="1:16" ht="15" x14ac:dyDescent="0.25">
      <c r="A404" s="11">
        <v>403</v>
      </c>
      <c r="B404" s="24">
        <v>3</v>
      </c>
      <c r="C404" s="22">
        <v>8</v>
      </c>
      <c r="D404" s="23">
        <v>6</v>
      </c>
      <c r="E404" s="22">
        <v>8</v>
      </c>
      <c r="F404" s="22">
        <v>14</v>
      </c>
      <c r="G404" s="22">
        <v>6</v>
      </c>
      <c r="H404" s="22">
        <v>2</v>
      </c>
      <c r="I404" s="22">
        <v>0</v>
      </c>
    </row>
    <row r="405" spans="1:16" ht="15" x14ac:dyDescent="0.25">
      <c r="A405" s="11">
        <v>404</v>
      </c>
      <c r="B405" s="24">
        <v>2</v>
      </c>
      <c r="C405" s="22">
        <v>10</v>
      </c>
      <c r="D405" s="23">
        <v>6</v>
      </c>
      <c r="E405" s="22">
        <v>14</v>
      </c>
      <c r="F405" s="22">
        <v>20</v>
      </c>
      <c r="G405" s="22">
        <v>10</v>
      </c>
      <c r="H405" s="22">
        <v>0</v>
      </c>
      <c r="I405" s="22">
        <v>4</v>
      </c>
    </row>
    <row r="406" spans="1:16" ht="39" x14ac:dyDescent="0.25">
      <c r="A406" s="11">
        <v>405</v>
      </c>
      <c r="B406" s="24">
        <v>3</v>
      </c>
      <c r="C406" s="22">
        <v>13</v>
      </c>
      <c r="D406" s="23">
        <v>3</v>
      </c>
      <c r="E406" s="22">
        <v>20</v>
      </c>
      <c r="F406" s="22">
        <v>23</v>
      </c>
      <c r="G406" s="22">
        <v>10</v>
      </c>
      <c r="H406" s="22">
        <v>0</v>
      </c>
      <c r="I406" s="22">
        <v>7</v>
      </c>
      <c r="L406" s="53" t="s">
        <v>11</v>
      </c>
      <c r="M406" s="53" t="s">
        <v>12</v>
      </c>
      <c r="N406" s="53" t="s">
        <v>13</v>
      </c>
      <c r="O406" s="53" t="s">
        <v>14</v>
      </c>
      <c r="P406" s="53" t="s">
        <v>15</v>
      </c>
    </row>
    <row r="407" spans="1:16" ht="15" x14ac:dyDescent="0.25">
      <c r="A407" s="11">
        <v>406</v>
      </c>
      <c r="B407" s="24">
        <v>3</v>
      </c>
      <c r="C407" s="22">
        <v>16</v>
      </c>
      <c r="D407" s="23">
        <v>3</v>
      </c>
      <c r="E407" s="22">
        <v>23</v>
      </c>
      <c r="F407" s="22">
        <v>26</v>
      </c>
      <c r="G407" s="22">
        <v>10</v>
      </c>
      <c r="H407" s="22">
        <v>0</v>
      </c>
      <c r="I407" s="22">
        <v>7</v>
      </c>
      <c r="L407" s="53">
        <v>3.6</v>
      </c>
      <c r="M407" s="53">
        <v>0.53459999999999996</v>
      </c>
      <c r="N407" s="53">
        <v>0.35</v>
      </c>
      <c r="O407" s="53">
        <v>0.15</v>
      </c>
      <c r="P407" s="53">
        <v>2.3330000000000002</v>
      </c>
    </row>
    <row r="408" spans="1:16" ht="15" x14ac:dyDescent="0.25">
      <c r="A408" s="11">
        <v>407</v>
      </c>
      <c r="B408" s="24">
        <v>2</v>
      </c>
      <c r="C408" s="22">
        <v>18</v>
      </c>
      <c r="D408" s="23">
        <v>2</v>
      </c>
      <c r="E408" s="22">
        <v>26</v>
      </c>
      <c r="F408" s="22">
        <v>28</v>
      </c>
      <c r="G408" s="22">
        <v>10</v>
      </c>
      <c r="H408" s="22">
        <v>0</v>
      </c>
      <c r="I408" s="22">
        <v>8</v>
      </c>
      <c r="L408" s="53">
        <v>4</v>
      </c>
      <c r="M408" s="53">
        <v>0.40928270042194093</v>
      </c>
      <c r="N408" s="53">
        <v>0.4</v>
      </c>
      <c r="O408" s="53">
        <v>0.22500000000000001</v>
      </c>
      <c r="P408" s="53">
        <v>1.7777777777777777</v>
      </c>
    </row>
    <row r="409" spans="1:16" ht="15" x14ac:dyDescent="0.25">
      <c r="A409" s="11">
        <v>408</v>
      </c>
      <c r="B409" s="24">
        <v>4</v>
      </c>
      <c r="C409" s="22">
        <v>22</v>
      </c>
      <c r="D409" s="23">
        <v>4</v>
      </c>
      <c r="E409" s="22">
        <v>28</v>
      </c>
      <c r="F409" s="22">
        <v>32</v>
      </c>
      <c r="G409" s="22">
        <v>10</v>
      </c>
      <c r="H409" s="22">
        <v>0</v>
      </c>
      <c r="I409" s="22">
        <v>6</v>
      </c>
      <c r="L409" s="53">
        <v>4.1500000000000004</v>
      </c>
      <c r="M409" s="53">
        <v>0.35562310030395139</v>
      </c>
      <c r="N409" s="53">
        <v>0.55000000000000004</v>
      </c>
      <c r="O409" s="53">
        <v>0.28333333333333333</v>
      </c>
      <c r="P409" s="53">
        <v>1.9411764705882353</v>
      </c>
    </row>
    <row r="410" spans="1:16" ht="15" x14ac:dyDescent="0.25">
      <c r="A410" s="11">
        <v>409</v>
      </c>
      <c r="B410" s="24">
        <v>2</v>
      </c>
      <c r="C410" s="22">
        <v>24</v>
      </c>
      <c r="D410" s="23">
        <v>5</v>
      </c>
      <c r="E410" s="22">
        <v>32</v>
      </c>
      <c r="F410" s="22">
        <v>37</v>
      </c>
      <c r="G410" s="22">
        <v>13</v>
      </c>
      <c r="H410" s="22">
        <v>0</v>
      </c>
      <c r="I410" s="22">
        <v>8</v>
      </c>
      <c r="L410" s="53">
        <v>4.3375000000000004</v>
      </c>
      <c r="M410" s="53">
        <v>0.34731934731934733</v>
      </c>
      <c r="N410" s="53">
        <v>0.78749999999999998</v>
      </c>
      <c r="O410" s="53">
        <v>0.32500000000000001</v>
      </c>
      <c r="P410" s="53">
        <v>2.4230769230769229</v>
      </c>
    </row>
    <row r="411" spans="1:16" ht="15" x14ac:dyDescent="0.25">
      <c r="A411" s="11">
        <v>410</v>
      </c>
      <c r="B411" s="24">
        <v>4</v>
      </c>
      <c r="C411" s="22">
        <v>28</v>
      </c>
      <c r="D411" s="23">
        <v>6</v>
      </c>
      <c r="E411" s="22">
        <v>37</v>
      </c>
      <c r="F411" s="22">
        <v>43</v>
      </c>
      <c r="G411" s="22">
        <v>15</v>
      </c>
      <c r="H411" s="22">
        <v>0</v>
      </c>
      <c r="I411" s="22">
        <v>9</v>
      </c>
      <c r="L411" s="53">
        <v>4.55</v>
      </c>
      <c r="M411" s="53">
        <v>0.33143939393939392</v>
      </c>
      <c r="N411" s="53">
        <v>0.98</v>
      </c>
      <c r="O411" s="53">
        <v>0.33</v>
      </c>
      <c r="P411" s="53">
        <v>2.9696969700000002</v>
      </c>
    </row>
    <row r="412" spans="1:16" ht="15" x14ac:dyDescent="0.25">
      <c r="A412" s="11">
        <v>411</v>
      </c>
      <c r="B412" s="24">
        <v>7</v>
      </c>
      <c r="C412" s="22">
        <v>35</v>
      </c>
      <c r="D412" s="23">
        <v>6</v>
      </c>
      <c r="E412" s="22">
        <v>43</v>
      </c>
      <c r="F412" s="22">
        <v>49</v>
      </c>
      <c r="G412" s="22">
        <v>14</v>
      </c>
      <c r="H412" s="22">
        <v>0</v>
      </c>
      <c r="I412" s="22">
        <v>8</v>
      </c>
      <c r="L412" s="53">
        <v>5.7333333333333334</v>
      </c>
      <c r="M412" s="53">
        <v>0.29268292682926828</v>
      </c>
      <c r="N412" s="53">
        <v>2.0750000000000002</v>
      </c>
      <c r="O412" s="53">
        <v>0.42499999999999999</v>
      </c>
      <c r="P412" s="53">
        <v>4.882352941176471</v>
      </c>
    </row>
    <row r="413" spans="1:16" ht="15" x14ac:dyDescent="0.25">
      <c r="A413" s="11">
        <v>412</v>
      </c>
      <c r="B413" s="24">
        <v>7</v>
      </c>
      <c r="C413" s="22">
        <v>42</v>
      </c>
      <c r="D413" s="23">
        <v>3</v>
      </c>
      <c r="E413" s="22">
        <v>49</v>
      </c>
      <c r="F413" s="22">
        <v>52</v>
      </c>
      <c r="G413" s="22">
        <v>10</v>
      </c>
      <c r="H413" s="22">
        <v>0</v>
      </c>
      <c r="I413" s="22">
        <v>7</v>
      </c>
      <c r="L413" s="53">
        <v>5.4214285714285717</v>
      </c>
      <c r="M413" s="53">
        <v>0.33555259653794939</v>
      </c>
      <c r="N413" s="53">
        <v>1.8</v>
      </c>
      <c r="O413" s="53">
        <v>0.37142857142857144</v>
      </c>
      <c r="P413" s="53">
        <v>4.75</v>
      </c>
    </row>
    <row r="414" spans="1:16" ht="15" x14ac:dyDescent="0.25">
      <c r="A414" s="11">
        <v>413</v>
      </c>
      <c r="B414" s="24">
        <v>5</v>
      </c>
      <c r="C414" s="22">
        <v>47</v>
      </c>
      <c r="D414" s="23">
        <v>2</v>
      </c>
      <c r="E414" s="22">
        <v>52</v>
      </c>
      <c r="F414" s="22">
        <v>54</v>
      </c>
      <c r="G414" s="22">
        <v>7</v>
      </c>
      <c r="H414" s="22">
        <v>0</v>
      </c>
      <c r="I414" s="22">
        <v>5</v>
      </c>
      <c r="L414" s="53">
        <v>5.4874999999999998</v>
      </c>
      <c r="M414" s="53">
        <v>0.32113341204250295</v>
      </c>
      <c r="N414" s="53">
        <v>1.8374999999999999</v>
      </c>
      <c r="O414" s="53">
        <v>0.41875000000000001</v>
      </c>
      <c r="P414" s="53">
        <v>4.3880597014925371</v>
      </c>
    </row>
    <row r="415" spans="1:16" ht="15" x14ac:dyDescent="0.25">
      <c r="A415" s="11">
        <v>414</v>
      </c>
      <c r="B415" s="24">
        <v>4</v>
      </c>
      <c r="C415" s="22">
        <v>51</v>
      </c>
      <c r="D415" s="23">
        <v>3</v>
      </c>
      <c r="E415" s="22">
        <v>54</v>
      </c>
      <c r="F415" s="22">
        <v>57</v>
      </c>
      <c r="G415" s="22">
        <v>6</v>
      </c>
      <c r="H415" s="22">
        <v>0</v>
      </c>
      <c r="I415" s="22">
        <v>3</v>
      </c>
      <c r="L415" s="53">
        <v>5.3944444444444448</v>
      </c>
      <c r="M415" s="53">
        <v>0.31991525423728812</v>
      </c>
      <c r="N415" s="53">
        <v>1.7777777777777777</v>
      </c>
      <c r="O415" s="53">
        <v>0.42777777777777776</v>
      </c>
      <c r="P415" s="53">
        <v>4.1558441558441555</v>
      </c>
    </row>
    <row r="416" spans="1:16" ht="15" x14ac:dyDescent="0.25">
      <c r="A416" s="11">
        <v>415</v>
      </c>
      <c r="B416" s="24">
        <v>4</v>
      </c>
      <c r="C416" s="22">
        <v>55</v>
      </c>
      <c r="D416" s="23">
        <v>2</v>
      </c>
      <c r="E416" s="22">
        <v>57</v>
      </c>
      <c r="F416" s="22">
        <v>59</v>
      </c>
      <c r="G416" s="22">
        <v>4</v>
      </c>
      <c r="H416" s="22">
        <v>0</v>
      </c>
      <c r="I416" s="22">
        <v>2</v>
      </c>
      <c r="L416" s="53">
        <v>5.2450000000000001</v>
      </c>
      <c r="M416" s="53">
        <v>0.33301886792452828</v>
      </c>
      <c r="N416" s="53">
        <v>1.665</v>
      </c>
      <c r="O416" s="53">
        <v>0.41</v>
      </c>
      <c r="P416" s="53">
        <v>4.0609756097560972</v>
      </c>
    </row>
    <row r="417" spans="1:16" ht="15" x14ac:dyDescent="0.25">
      <c r="A417" s="11">
        <v>416</v>
      </c>
      <c r="B417" s="24">
        <v>5</v>
      </c>
      <c r="C417" s="22">
        <v>60</v>
      </c>
      <c r="D417" s="23">
        <v>3</v>
      </c>
      <c r="E417" s="22">
        <v>60</v>
      </c>
      <c r="F417" s="22">
        <v>63</v>
      </c>
      <c r="G417" s="22">
        <v>3</v>
      </c>
      <c r="H417" s="22">
        <v>1</v>
      </c>
      <c r="I417" s="22">
        <v>0</v>
      </c>
      <c r="L417" s="53">
        <v>5.0727272727272723</v>
      </c>
      <c r="M417" s="53">
        <v>0.34382978723404256</v>
      </c>
      <c r="N417" s="53">
        <v>1.5727272727272728</v>
      </c>
      <c r="O417" s="53">
        <v>0.4</v>
      </c>
      <c r="P417" s="53">
        <v>4.0609756097560972</v>
      </c>
    </row>
    <row r="418" spans="1:16" ht="15" x14ac:dyDescent="0.25">
      <c r="A418" s="11">
        <v>417</v>
      </c>
      <c r="B418" s="24">
        <v>5</v>
      </c>
      <c r="C418" s="22">
        <v>65</v>
      </c>
      <c r="D418" s="23">
        <v>5</v>
      </c>
      <c r="E418" s="22">
        <v>65</v>
      </c>
      <c r="F418" s="22">
        <v>70</v>
      </c>
      <c r="G418" s="22">
        <v>5</v>
      </c>
      <c r="H418" s="22">
        <v>2</v>
      </c>
      <c r="I418" s="22">
        <v>0</v>
      </c>
      <c r="L418" s="53">
        <v>5.1791666666666663</v>
      </c>
      <c r="M418" s="53">
        <v>0.32939322301024426</v>
      </c>
      <c r="N418" s="53">
        <v>1.6375</v>
      </c>
      <c r="O418" s="53">
        <v>0.40833333333333333</v>
      </c>
      <c r="P418" s="53">
        <v>4.0102040816326534</v>
      </c>
    </row>
    <row r="419" spans="1:16" ht="15" x14ac:dyDescent="0.25">
      <c r="A419" s="11">
        <v>418</v>
      </c>
      <c r="B419" s="24">
        <v>4</v>
      </c>
      <c r="C419" s="22">
        <v>69</v>
      </c>
      <c r="D419" s="23">
        <v>4</v>
      </c>
      <c r="E419" s="22">
        <v>70</v>
      </c>
      <c r="F419" s="22">
        <v>74</v>
      </c>
      <c r="G419" s="22">
        <v>5</v>
      </c>
      <c r="H419" s="22">
        <v>0</v>
      </c>
      <c r="I419" s="22">
        <v>1</v>
      </c>
      <c r="L419" s="53">
        <v>5.0999999999999996</v>
      </c>
      <c r="M419" s="53">
        <v>0.32472324723247231</v>
      </c>
      <c r="N419" s="53">
        <v>1.5807692307692307</v>
      </c>
      <c r="O419" s="53">
        <v>0.41153846153846152</v>
      </c>
      <c r="P419" s="53">
        <v>3.8411214953271027</v>
      </c>
    </row>
    <row r="420" spans="1:16" ht="15" x14ac:dyDescent="0.25">
      <c r="A420" s="11">
        <v>419</v>
      </c>
      <c r="B420" s="24">
        <v>1</v>
      </c>
      <c r="C420" s="22">
        <v>70</v>
      </c>
      <c r="D420" s="23">
        <v>3</v>
      </c>
      <c r="E420" s="22">
        <v>74</v>
      </c>
      <c r="F420" s="22">
        <v>77</v>
      </c>
      <c r="G420" s="22">
        <v>7</v>
      </c>
      <c r="H420" s="22">
        <v>0</v>
      </c>
      <c r="I420" s="22">
        <v>4</v>
      </c>
      <c r="L420" s="53">
        <v>5.05</v>
      </c>
      <c r="M420" s="53">
        <v>0.32904536222071767</v>
      </c>
      <c r="N420" s="53">
        <v>1.5214285714285714</v>
      </c>
      <c r="O420" s="53">
        <v>0.4</v>
      </c>
      <c r="P420" s="53">
        <v>3.8035714285714284</v>
      </c>
    </row>
    <row r="421" spans="1:16" ht="15" x14ac:dyDescent="0.25">
      <c r="A421" s="11">
        <v>420</v>
      </c>
      <c r="B421" s="24">
        <v>4</v>
      </c>
      <c r="C421" s="22">
        <v>74</v>
      </c>
      <c r="D421" s="23">
        <v>1</v>
      </c>
      <c r="E421" s="22">
        <v>77</v>
      </c>
      <c r="F421" s="22">
        <v>78</v>
      </c>
      <c r="G421" s="22">
        <v>4</v>
      </c>
      <c r="H421" s="22">
        <v>0</v>
      </c>
      <c r="I421" s="22">
        <v>3</v>
      </c>
      <c r="L421" s="53">
        <v>5.03</v>
      </c>
      <c r="M421" s="53">
        <v>0.32760814249363868</v>
      </c>
      <c r="N421" s="53">
        <v>1.5166666666666666</v>
      </c>
      <c r="O421" s="53">
        <v>0.41</v>
      </c>
      <c r="P421" s="53">
        <v>3.6991869918699187</v>
      </c>
    </row>
    <row r="422" spans="1:16" ht="15" x14ac:dyDescent="0.25">
      <c r="A422" s="26"/>
      <c r="G422" s="27">
        <f t="shared" ref="G422:I422" si="40">SUM(G2:G421)</f>
        <v>2082</v>
      </c>
      <c r="H422" s="27">
        <f t="shared" si="40"/>
        <v>678</v>
      </c>
      <c r="I422" s="27">
        <f t="shared" si="40"/>
        <v>624</v>
      </c>
      <c r="L422" s="53">
        <v>4.9749999999999996</v>
      </c>
      <c r="M422" s="53">
        <v>0.32207478890229191</v>
      </c>
      <c r="N422" s="53">
        <v>1.4875</v>
      </c>
      <c r="O422" s="53">
        <v>0.40937499999999999</v>
      </c>
      <c r="P422" s="53">
        <v>3.6335877862595418</v>
      </c>
    </row>
    <row r="423" spans="1:16" ht="15.75" customHeight="1" x14ac:dyDescent="0.2">
      <c r="L423" s="53">
        <v>4.9588235294117649</v>
      </c>
      <c r="M423" s="53">
        <v>0.32122587968217936</v>
      </c>
      <c r="N423" s="53">
        <v>1.4647058823529411</v>
      </c>
      <c r="O423" s="53">
        <v>0.4088235294117647</v>
      </c>
      <c r="P423" s="53">
        <v>3.5827338129496402</v>
      </c>
    </row>
    <row r="424" spans="1:16" ht="15.75" customHeight="1" x14ac:dyDescent="0.2">
      <c r="L424" s="53">
        <v>4.8916666666666666</v>
      </c>
      <c r="M424" s="53">
        <v>0.32403433476394849</v>
      </c>
      <c r="N424" s="53">
        <v>1.413888888888889</v>
      </c>
      <c r="O424" s="53">
        <v>0.4</v>
      </c>
      <c r="P424" s="53">
        <v>3.5347222222222223</v>
      </c>
    </row>
    <row r="425" spans="1:16" ht="15.75" customHeight="1" x14ac:dyDescent="0.2">
      <c r="L425" s="53">
        <v>4.8710526315789471</v>
      </c>
      <c r="M425" s="53">
        <v>0.3210821847881572</v>
      </c>
      <c r="N425" s="53">
        <v>1.3921052631578947</v>
      </c>
      <c r="O425" s="53">
        <v>0.39473684210526316</v>
      </c>
      <c r="P425" s="53">
        <v>3.5266666666666668</v>
      </c>
    </row>
    <row r="426" spans="1:16" ht="15.75" customHeight="1" x14ac:dyDescent="0.2">
      <c r="L426" s="53">
        <v>4.8274999999999997</v>
      </c>
      <c r="M426" s="53">
        <v>0.32412790697674421</v>
      </c>
      <c r="N426" s="53">
        <v>1.355</v>
      </c>
      <c r="O426" s="53">
        <v>0.38750000000000001</v>
      </c>
      <c r="P426" s="53">
        <v>3.4967741935483869</v>
      </c>
    </row>
    <row r="427" spans="1:16" ht="15.75" customHeight="1" x14ac:dyDescent="0.2">
      <c r="L427" s="53">
        <f>(SUM($G$2:$G$421)/420)</f>
        <v>4.9571428571428573</v>
      </c>
      <c r="M427" s="53">
        <f>(SUM($H$2:$H$421)/($F$21+$F$41+$F$61+$F$81+$F$101+$F$121+$F$141+$F$161+$F$181+$F$201+$F$221+$F$241+$F$261+$F$281+$F$301+$F$321+$F$341+$F$361+$F$381+$F$401+$F$421))</f>
        <v>0.31652661064425769</v>
      </c>
      <c r="N427" s="53">
        <f>SUM($I$2:$I$421)/420</f>
        <v>1.4857142857142858</v>
      </c>
      <c r="O427" s="53">
        <f>(COUNTIF($I$2:$I$421,"&gt;0")/420)</f>
        <v>0.40476190476190477</v>
      </c>
      <c r="P427" s="53">
        <f>SUM($I$2:$I$421)/(COUNTIF($I$2:$I$421,"&gt;0"))</f>
        <v>3.6705882352941175</v>
      </c>
    </row>
    <row r="428" spans="1:16" ht="15.75" customHeight="1" x14ac:dyDescent="0.2">
      <c r="K428" s="51" t="s">
        <v>45</v>
      </c>
      <c r="L428" s="53">
        <f>AVERAGE(L407:L427)</f>
        <v>4.8967755225428817</v>
      </c>
      <c r="M428" s="53">
        <f t="shared" ref="M428:P428" si="41">AVERAGE(M407:M427)</f>
        <v>0.34115424130975541</v>
      </c>
      <c r="N428" s="53">
        <f t="shared" si="41"/>
        <v>1.3643230399754058</v>
      </c>
      <c r="O428" s="53">
        <f t="shared" si="41"/>
        <v>0.37149327398525772</v>
      </c>
      <c r="P428" s="53">
        <f t="shared" si="41"/>
        <v>3.5496234797052373</v>
      </c>
    </row>
    <row r="429" spans="1:16" ht="15.75" customHeight="1" x14ac:dyDescent="0.2">
      <c r="K429" s="51" t="s">
        <v>47</v>
      </c>
      <c r="L429" s="53">
        <f>STDEVA(L407:L427)</f>
        <v>0.51874172584608869</v>
      </c>
      <c r="M429" s="53">
        <f t="shared" ref="M429:P429" si="42">STDEVA(M407:M427)</f>
        <v>4.9397662805917626E-2</v>
      </c>
      <c r="N429" s="53">
        <f t="shared" si="42"/>
        <v>0.47636874094928561</v>
      </c>
      <c r="O429" s="53">
        <f t="shared" si="42"/>
        <v>7.1949723937520541E-2</v>
      </c>
      <c r="P429" s="53">
        <f t="shared" si="42"/>
        <v>0.83764345787795724</v>
      </c>
    </row>
  </sheetData>
  <sortState xmlns:xlrd2="http://schemas.microsoft.com/office/spreadsheetml/2017/richdata2" ref="N17:N22">
    <sortCondition ref="N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7290F-EDDE-4580-A6EB-F99BF2CE60A0}">
  <dimension ref="F7:M41"/>
  <sheetViews>
    <sheetView topLeftCell="A10" workbookViewId="0">
      <selection activeCell="H18" sqref="H18"/>
    </sheetView>
  </sheetViews>
  <sheetFormatPr baseColWidth="10" defaultRowHeight="12.75" x14ac:dyDescent="0.2"/>
  <sheetData>
    <row r="7" spans="10:12" x14ac:dyDescent="0.2">
      <c r="J7" s="44" t="s">
        <v>43</v>
      </c>
      <c r="K7" s="44"/>
      <c r="L7" s="44" t="s">
        <v>43</v>
      </c>
    </row>
    <row r="8" spans="10:12" x14ac:dyDescent="0.2">
      <c r="J8" s="43">
        <v>1</v>
      </c>
      <c r="K8" s="44"/>
      <c r="L8" s="43">
        <v>1</v>
      </c>
    </row>
    <row r="9" spans="10:12" x14ac:dyDescent="0.2">
      <c r="J9" s="43">
        <v>2</v>
      </c>
      <c r="K9" s="44"/>
      <c r="L9" s="43">
        <v>2</v>
      </c>
    </row>
    <row r="10" spans="10:12" x14ac:dyDescent="0.2">
      <c r="J10" s="43">
        <v>3</v>
      </c>
      <c r="K10" s="44"/>
      <c r="L10" s="43">
        <v>3</v>
      </c>
    </row>
    <row r="11" spans="10:12" x14ac:dyDescent="0.2">
      <c r="J11" s="43">
        <v>4</v>
      </c>
      <c r="K11" s="44"/>
      <c r="L11" s="43">
        <v>4</v>
      </c>
    </row>
    <row r="12" spans="10:12" x14ac:dyDescent="0.2">
      <c r="J12" s="43">
        <v>5</v>
      </c>
      <c r="K12" s="44"/>
      <c r="L12" s="43">
        <v>5</v>
      </c>
    </row>
    <row r="13" spans="10:12" x14ac:dyDescent="0.2">
      <c r="J13" s="43">
        <v>6</v>
      </c>
      <c r="K13" s="44"/>
      <c r="L13" s="43">
        <v>6</v>
      </c>
    </row>
    <row r="14" spans="10:12" x14ac:dyDescent="0.2">
      <c r="J14" s="43">
        <v>7</v>
      </c>
      <c r="K14" s="44"/>
      <c r="L14" s="44"/>
    </row>
    <row r="15" spans="10:12" x14ac:dyDescent="0.2">
      <c r="J15" s="43">
        <v>8</v>
      </c>
      <c r="K15" s="44"/>
      <c r="L15" s="44"/>
    </row>
    <row r="16" spans="10:12" x14ac:dyDescent="0.2">
      <c r="J16" s="43">
        <v>9</v>
      </c>
      <c r="K16" s="44"/>
      <c r="L16" s="44"/>
    </row>
    <row r="17" spans="9:13" x14ac:dyDescent="0.2">
      <c r="J17" s="43">
        <v>10</v>
      </c>
      <c r="K17" s="44"/>
      <c r="L17" s="44"/>
    </row>
    <row r="19" spans="9:13" ht="13.5" thickBot="1" x14ac:dyDescent="0.25"/>
    <row r="20" spans="9:13" ht="13.5" thickBot="1" x14ac:dyDescent="0.25">
      <c r="I20" s="48" t="s">
        <v>43</v>
      </c>
      <c r="J20" s="48" t="s">
        <v>44</v>
      </c>
    </row>
    <row r="21" spans="9:13" x14ac:dyDescent="0.2">
      <c r="I21" s="45">
        <v>1</v>
      </c>
      <c r="J21" s="46">
        <v>60</v>
      </c>
      <c r="L21" s="48" t="s">
        <v>43</v>
      </c>
      <c r="M21" s="48" t="s">
        <v>44</v>
      </c>
    </row>
    <row r="22" spans="9:13" x14ac:dyDescent="0.2">
      <c r="I22" s="45">
        <v>2</v>
      </c>
      <c r="J22" s="46">
        <v>41</v>
      </c>
      <c r="L22" s="45">
        <v>1</v>
      </c>
      <c r="M22" s="46">
        <v>61</v>
      </c>
    </row>
    <row r="23" spans="9:13" x14ac:dyDescent="0.2">
      <c r="I23" s="45">
        <v>3</v>
      </c>
      <c r="J23" s="46">
        <v>49</v>
      </c>
      <c r="L23" s="45">
        <v>2</v>
      </c>
      <c r="M23" s="46">
        <v>73</v>
      </c>
    </row>
    <row r="24" spans="9:13" x14ac:dyDescent="0.2">
      <c r="I24" s="45">
        <v>4</v>
      </c>
      <c r="J24" s="46">
        <v>48</v>
      </c>
      <c r="L24" s="45">
        <v>3</v>
      </c>
      <c r="M24" s="46">
        <v>82</v>
      </c>
    </row>
    <row r="25" spans="9:13" x14ac:dyDescent="0.2">
      <c r="I25" s="45">
        <v>5</v>
      </c>
      <c r="J25" s="46">
        <v>44</v>
      </c>
      <c r="L25" s="45">
        <v>4</v>
      </c>
      <c r="M25" s="46">
        <v>72</v>
      </c>
    </row>
    <row r="26" spans="9:13" x14ac:dyDescent="0.2">
      <c r="I26" s="45">
        <v>6</v>
      </c>
      <c r="J26" s="46">
        <v>36</v>
      </c>
      <c r="L26" s="45">
        <v>5</v>
      </c>
      <c r="M26" s="46">
        <v>74</v>
      </c>
    </row>
    <row r="27" spans="9:13" x14ac:dyDescent="0.2">
      <c r="I27" s="45">
        <v>7</v>
      </c>
      <c r="J27" s="46">
        <v>43</v>
      </c>
      <c r="L27" s="45">
        <v>6</v>
      </c>
      <c r="M27" s="46">
        <v>57</v>
      </c>
    </row>
    <row r="28" spans="9:13" ht="13.5" thickBot="1" x14ac:dyDescent="0.25">
      <c r="I28" s="45">
        <v>8</v>
      </c>
      <c r="J28" s="46">
        <v>44</v>
      </c>
      <c r="L28" s="47"/>
      <c r="M28" s="47"/>
    </row>
    <row r="29" spans="9:13" x14ac:dyDescent="0.2">
      <c r="I29" s="45">
        <v>9</v>
      </c>
      <c r="J29" s="46">
        <v>33</v>
      </c>
    </row>
    <row r="30" spans="9:13" x14ac:dyDescent="0.2">
      <c r="I30" s="45">
        <v>10</v>
      </c>
      <c r="J30" s="46">
        <v>0</v>
      </c>
    </row>
    <row r="31" spans="9:13" ht="13.5" thickBot="1" x14ac:dyDescent="0.25">
      <c r="I31" s="47"/>
      <c r="J31" s="47"/>
    </row>
    <row r="41" spans="6:6" x14ac:dyDescent="0.2">
      <c r="F41" s="4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77"/>
  <sheetViews>
    <sheetView zoomScale="80" zoomScaleNormal="80" workbookViewId="0">
      <pane ySplit="1" topLeftCell="A2" activePane="bottomLeft" state="frozen"/>
      <selection pane="bottomLeft" activeCell="C2" sqref="C2:C22"/>
    </sheetView>
  </sheetViews>
  <sheetFormatPr baseColWidth="10" defaultColWidth="14.42578125" defaultRowHeight="15.75" customHeight="1" x14ac:dyDescent="0.2"/>
  <cols>
    <col min="1" max="1" width="15.140625" customWidth="1"/>
    <col min="2" max="2" width="35.140625" customWidth="1"/>
    <col min="4" max="4" width="16" customWidth="1"/>
  </cols>
  <sheetData>
    <row r="1" spans="1:13" ht="45" customHeight="1" x14ac:dyDescent="0.25">
      <c r="A1" s="28" t="s">
        <v>9</v>
      </c>
      <c r="B1" s="28" t="s">
        <v>10</v>
      </c>
      <c r="C1" s="29" t="s">
        <v>11</v>
      </c>
      <c r="D1" s="29" t="s">
        <v>12</v>
      </c>
      <c r="E1" s="29" t="s">
        <v>13</v>
      </c>
      <c r="F1" s="29" t="s">
        <v>14</v>
      </c>
      <c r="G1" s="29" t="s">
        <v>15</v>
      </c>
    </row>
    <row r="2" spans="1:13" ht="15.75" customHeight="1" x14ac:dyDescent="0.25">
      <c r="A2" s="30">
        <v>160002622</v>
      </c>
      <c r="B2" s="31" t="s">
        <v>16</v>
      </c>
      <c r="C2" s="32">
        <v>3.6</v>
      </c>
      <c r="D2" s="32">
        <v>0.53459999999999996</v>
      </c>
      <c r="E2" s="32">
        <v>0.35</v>
      </c>
      <c r="F2" s="32">
        <v>0.15</v>
      </c>
      <c r="G2" s="32">
        <v>2.3330000000000002</v>
      </c>
      <c r="I2" s="29" t="s">
        <v>11</v>
      </c>
      <c r="J2" s="29" t="s">
        <v>12</v>
      </c>
      <c r="K2" s="29" t="s">
        <v>13</v>
      </c>
      <c r="L2" s="29" t="s">
        <v>14</v>
      </c>
      <c r="M2" s="29" t="s">
        <v>15</v>
      </c>
    </row>
    <row r="3" spans="1:13" ht="15.75" customHeight="1" x14ac:dyDescent="0.25">
      <c r="A3" s="30">
        <v>160003041</v>
      </c>
      <c r="B3" s="31" t="s">
        <v>17</v>
      </c>
      <c r="C3" s="32">
        <v>4.4000000000000004</v>
      </c>
      <c r="D3" s="32">
        <v>0.36440699999999998</v>
      </c>
      <c r="E3" s="32">
        <v>0.45</v>
      </c>
      <c r="F3" s="32">
        <v>0.3</v>
      </c>
      <c r="G3" s="32">
        <v>1.5</v>
      </c>
      <c r="I3" s="39">
        <v>3.6</v>
      </c>
      <c r="J3" s="39">
        <v>0.53459999999999996</v>
      </c>
      <c r="K3" s="39">
        <v>0.35</v>
      </c>
      <c r="L3" s="39">
        <v>0.15</v>
      </c>
      <c r="M3" s="39">
        <v>2.3330000000000002</v>
      </c>
    </row>
    <row r="4" spans="1:13" ht="15.75" customHeight="1" x14ac:dyDescent="0.25">
      <c r="A4" s="30">
        <v>160003301</v>
      </c>
      <c r="B4" s="31" t="s">
        <v>18</v>
      </c>
      <c r="C4" s="32">
        <v>4.45</v>
      </c>
      <c r="D4" s="32">
        <v>0.22</v>
      </c>
      <c r="E4" s="32">
        <v>0.85</v>
      </c>
      <c r="F4" s="32">
        <v>0.4</v>
      </c>
      <c r="G4" s="32">
        <v>2.1</v>
      </c>
    </row>
    <row r="5" spans="1:13" ht="15.75" customHeight="1" x14ac:dyDescent="0.25">
      <c r="A5" s="30">
        <v>160003307</v>
      </c>
      <c r="B5" s="31" t="s">
        <v>19</v>
      </c>
      <c r="C5" s="32">
        <v>4.9000000000000004</v>
      </c>
      <c r="D5" s="32">
        <v>0.32</v>
      </c>
      <c r="E5" s="32">
        <v>1.5</v>
      </c>
      <c r="F5" s="32">
        <v>0.45</v>
      </c>
      <c r="G5" s="32">
        <v>3.33</v>
      </c>
    </row>
    <row r="6" spans="1:13" ht="15.75" customHeight="1" x14ac:dyDescent="0.25">
      <c r="A6" s="30">
        <v>160003433</v>
      </c>
      <c r="B6" s="31" t="s">
        <v>20</v>
      </c>
      <c r="C6" s="32">
        <v>5.4</v>
      </c>
      <c r="D6" s="32">
        <v>0.26</v>
      </c>
      <c r="E6" s="32">
        <v>1.75</v>
      </c>
      <c r="F6" s="32">
        <v>0.35</v>
      </c>
      <c r="G6" s="32">
        <v>5</v>
      </c>
    </row>
    <row r="7" spans="1:13" ht="15.75" customHeight="1" x14ac:dyDescent="0.25">
      <c r="A7" s="30">
        <v>160003438</v>
      </c>
      <c r="B7" s="31" t="s">
        <v>21</v>
      </c>
      <c r="C7" s="32">
        <v>11.65</v>
      </c>
      <c r="D7" s="49">
        <v>0.6</v>
      </c>
      <c r="E7" s="32">
        <v>7.55</v>
      </c>
      <c r="F7" s="32">
        <v>0.9</v>
      </c>
      <c r="G7" s="33">
        <v>8.3888888900000005</v>
      </c>
    </row>
    <row r="8" spans="1:13" ht="15.75" customHeight="1" x14ac:dyDescent="0.25">
      <c r="A8" s="30">
        <v>160003441</v>
      </c>
      <c r="B8" s="31" t="s">
        <v>22</v>
      </c>
      <c r="C8" s="32">
        <v>3.55</v>
      </c>
      <c r="D8" s="32">
        <v>0.52</v>
      </c>
      <c r="E8" s="32">
        <v>0.15</v>
      </c>
      <c r="F8" s="32">
        <v>0.15</v>
      </c>
      <c r="G8" s="32">
        <v>1</v>
      </c>
    </row>
    <row r="9" spans="1:13" ht="15.75" customHeight="1" x14ac:dyDescent="0.25">
      <c r="A9" s="30">
        <v>160003443</v>
      </c>
      <c r="B9" s="31" t="s">
        <v>23</v>
      </c>
      <c r="C9" s="32">
        <v>5.95</v>
      </c>
      <c r="D9" s="34">
        <v>0.19</v>
      </c>
      <c r="E9" s="32">
        <v>2.1</v>
      </c>
      <c r="F9" s="32">
        <v>0.65</v>
      </c>
      <c r="G9" s="35">
        <v>3.23</v>
      </c>
    </row>
    <row r="10" spans="1:13" ht="15.75" customHeight="1" x14ac:dyDescent="0.25">
      <c r="A10" s="57">
        <v>160003524</v>
      </c>
      <c r="B10" s="58" t="s">
        <v>24</v>
      </c>
      <c r="C10" s="59">
        <v>4.9000000000000004</v>
      </c>
      <c r="D10" s="59">
        <v>0.309</v>
      </c>
      <c r="E10" s="59">
        <v>1.3</v>
      </c>
      <c r="F10" s="59">
        <v>0.5</v>
      </c>
      <c r="G10" s="59">
        <v>2.6</v>
      </c>
    </row>
    <row r="11" spans="1:13" ht="15.75" customHeight="1" x14ac:dyDescent="0.25">
      <c r="A11" s="30">
        <v>160003546</v>
      </c>
      <c r="B11" s="31" t="s">
        <v>25</v>
      </c>
      <c r="C11" s="32">
        <v>3.9</v>
      </c>
      <c r="D11" s="32">
        <v>0.439</v>
      </c>
      <c r="E11" s="32">
        <v>0.65</v>
      </c>
      <c r="F11" s="32">
        <v>0.25</v>
      </c>
      <c r="G11" s="32">
        <v>2.6</v>
      </c>
    </row>
    <row r="12" spans="1:13" ht="15.75" customHeight="1" x14ac:dyDescent="0.25">
      <c r="A12" s="30">
        <v>160003603</v>
      </c>
      <c r="B12" s="31" t="s">
        <v>26</v>
      </c>
      <c r="C12" s="32">
        <v>3.35</v>
      </c>
      <c r="D12" s="32">
        <v>0.44340000000000002</v>
      </c>
      <c r="E12" s="32">
        <v>0.25</v>
      </c>
      <c r="F12" s="32">
        <v>0.65</v>
      </c>
      <c r="G12" s="32">
        <v>2.1</v>
      </c>
    </row>
    <row r="13" spans="1:13" ht="15.75" customHeight="1" x14ac:dyDescent="0.25">
      <c r="A13" s="30">
        <v>160003612</v>
      </c>
      <c r="B13" s="31" t="s">
        <v>27</v>
      </c>
      <c r="C13" s="32">
        <v>6.35</v>
      </c>
      <c r="D13" s="35">
        <v>0.14899999999999999</v>
      </c>
      <c r="E13" s="32">
        <v>0.25</v>
      </c>
      <c r="F13" s="32">
        <v>2.35</v>
      </c>
      <c r="G13" s="32">
        <v>4.7</v>
      </c>
    </row>
    <row r="14" spans="1:13" ht="15.75" customHeight="1" x14ac:dyDescent="0.25">
      <c r="A14" s="30">
        <v>160003615</v>
      </c>
      <c r="B14" s="31" t="s">
        <v>28</v>
      </c>
      <c r="C14" s="32">
        <v>4.1500000000000004</v>
      </c>
      <c r="D14" s="32">
        <v>0.25580000000000003</v>
      </c>
      <c r="E14" s="32">
        <v>0.9</v>
      </c>
      <c r="F14" s="32">
        <v>0.45</v>
      </c>
      <c r="G14" s="32">
        <v>2</v>
      </c>
    </row>
    <row r="15" spans="1:13" ht="15.75" customHeight="1" x14ac:dyDescent="0.25">
      <c r="A15" s="30">
        <v>160003717</v>
      </c>
      <c r="B15" s="31" t="s">
        <v>29</v>
      </c>
      <c r="C15" s="36">
        <v>4.4000000000000004</v>
      </c>
      <c r="D15" s="37">
        <v>0.46460000000000001</v>
      </c>
      <c r="E15" s="32">
        <v>0.75</v>
      </c>
      <c r="F15" s="32">
        <v>0.25</v>
      </c>
      <c r="G15" s="32">
        <v>3</v>
      </c>
    </row>
    <row r="16" spans="1:13" ht="15.75" customHeight="1" x14ac:dyDescent="0.25">
      <c r="A16" s="30">
        <v>160003724</v>
      </c>
      <c r="B16" s="31" t="s">
        <v>30</v>
      </c>
      <c r="C16" s="32">
        <v>4.75</v>
      </c>
      <c r="D16" s="32">
        <v>0.28999999999999998</v>
      </c>
      <c r="E16" s="32">
        <v>1.45</v>
      </c>
      <c r="F16" s="32">
        <v>0.55000000000000004</v>
      </c>
      <c r="G16" s="32">
        <v>2.64</v>
      </c>
    </row>
    <row r="17" spans="1:7" ht="15.75" customHeight="1" x14ac:dyDescent="0.25">
      <c r="A17" s="30">
        <v>160003728</v>
      </c>
      <c r="B17" s="31" t="s">
        <v>31</v>
      </c>
      <c r="C17" s="32">
        <v>4.1500000000000004</v>
      </c>
      <c r="D17" s="38">
        <v>0.22090000000000001</v>
      </c>
      <c r="E17" s="32">
        <v>1.05</v>
      </c>
      <c r="F17" s="32">
        <v>0.4</v>
      </c>
      <c r="G17" s="32">
        <v>2.62</v>
      </c>
    </row>
    <row r="18" spans="1:7" ht="15.75" customHeight="1" x14ac:dyDescent="0.25">
      <c r="A18" s="30">
        <v>160003730</v>
      </c>
      <c r="B18" s="31" t="s">
        <v>32</v>
      </c>
      <c r="C18" s="32">
        <v>4.7</v>
      </c>
      <c r="D18" s="32">
        <v>0.30759999999999998</v>
      </c>
      <c r="E18" s="32">
        <v>1.1000000000000001</v>
      </c>
      <c r="F18" s="32">
        <v>0.4</v>
      </c>
      <c r="G18" s="32">
        <v>2.75</v>
      </c>
    </row>
    <row r="19" spans="1:7" ht="15.75" customHeight="1" x14ac:dyDescent="0.25">
      <c r="A19" s="30">
        <v>160003732</v>
      </c>
      <c r="B19" s="31" t="s">
        <v>33</v>
      </c>
      <c r="C19" s="32">
        <v>3.75</v>
      </c>
      <c r="D19" s="32">
        <v>0.3725</v>
      </c>
      <c r="E19" s="32">
        <v>0.55000000000000004</v>
      </c>
      <c r="F19" s="32">
        <v>0.25</v>
      </c>
      <c r="G19" s="32">
        <v>2.2000000000000002</v>
      </c>
    </row>
    <row r="20" spans="1:7" ht="15.75" customHeight="1" x14ac:dyDescent="0.25">
      <c r="A20" s="30">
        <v>160003749</v>
      </c>
      <c r="B20" s="31" t="s">
        <v>34</v>
      </c>
      <c r="C20" s="32">
        <v>4.5</v>
      </c>
      <c r="D20" s="40">
        <v>0.2525</v>
      </c>
      <c r="E20" s="32">
        <v>1</v>
      </c>
      <c r="F20" s="32">
        <v>0.3</v>
      </c>
      <c r="G20" s="32">
        <v>3.33</v>
      </c>
    </row>
    <row r="21" spans="1:7" ht="15.75" customHeight="1" x14ac:dyDescent="0.25">
      <c r="A21" s="30">
        <v>160003836</v>
      </c>
      <c r="B21" s="31" t="s">
        <v>35</v>
      </c>
      <c r="C21" s="32">
        <v>4</v>
      </c>
      <c r="D21" s="32">
        <v>0.40400000000000003</v>
      </c>
      <c r="E21" s="32" t="s">
        <v>36</v>
      </c>
      <c r="F21" s="32" t="s">
        <v>37</v>
      </c>
      <c r="G21" s="32" t="s">
        <v>38</v>
      </c>
    </row>
    <row r="22" spans="1:7" ht="15.75" customHeight="1" x14ac:dyDescent="0.25">
      <c r="A22" s="30">
        <v>160004015</v>
      </c>
      <c r="B22" s="31" t="s">
        <v>39</v>
      </c>
      <c r="C22" s="32">
        <v>7.55</v>
      </c>
      <c r="D22" s="32">
        <v>0.1</v>
      </c>
      <c r="E22" s="32">
        <v>4.0999999999999996</v>
      </c>
      <c r="F22" s="32">
        <v>0.75</v>
      </c>
      <c r="G22" s="32">
        <v>5.46</v>
      </c>
    </row>
    <row r="23" spans="1:7" ht="15.75" customHeight="1" x14ac:dyDescent="0.2">
      <c r="B23" s="60" t="s">
        <v>40</v>
      </c>
      <c r="C23" s="61"/>
      <c r="D23" s="61"/>
      <c r="E23" s="61"/>
      <c r="F23" s="61"/>
      <c r="G23" s="61"/>
    </row>
    <row r="24" spans="1:7" ht="12.75" x14ac:dyDescent="0.2">
      <c r="B24" s="62" t="s">
        <v>41</v>
      </c>
      <c r="C24" s="63">
        <f>AVERAGE(C2:C22)</f>
        <v>4.9690476190476192</v>
      </c>
      <c r="D24" s="63">
        <f>AVERAGE(D2:D22)</f>
        <v>0.3341574761904762</v>
      </c>
      <c r="E24" s="63">
        <f>AVERAGE(E2:E22)</f>
        <v>1.4024999999999999</v>
      </c>
      <c r="F24" s="63">
        <f>AVERAGE(F2:F22)</f>
        <v>0.52250000000000008</v>
      </c>
      <c r="G24" s="63">
        <f>AVERAGE(G2:G22)</f>
        <v>3.1440944445000003</v>
      </c>
    </row>
    <row r="25" spans="1:7" ht="12.75" x14ac:dyDescent="0.2">
      <c r="B25" s="62" t="s">
        <v>42</v>
      </c>
      <c r="C25" s="63">
        <f>STDEVA(C2:C22)</f>
        <v>1.8308110354755485</v>
      </c>
      <c r="D25" s="63">
        <f>STDEVA(D2:D22)</f>
        <v>0.1323141063672422</v>
      </c>
      <c r="E25" s="63">
        <f>STDEVA(E2:E22)</f>
        <v>1.6802635847645198</v>
      </c>
      <c r="F25" s="63">
        <f>STDEVA(F2:F22)</f>
        <v>0.4749937342945143</v>
      </c>
      <c r="G25" s="63">
        <f>STDEVA(G2:G22)</f>
        <v>1.7587374473168771</v>
      </c>
    </row>
    <row r="26" spans="1:7" ht="12.75" x14ac:dyDescent="0.2"/>
    <row r="27" spans="1:7" ht="15.75" customHeight="1" x14ac:dyDescent="0.2">
      <c r="D27" s="41">
        <v>6</v>
      </c>
    </row>
    <row r="28" spans="1:7" ht="12.75" x14ac:dyDescent="0.2"/>
    <row r="76" spans="4:4" ht="15.75" customHeight="1" x14ac:dyDescent="0.2">
      <c r="D76" s="42"/>
    </row>
    <row r="77" spans="4:4" ht="12.75" x14ac:dyDescent="0.2"/>
  </sheetData>
  <conditionalFormatting sqref="D17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Runs</vt:lpstr>
      <vt:lpstr>Punto 3</vt:lpstr>
      <vt:lpstr>Medidas de desempeño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Andrés Martínez</cp:lastModifiedBy>
  <dcterms:modified xsi:type="dcterms:W3CDTF">2020-08-12T00:17:19Z</dcterms:modified>
</cp:coreProperties>
</file>